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70.xml" ContentType="application/vnd.ms-office.chartcolorstyle+xml"/>
  <Override PartName="/xl/charts/style7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codeName="ThisWorkbook"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10 (Jorge Freitas)/"/>
    </mc:Choice>
  </mc:AlternateContent>
  <xr:revisionPtr revIDLastSave="4502" documentId="13_ncr:1_{D9E719E0-F37F-4006-88B4-15009A48904E}" xr6:coauthVersionLast="47" xr6:coauthVersionMax="47" xr10:uidLastSave="{DDC29F56-3818-440A-A30F-D6BDF65A8FB1}"/>
  <bookViews>
    <workbookView xWindow="-110" yWindow="-110" windowWidth="19420" windowHeight="10300" tabRatio="777" firstSheet="7" activeTab="5" xr2:uid="{00000000-000D-0000-FFFF-FFFF00000000}"/>
  </bookViews>
  <sheets>
    <sheet name="Summary" sheetId="19" r:id="rId1"/>
    <sheet name="Regions" sheetId="29" state="hidden" r:id="rId2"/>
    <sheet name="Segments" sheetId="4" r:id="rId3"/>
    <sheet name="Industry" sheetId="3" r:id="rId4"/>
    <sheet name="Peers" sheetId="17" r:id="rId5"/>
    <sheet name="ESG" sheetId="2" r:id="rId6"/>
    <sheet name="ESG Inputs" sheetId="28" r:id="rId7"/>
    <sheet name="DCF" sheetId="34" r:id="rId8"/>
    <sheet name="Inputs" sheetId="9" r:id="rId9"/>
    <sheet name="WACC" sheetId="6" r:id="rId10"/>
    <sheet name="Multiples" sheetId="11" r:id="rId11"/>
    <sheet name="Sensitivity" sheetId="27" r:id="rId12"/>
    <sheet name="CF" sheetId="33" r:id="rId13"/>
    <sheet name="IS" sheetId="31" r:id="rId14"/>
    <sheet name="BS" sheetId="32" r:id="rId15"/>
    <sheet name="Segments - Inputs" sheetId="30" r:id="rId16"/>
  </sheets>
  <definedNames>
    <definedName name="_xlchart.v1.0" hidden="1">Sensitivity!$B$59:$B$10056</definedName>
    <definedName name="_xlchart.v5.0" hidden="1">Segments!$B$5</definedName>
    <definedName name="_xlchart.v5.1" hidden="1">Segments!$B$6:$B$10</definedName>
    <definedName name="_xlchart.v5.2" hidden="1">Segments!$D$6:$D$10</definedName>
    <definedName name="COOLFUCNTION" comment="No description available" localSheetId="7">_xlfn.LAMBDA(_xldudf_BOARDFLARE_EXEC("workbook-settings:coolfucntion"))</definedName>
    <definedName name="COOLFUCNTION" comment="No description available" localSheetId="5">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7" hidden="1">{"'Sheet1'!$A$1:$H$145"}</definedName>
    <definedName name="HTML_Control" localSheetId="5" hidden="1">{"'Sheet1'!$A$1:$H$145"}</definedName>
    <definedName name="HTML_Control" localSheetId="3" hidden="1">{"'Sheet1'!$A$1:$H$145"}</definedName>
    <definedName name="HTML_Control" localSheetId="8" hidden="1">{"'Sheet1'!$A$1:$H$145"}</definedName>
    <definedName name="HTML_Control" localSheetId="10" hidden="1">{"'Sheet1'!$A$1:$H$145"}</definedName>
    <definedName name="HTML_Control" localSheetId="4" hidden="1">{"'Sheet1'!$A$1:$H$145"}</definedName>
    <definedName name="HTML_Control" localSheetId="2" hidden="1">{"'Sheet1'!$A$1:$H$145"}</definedName>
    <definedName name="HTML_Control" localSheetId="9"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5">#REF!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1" i="34" l="1"/>
  <c r="H27" i="34"/>
  <c r="N6" i="9"/>
  <c r="R226" i="34"/>
  <c r="S226" i="34"/>
  <c r="T226" i="34"/>
  <c r="U226" i="34"/>
  <c r="V226" i="34"/>
  <c r="W226" i="34"/>
  <c r="X226" i="34"/>
  <c r="Y226" i="34"/>
  <c r="Z226" i="34"/>
  <c r="AA226" i="34"/>
  <c r="R253" i="34"/>
  <c r="S253" i="34"/>
  <c r="T253" i="34"/>
  <c r="U253" i="34"/>
  <c r="V253" i="34"/>
  <c r="W253" i="34"/>
  <c r="X253" i="34"/>
  <c r="Y253" i="34"/>
  <c r="Z253" i="34"/>
  <c r="AA253" i="34"/>
  <c r="R256" i="34"/>
  <c r="R257" i="34" s="1"/>
  <c r="S256" i="34"/>
  <c r="S257" i="34" s="1"/>
  <c r="T256" i="34"/>
  <c r="T257" i="34" s="1"/>
  <c r="U256" i="34"/>
  <c r="U257" i="34" s="1"/>
  <c r="V256" i="34"/>
  <c r="V257" i="34" s="1"/>
  <c r="W256" i="34"/>
  <c r="W257" i="34" s="1"/>
  <c r="X256" i="34"/>
  <c r="X257" i="34" s="1"/>
  <c r="Y256" i="34"/>
  <c r="Y257" i="34" s="1"/>
  <c r="Z256" i="34"/>
  <c r="Z257" i="34" s="1"/>
  <c r="AA256" i="34"/>
  <c r="AA257" i="34" s="1"/>
  <c r="AA208" i="34" a="1"/>
  <c r="AA208" i="34" s="1"/>
  <c r="AA205" i="34" a="1"/>
  <c r="AA205" i="34" s="1"/>
  <c r="AA199" i="34"/>
  <c r="R200" i="34"/>
  <c r="S200" i="34"/>
  <c r="R201" i="34"/>
  <c r="S201" i="34"/>
  <c r="R202" i="34"/>
  <c r="S202" i="34"/>
  <c r="AA202" i="34"/>
  <c r="R211" i="34"/>
  <c r="S211" i="34"/>
  <c r="T211" i="34"/>
  <c r="U211" i="34"/>
  <c r="V211" i="34"/>
  <c r="W211" i="34"/>
  <c r="X211" i="34"/>
  <c r="Y211" i="34"/>
  <c r="Z211" i="34"/>
  <c r="AA211" i="34"/>
  <c r="R54" i="34"/>
  <c r="R53" i="34" s="1"/>
  <c r="S54" i="34"/>
  <c r="T54" i="34"/>
  <c r="U54" i="34"/>
  <c r="V54" i="34"/>
  <c r="W54" i="34"/>
  <c r="X54" i="34"/>
  <c r="Y54" i="34"/>
  <c r="Z54" i="34"/>
  <c r="AA54" i="34"/>
  <c r="R59" i="34"/>
  <c r="S59" i="34"/>
  <c r="T59" i="34"/>
  <c r="U59" i="34"/>
  <c r="V59" i="34"/>
  <c r="W59" i="34"/>
  <c r="X59" i="34"/>
  <c r="Y59" i="34"/>
  <c r="Z59" i="34"/>
  <c r="AA59" i="34"/>
  <c r="R63" i="34"/>
  <c r="S63" i="34"/>
  <c r="T63" i="34"/>
  <c r="U63" i="34"/>
  <c r="V63" i="34"/>
  <c r="W63" i="34"/>
  <c r="X63" i="34"/>
  <c r="Y63" i="34"/>
  <c r="Z63" i="34"/>
  <c r="AA63" i="34"/>
  <c r="R76" i="34"/>
  <c r="S76" i="34"/>
  <c r="T76" i="34"/>
  <c r="U76" i="34"/>
  <c r="V76" i="34"/>
  <c r="W76" i="34"/>
  <c r="X76" i="34"/>
  <c r="Y76" i="34"/>
  <c r="Z76" i="34"/>
  <c r="AA76" i="34"/>
  <c r="R81" i="34"/>
  <c r="S81" i="34"/>
  <c r="T81" i="34"/>
  <c r="U81" i="34"/>
  <c r="V81" i="34"/>
  <c r="W81" i="34"/>
  <c r="X81" i="34"/>
  <c r="Y81" i="34"/>
  <c r="Z81" i="34"/>
  <c r="AA81" i="34"/>
  <c r="R99" i="34"/>
  <c r="S99" i="34"/>
  <c r="T99" i="34"/>
  <c r="U99" i="34"/>
  <c r="V99" i="34"/>
  <c r="W99" i="34"/>
  <c r="X99" i="34"/>
  <c r="Y99" i="34"/>
  <c r="Z99" i="34"/>
  <c r="AA99" i="34"/>
  <c r="R108" i="34"/>
  <c r="S108" i="34"/>
  <c r="T108" i="34"/>
  <c r="U108" i="34"/>
  <c r="V108" i="34"/>
  <c r="W108" i="34"/>
  <c r="X108" i="34"/>
  <c r="Y108" i="34"/>
  <c r="Z108" i="34"/>
  <c r="AA108" i="34"/>
  <c r="R118" i="34"/>
  <c r="S118" i="34"/>
  <c r="T118" i="34"/>
  <c r="U118" i="34"/>
  <c r="V118" i="34"/>
  <c r="W118" i="34"/>
  <c r="X118" i="34"/>
  <c r="Y118" i="34"/>
  <c r="Z118" i="34"/>
  <c r="AA118" i="34"/>
  <c r="R137" i="34"/>
  <c r="S137" i="34"/>
  <c r="T137" i="34"/>
  <c r="U137" i="34"/>
  <c r="V137" i="34"/>
  <c r="W137" i="34"/>
  <c r="X137" i="34"/>
  <c r="Y137" i="34"/>
  <c r="Z137" i="34"/>
  <c r="AA137" i="34"/>
  <c r="R166" i="34"/>
  <c r="S166" i="34"/>
  <c r="T166" i="34"/>
  <c r="U166" i="34"/>
  <c r="V166" i="34"/>
  <c r="W166" i="34"/>
  <c r="X166" i="34"/>
  <c r="Y166" i="34"/>
  <c r="Z166" i="34"/>
  <c r="AA166" i="34"/>
  <c r="R169" i="34"/>
  <c r="S169" i="34"/>
  <c r="T169" i="34"/>
  <c r="U169" i="34"/>
  <c r="V169" i="34"/>
  <c r="W169" i="34"/>
  <c r="X169" i="34"/>
  <c r="Y169" i="34"/>
  <c r="Z169" i="34"/>
  <c r="AA169" i="34"/>
  <c r="R171" i="34"/>
  <c r="R170" i="34" s="1"/>
  <c r="S171" i="34"/>
  <c r="S170" i="34" s="1"/>
  <c r="T171" i="34"/>
  <c r="T170" i="34" s="1"/>
  <c r="U171" i="34"/>
  <c r="U170" i="34" s="1"/>
  <c r="V171" i="34"/>
  <c r="V170" i="34" s="1"/>
  <c r="W171" i="34"/>
  <c r="W170" i="34" s="1"/>
  <c r="X171" i="34"/>
  <c r="X170" i="34" s="1"/>
  <c r="Y171" i="34"/>
  <c r="Y170" i="34" s="1"/>
  <c r="Z171" i="34"/>
  <c r="Z170" i="34" s="1"/>
  <c r="AA171" i="34"/>
  <c r="AA170" i="34" s="1"/>
  <c r="R172" i="34"/>
  <c r="S172" i="34"/>
  <c r="T172" i="34"/>
  <c r="U172" i="34"/>
  <c r="V172" i="34"/>
  <c r="W172" i="34"/>
  <c r="X172" i="34"/>
  <c r="Y172" i="34"/>
  <c r="Z172" i="34"/>
  <c r="AA172" i="34"/>
  <c r="R37" i="34"/>
  <c r="S37" i="34"/>
  <c r="T37" i="34"/>
  <c r="U37" i="34"/>
  <c r="V37" i="34"/>
  <c r="W37" i="34"/>
  <c r="X37" i="34"/>
  <c r="Y37" i="34"/>
  <c r="Z37" i="34"/>
  <c r="R40" i="34"/>
  <c r="R39" i="34" s="1"/>
  <c r="S40" i="34"/>
  <c r="T40" i="34"/>
  <c r="U40" i="34"/>
  <c r="V40" i="34"/>
  <c r="W40" i="34"/>
  <c r="X40" i="34"/>
  <c r="Y40" i="34"/>
  <c r="Z40" i="34"/>
  <c r="AA42" i="34"/>
  <c r="R17" i="34"/>
  <c r="R68" i="34" s="1"/>
  <c r="S17" i="34"/>
  <c r="S68" i="34" s="1"/>
  <c r="T17" i="34"/>
  <c r="T68" i="34" s="1"/>
  <c r="U17" i="34"/>
  <c r="U68" i="34" s="1"/>
  <c r="V17" i="34"/>
  <c r="V68" i="34" s="1"/>
  <c r="W17" i="34"/>
  <c r="W68" i="34" s="1"/>
  <c r="X17" i="34"/>
  <c r="X68" i="34" s="1"/>
  <c r="Y17" i="34"/>
  <c r="Y68" i="34" s="1"/>
  <c r="Z17" i="34"/>
  <c r="Z68" i="34" s="1"/>
  <c r="AA17" i="34"/>
  <c r="AA68" i="34" s="1"/>
  <c r="R18" i="34"/>
  <c r="S18" i="34"/>
  <c r="T18" i="34"/>
  <c r="U18" i="34"/>
  <c r="V18" i="34"/>
  <c r="W18" i="34"/>
  <c r="X18" i="34"/>
  <c r="Y18" i="34"/>
  <c r="Z18" i="34"/>
  <c r="AA18" i="34"/>
  <c r="R19" i="34"/>
  <c r="S19" i="34"/>
  <c r="T19" i="34"/>
  <c r="U19" i="34"/>
  <c r="V19" i="34"/>
  <c r="W19" i="34"/>
  <c r="X19" i="34"/>
  <c r="Y19" i="34"/>
  <c r="Z19" i="34"/>
  <c r="AA19" i="34"/>
  <c r="R20" i="34"/>
  <c r="S20" i="34"/>
  <c r="T20" i="34"/>
  <c r="U20" i="34"/>
  <c r="V20" i="34"/>
  <c r="W20" i="34"/>
  <c r="X20" i="34"/>
  <c r="Y20" i="34"/>
  <c r="Z20" i="34"/>
  <c r="AA20" i="34"/>
  <c r="R21" i="34"/>
  <c r="S21" i="34"/>
  <c r="T21" i="34"/>
  <c r="U21" i="34"/>
  <c r="V21" i="34"/>
  <c r="W21" i="34"/>
  <c r="X21" i="34"/>
  <c r="Y21" i="34"/>
  <c r="Z21" i="34"/>
  <c r="AA21" i="34"/>
  <c r="R22" i="34"/>
  <c r="S22" i="34"/>
  <c r="T22" i="34"/>
  <c r="U22" i="34"/>
  <c r="V22" i="34"/>
  <c r="W22" i="34"/>
  <c r="X22" i="34"/>
  <c r="Y22" i="34"/>
  <c r="Z22" i="34"/>
  <c r="AA22" i="34"/>
  <c r="R25" i="34"/>
  <c r="S25" i="34"/>
  <c r="T25" i="34"/>
  <c r="U25" i="34"/>
  <c r="V25" i="34"/>
  <c r="W25" i="34"/>
  <c r="X25" i="34"/>
  <c r="Y25" i="34"/>
  <c r="Z25" i="34"/>
  <c r="AA25" i="34"/>
  <c r="R27" i="34"/>
  <c r="S27" i="34"/>
  <c r="T27" i="34"/>
  <c r="U27" i="34"/>
  <c r="V27" i="34"/>
  <c r="W27" i="34"/>
  <c r="X27" i="34"/>
  <c r="Y27" i="34"/>
  <c r="Z27" i="34"/>
  <c r="AA27" i="34"/>
  <c r="R28" i="34"/>
  <c r="S28" i="34"/>
  <c r="T28" i="34"/>
  <c r="U28" i="34"/>
  <c r="V28" i="34"/>
  <c r="W28" i="34"/>
  <c r="X28" i="34"/>
  <c r="Y28" i="34"/>
  <c r="Z28" i="34"/>
  <c r="AA28" i="34"/>
  <c r="AA30" i="34"/>
  <c r="R30" i="34"/>
  <c r="S31" i="34"/>
  <c r="S30" i="34" s="1"/>
  <c r="T31" i="34"/>
  <c r="T30" i="34" s="1"/>
  <c r="U31" i="34"/>
  <c r="U30" i="34" s="1"/>
  <c r="V31" i="34"/>
  <c r="V30" i="34" s="1"/>
  <c r="W31" i="34"/>
  <c r="W30" i="34" s="1"/>
  <c r="X31" i="34"/>
  <c r="X30" i="34" s="1"/>
  <c r="Y31" i="34"/>
  <c r="Y30" i="34" s="1"/>
  <c r="Z31" i="34"/>
  <c r="Z30" i="34" s="1"/>
  <c r="R15" i="34"/>
  <c r="S15" i="34"/>
  <c r="T15" i="34"/>
  <c r="U15" i="34"/>
  <c r="V15" i="34"/>
  <c r="W15" i="34"/>
  <c r="X15" i="34"/>
  <c r="Y15" i="34"/>
  <c r="Z15" i="34"/>
  <c r="AA15" i="34"/>
  <c r="AB15" i="34"/>
  <c r="AC15" i="34"/>
  <c r="AD15" i="34"/>
  <c r="AE15" i="34"/>
  <c r="AF15" i="34"/>
  <c r="AG15" i="34"/>
  <c r="AH15" i="34"/>
  <c r="AI15" i="34"/>
  <c r="AJ15" i="34"/>
  <c r="AK15" i="34"/>
  <c r="AL15" i="34"/>
  <c r="AM15" i="34"/>
  <c r="AN15" i="34"/>
  <c r="AO15" i="34"/>
  <c r="AP15" i="34"/>
  <c r="G14" i="6" a="1"/>
  <c r="G14" i="6" s="1"/>
  <c r="G9" i="6" a="1"/>
  <c r="G9" i="6" s="1"/>
  <c r="I40" i="34"/>
  <c r="J40" i="34" s="1"/>
  <c r="K40" i="34" s="1"/>
  <c r="L40" i="34" s="1"/>
  <c r="M40" i="34" s="1"/>
  <c r="N40" i="34" s="1"/>
  <c r="O40" i="34" s="1"/>
  <c r="P40" i="34" s="1"/>
  <c r="I37" i="34"/>
  <c r="J37" i="34" s="1"/>
  <c r="K37" i="34" s="1"/>
  <c r="L37" i="34" s="1"/>
  <c r="M37" i="34" s="1"/>
  <c r="N37" i="34" s="1"/>
  <c r="O37" i="34" s="1"/>
  <c r="P37" i="34" s="1"/>
  <c r="AU290" i="34"/>
  <c r="AU280" i="34"/>
  <c r="Q256" i="34"/>
  <c r="Q257" i="34" s="1"/>
  <c r="P256" i="34"/>
  <c r="P257" i="34" s="1"/>
  <c r="O256" i="34"/>
  <c r="O257" i="34" s="1"/>
  <c r="N256" i="34"/>
  <c r="N257" i="34" s="1"/>
  <c r="M256" i="34"/>
  <c r="M257" i="34" s="1"/>
  <c r="L256" i="34"/>
  <c r="L257" i="34" s="1"/>
  <c r="K256" i="34"/>
  <c r="K257" i="34" s="1"/>
  <c r="J256" i="34"/>
  <c r="J257" i="34" s="1"/>
  <c r="I256" i="34"/>
  <c r="I257" i="34" s="1"/>
  <c r="H256" i="34"/>
  <c r="H257" i="34" s="1"/>
  <c r="E226" i="34"/>
  <c r="E253" i="34" s="1"/>
  <c r="Q208" i="34" a="1"/>
  <c r="Q208" i="34" s="1"/>
  <c r="K208" i="34" a="1"/>
  <c r="K208" i="34" s="1"/>
  <c r="Q205" i="34" a="1"/>
  <c r="Q205" i="34" s="1"/>
  <c r="K205" i="34" a="1"/>
  <c r="K205" i="34" s="1"/>
  <c r="K206" i="34" s="1"/>
  <c r="P194" i="34"/>
  <c r="H194" i="34" s="1"/>
  <c r="H193" i="34" s="1"/>
  <c r="I193" i="34" s="1"/>
  <c r="J193" i="34" s="1"/>
  <c r="K193" i="34" s="1"/>
  <c r="L193" i="34" s="1"/>
  <c r="M193" i="34" s="1"/>
  <c r="N193" i="34" s="1"/>
  <c r="O193" i="34" s="1"/>
  <c r="P193" i="34" s="1"/>
  <c r="Q193" i="34" s="1"/>
  <c r="R193" i="34" s="1"/>
  <c r="S193" i="34" s="1"/>
  <c r="T193" i="34" s="1"/>
  <c r="U193" i="34" s="1"/>
  <c r="V193" i="34" s="1"/>
  <c r="W193" i="34" s="1"/>
  <c r="X193" i="34" s="1"/>
  <c r="Y193" i="34" s="1"/>
  <c r="Z193" i="34" s="1"/>
  <c r="AA193" i="34" s="1"/>
  <c r="E166" i="34"/>
  <c r="E211" i="34" s="1"/>
  <c r="G163" i="34"/>
  <c r="F163" i="34"/>
  <c r="E163" i="34"/>
  <c r="G161" i="34"/>
  <c r="F161" i="34"/>
  <c r="E161" i="34"/>
  <c r="G159" i="34"/>
  <c r="F159" i="34"/>
  <c r="E159" i="34"/>
  <c r="G156" i="34"/>
  <c r="F156" i="34"/>
  <c r="E156" i="34"/>
  <c r="G154" i="34"/>
  <c r="F154" i="34"/>
  <c r="E154" i="34"/>
  <c r="G151" i="34"/>
  <c r="F151" i="34"/>
  <c r="E151" i="34"/>
  <c r="G148" i="34"/>
  <c r="F148" i="34"/>
  <c r="E148" i="34"/>
  <c r="G145" i="34"/>
  <c r="F145" i="34"/>
  <c r="E145" i="34"/>
  <c r="G143" i="34"/>
  <c r="F143" i="34"/>
  <c r="E143" i="34"/>
  <c r="G141" i="34"/>
  <c r="F141" i="34"/>
  <c r="E141" i="34"/>
  <c r="G139" i="34"/>
  <c r="F139" i="34"/>
  <c r="E139" i="34"/>
  <c r="G136" i="34"/>
  <c r="F136" i="34"/>
  <c r="E136" i="34"/>
  <c r="G133" i="34"/>
  <c r="F133" i="34"/>
  <c r="E133" i="34"/>
  <c r="G131" i="34"/>
  <c r="F131" i="34"/>
  <c r="F188" i="34" s="1"/>
  <c r="E131" i="34"/>
  <c r="G129" i="34"/>
  <c r="F129" i="34"/>
  <c r="E129" i="34"/>
  <c r="G127" i="34"/>
  <c r="F127" i="34"/>
  <c r="E127" i="34"/>
  <c r="G125" i="34"/>
  <c r="G186" i="34" s="1"/>
  <c r="G236" i="34" s="1"/>
  <c r="F125" i="34"/>
  <c r="F186" i="34" s="1"/>
  <c r="F236" i="34" s="1"/>
  <c r="E125" i="34"/>
  <c r="E186" i="34" s="1"/>
  <c r="E236" i="34" s="1"/>
  <c r="G122" i="34"/>
  <c r="G234" i="34" s="1"/>
  <c r="F122" i="34"/>
  <c r="F184" i="34" s="1"/>
  <c r="E122" i="34"/>
  <c r="E184" i="34" s="1"/>
  <c r="E118" i="34"/>
  <c r="G115" i="34"/>
  <c r="F115" i="34"/>
  <c r="E115" i="34"/>
  <c r="G113" i="34"/>
  <c r="F113" i="34"/>
  <c r="E113" i="34"/>
  <c r="G110" i="34"/>
  <c r="F110" i="34"/>
  <c r="E110" i="34"/>
  <c r="G107" i="34"/>
  <c r="F107" i="34"/>
  <c r="E107" i="34"/>
  <c r="G102" i="34"/>
  <c r="F102" i="34"/>
  <c r="E102" i="34"/>
  <c r="G100" i="34"/>
  <c r="F100" i="34"/>
  <c r="E100" i="34"/>
  <c r="G98" i="34"/>
  <c r="F98" i="34"/>
  <c r="E98" i="34"/>
  <c r="G97" i="34"/>
  <c r="F97" i="34"/>
  <c r="E97" i="34"/>
  <c r="G93" i="34"/>
  <c r="F93" i="34"/>
  <c r="E93" i="34"/>
  <c r="G90" i="34"/>
  <c r="F90" i="34"/>
  <c r="E90" i="34"/>
  <c r="G87" i="34"/>
  <c r="F87" i="34"/>
  <c r="E87" i="34"/>
  <c r="G85" i="34"/>
  <c r="Q199" i="34" s="1"/>
  <c r="F85" i="34"/>
  <c r="AK8" i="34" s="1"/>
  <c r="E85" i="34"/>
  <c r="AK7" i="34" s="1"/>
  <c r="E81" i="34"/>
  <c r="G78" i="34"/>
  <c r="G230" i="34" s="1"/>
  <c r="F78" i="34"/>
  <c r="E78" i="34"/>
  <c r="E230" i="34" s="1"/>
  <c r="G75" i="34"/>
  <c r="F75" i="34"/>
  <c r="E75" i="34"/>
  <c r="G73" i="34"/>
  <c r="F73" i="34"/>
  <c r="E73" i="34"/>
  <c r="G71" i="34"/>
  <c r="F71" i="34"/>
  <c r="E71" i="34"/>
  <c r="G68" i="34"/>
  <c r="F68" i="34"/>
  <c r="E68" i="34"/>
  <c r="G65" i="34"/>
  <c r="G66" i="34" s="1"/>
  <c r="F65" i="34"/>
  <c r="F66" i="34" s="1"/>
  <c r="E65" i="34"/>
  <c r="E66" i="34" s="1"/>
  <c r="Q63" i="34"/>
  <c r="P63" i="34"/>
  <c r="O63" i="34"/>
  <c r="N63" i="34"/>
  <c r="M63" i="34"/>
  <c r="L63" i="34"/>
  <c r="K63" i="34"/>
  <c r="J63" i="34"/>
  <c r="I63" i="34"/>
  <c r="G62" i="34"/>
  <c r="G63" i="34" s="1"/>
  <c r="F62" i="34"/>
  <c r="F63" i="34" s="1"/>
  <c r="E62" i="34"/>
  <c r="E63" i="34" s="1"/>
  <c r="Q59" i="34"/>
  <c r="Q60" i="34" s="1"/>
  <c r="P59" i="34"/>
  <c r="P60" i="34" s="1"/>
  <c r="O59" i="34"/>
  <c r="O60" i="34" s="1"/>
  <c r="N59" i="34"/>
  <c r="N60" i="34" s="1"/>
  <c r="M59" i="34"/>
  <c r="M60" i="34" s="1"/>
  <c r="L59" i="34"/>
  <c r="L60" i="34" s="1"/>
  <c r="K59" i="34"/>
  <c r="K60" i="34" s="1"/>
  <c r="J59" i="34"/>
  <c r="J60" i="34" s="1"/>
  <c r="I59" i="34"/>
  <c r="I60" i="34" s="1"/>
  <c r="H59" i="34"/>
  <c r="G59" i="34"/>
  <c r="G60" i="34" s="1"/>
  <c r="F59" i="34"/>
  <c r="F60" i="34" s="1"/>
  <c r="E59" i="34"/>
  <c r="E60" i="34" s="1"/>
  <c r="G56" i="34"/>
  <c r="G174" i="34" s="1"/>
  <c r="F56" i="34"/>
  <c r="F228" i="34" s="1"/>
  <c r="E56" i="34"/>
  <c r="E228" i="34" s="1"/>
  <c r="G53" i="34"/>
  <c r="G54" i="34" s="1"/>
  <c r="F53" i="34"/>
  <c r="F54" i="34" s="1"/>
  <c r="E53" i="34"/>
  <c r="E54" i="34" s="1"/>
  <c r="G50" i="34"/>
  <c r="G51" i="34" s="1"/>
  <c r="F50" i="34"/>
  <c r="F51" i="34" s="1"/>
  <c r="E50" i="34"/>
  <c r="E51" i="34" s="1"/>
  <c r="G47" i="34"/>
  <c r="G120" i="34" s="1"/>
  <c r="G182" i="34" s="1"/>
  <c r="F47" i="34"/>
  <c r="F48" i="34" s="1"/>
  <c r="E47" i="34"/>
  <c r="G44" i="34"/>
  <c r="F44" i="34"/>
  <c r="E44" i="34"/>
  <c r="G42" i="34"/>
  <c r="F42" i="34"/>
  <c r="E42" i="34"/>
  <c r="G39" i="34"/>
  <c r="H39" i="34" s="1"/>
  <c r="F39" i="34"/>
  <c r="E39" i="34"/>
  <c r="G36" i="34"/>
  <c r="F36" i="34"/>
  <c r="E36" i="34"/>
  <c r="G33" i="34"/>
  <c r="F33" i="34"/>
  <c r="E33" i="34"/>
  <c r="G30" i="34"/>
  <c r="F30" i="34"/>
  <c r="E30" i="34"/>
  <c r="G27" i="34"/>
  <c r="G21" i="34" s="1"/>
  <c r="F27" i="34"/>
  <c r="E27" i="34"/>
  <c r="D27" i="34"/>
  <c r="F25" i="34"/>
  <c r="G25" i="34" s="1"/>
  <c r="H18" i="34"/>
  <c r="I18" i="34" s="1"/>
  <c r="J18" i="34" s="1"/>
  <c r="K18" i="34" s="1"/>
  <c r="L18" i="34" s="1"/>
  <c r="M18" i="34" s="1"/>
  <c r="N18" i="34" s="1"/>
  <c r="O18" i="34" s="1"/>
  <c r="P18" i="34" s="1"/>
  <c r="Q18" i="34" s="1"/>
  <c r="G17" i="34"/>
  <c r="H17" i="34" s="1"/>
  <c r="F15" i="34"/>
  <c r="G15" i="34" s="1"/>
  <c r="H15" i="34" s="1"/>
  <c r="I15" i="34" s="1"/>
  <c r="J15" i="34" s="1"/>
  <c r="K15" i="34" s="1"/>
  <c r="L15" i="34" s="1"/>
  <c r="M15" i="34" s="1"/>
  <c r="N15" i="34" s="1"/>
  <c r="O15" i="34" s="1"/>
  <c r="P15" i="34" s="1"/>
  <c r="Q15" i="34" s="1"/>
  <c r="C13" i="34"/>
  <c r="L10" i="34"/>
  <c r="F10" i="34"/>
  <c r="AP9" i="34"/>
  <c r="AO9" i="34"/>
  <c r="AM9" i="34"/>
  <c r="AL9" i="34"/>
  <c r="AD8" i="34"/>
  <c r="AD9" i="34" s="1"/>
  <c r="AD10" i="34" s="1"/>
  <c r="AD11" i="34" s="1"/>
  <c r="AD12" i="34" s="1"/>
  <c r="AD13" i="34" s="1"/>
  <c r="AD14" i="34" s="1"/>
  <c r="G18" i="6"/>
  <c r="AA33" i="34" l="1"/>
  <c r="AA36" i="34"/>
  <c r="AA122" i="34" s="1"/>
  <c r="Z33" i="34"/>
  <c r="Y33" i="34"/>
  <c r="X33" i="34"/>
  <c r="W33" i="34"/>
  <c r="V33" i="34"/>
  <c r="U33" i="34"/>
  <c r="T33" i="34"/>
  <c r="S33" i="34"/>
  <c r="R33" i="34"/>
  <c r="R102" i="34"/>
  <c r="S39" i="34"/>
  <c r="T39" i="34" s="1"/>
  <c r="U39" i="34" s="1"/>
  <c r="V39" i="34" s="1"/>
  <c r="W39" i="34" s="1"/>
  <c r="X39" i="34" s="1"/>
  <c r="Y39" i="34" s="1"/>
  <c r="Z39" i="34" s="1"/>
  <c r="AA39" i="34" s="1"/>
  <c r="Z36" i="34"/>
  <c r="Z122" i="34" s="1"/>
  <c r="Y36" i="34"/>
  <c r="Y122" i="34" s="1"/>
  <c r="X36" i="34"/>
  <c r="X122" i="34" s="1"/>
  <c r="W36" i="34"/>
  <c r="W122" i="34" s="1"/>
  <c r="V36" i="34"/>
  <c r="V122" i="34" s="1"/>
  <c r="U36" i="34"/>
  <c r="U122" i="34" s="1"/>
  <c r="T36" i="34"/>
  <c r="T122" i="34" s="1"/>
  <c r="S36" i="34"/>
  <c r="S122" i="34" s="1"/>
  <c r="R36" i="34"/>
  <c r="R122" i="34" s="1"/>
  <c r="AA107" i="34"/>
  <c r="Z107" i="34"/>
  <c r="Y107" i="34"/>
  <c r="X107" i="34"/>
  <c r="W107" i="34"/>
  <c r="V107" i="34"/>
  <c r="U107" i="34"/>
  <c r="T107" i="34"/>
  <c r="S107" i="34"/>
  <c r="R107" i="34"/>
  <c r="AA98" i="34"/>
  <c r="AA151" i="34" s="1"/>
  <c r="Z98" i="34"/>
  <c r="Z151" i="34" s="1"/>
  <c r="Y98" i="34"/>
  <c r="Y151" i="34" s="1"/>
  <c r="X98" i="34"/>
  <c r="X151" i="34" s="1"/>
  <c r="W98" i="34"/>
  <c r="W151" i="34" s="1"/>
  <c r="V98" i="34"/>
  <c r="V151" i="34" s="1"/>
  <c r="U98" i="34"/>
  <c r="U151" i="34" s="1"/>
  <c r="T98" i="34"/>
  <c r="T151" i="34" s="1"/>
  <c r="S98" i="34"/>
  <c r="S151" i="34" s="1"/>
  <c r="R98" i="34"/>
  <c r="R151" i="34" s="1"/>
  <c r="AA214" i="34"/>
  <c r="Z214" i="34"/>
  <c r="Y214" i="34"/>
  <c r="X214" i="34"/>
  <c r="W214" i="34"/>
  <c r="V214" i="34"/>
  <c r="U214" i="34"/>
  <c r="T214" i="34"/>
  <c r="S214" i="34"/>
  <c r="R214" i="34"/>
  <c r="S53" i="34"/>
  <c r="Q202" i="34"/>
  <c r="E91" i="34"/>
  <c r="H50" i="34"/>
  <c r="H100" i="34" s="1"/>
  <c r="AN9" i="34"/>
  <c r="F240" i="34"/>
  <c r="AJ8" i="34" s="1"/>
  <c r="F238" i="34"/>
  <c r="G134" i="34"/>
  <c r="H134" i="34" s="1"/>
  <c r="I134" i="34" s="1"/>
  <c r="J134" i="34" s="1"/>
  <c r="K134" i="34" s="1"/>
  <c r="L134" i="34" s="1"/>
  <c r="M134" i="34" s="1"/>
  <c r="N134" i="34" s="1"/>
  <c r="O134" i="34" s="1"/>
  <c r="P134" i="34" s="1"/>
  <c r="G240" i="34"/>
  <c r="AJ9" i="34" s="1"/>
  <c r="H54" i="34"/>
  <c r="H53" i="34" s="1"/>
  <c r="E255" i="34"/>
  <c r="AH7" i="34" s="1"/>
  <c r="E37" i="34"/>
  <c r="F37" i="34"/>
  <c r="F174" i="34"/>
  <c r="E116" i="34"/>
  <c r="E34" i="34"/>
  <c r="F116" i="34"/>
  <c r="F45" i="34"/>
  <c r="H60" i="34"/>
  <c r="F81" i="34"/>
  <c r="G116" i="34"/>
  <c r="E45" i="34"/>
  <c r="G88" i="34"/>
  <c r="H88" i="34" s="1"/>
  <c r="I88" i="34" s="1"/>
  <c r="F94" i="34"/>
  <c r="E96" i="34"/>
  <c r="G228" i="34"/>
  <c r="G226" i="34"/>
  <c r="G253" i="34" s="1"/>
  <c r="H253" i="34" s="1"/>
  <c r="I253" i="34" s="1"/>
  <c r="J253" i="34" s="1"/>
  <c r="K253" i="34" s="1"/>
  <c r="L253" i="34" s="1"/>
  <c r="M253" i="34" s="1"/>
  <c r="N253" i="34" s="1"/>
  <c r="O253" i="34" s="1"/>
  <c r="P253" i="34" s="1"/>
  <c r="Q253" i="34" s="1"/>
  <c r="G118" i="34"/>
  <c r="G91" i="34"/>
  <c r="H91" i="34" s="1"/>
  <c r="I91" i="34" s="1"/>
  <c r="G146" i="34"/>
  <c r="G137" i="34"/>
  <c r="E88" i="34"/>
  <c r="E99" i="34"/>
  <c r="F120" i="34"/>
  <c r="E28" i="34"/>
  <c r="E169" i="34" s="1"/>
  <c r="F34" i="34"/>
  <c r="I39" i="34"/>
  <c r="J39" i="34" s="1"/>
  <c r="K39" i="34" s="1"/>
  <c r="L39" i="34" s="1"/>
  <c r="M39" i="34" s="1"/>
  <c r="N39" i="34" s="1"/>
  <c r="O39" i="34" s="1"/>
  <c r="P39" i="34" s="1"/>
  <c r="Q39" i="34" s="1"/>
  <c r="F88" i="34"/>
  <c r="F57" i="34"/>
  <c r="F175" i="34" s="1"/>
  <c r="G111" i="34"/>
  <c r="G152" i="34"/>
  <c r="K209" i="34"/>
  <c r="E108" i="34"/>
  <c r="E31" i="34"/>
  <c r="E57" i="34"/>
  <c r="E175" i="34" s="1"/>
  <c r="G57" i="34"/>
  <c r="G175" i="34" s="1"/>
  <c r="E240" i="34"/>
  <c r="AJ7" i="34" s="1"/>
  <c r="G232" i="34"/>
  <c r="G184" i="34"/>
  <c r="E76" i="34"/>
  <c r="F76" i="34"/>
  <c r="F28" i="34"/>
  <c r="F169" i="34" s="1"/>
  <c r="G76" i="34"/>
  <c r="G180" i="34" s="1"/>
  <c r="AK9" i="34"/>
  <c r="G34" i="34"/>
  <c r="F168" i="34"/>
  <c r="G40" i="34"/>
  <c r="F146" i="34"/>
  <c r="G96" i="34"/>
  <c r="E111" i="34"/>
  <c r="F19" i="34"/>
  <c r="F108" i="34"/>
  <c r="E174" i="34"/>
  <c r="E21" i="34"/>
  <c r="F79" i="34"/>
  <c r="F21" i="34"/>
  <c r="F111" i="34"/>
  <c r="E152" i="34"/>
  <c r="F31" i="34"/>
  <c r="F230" i="34"/>
  <c r="F149" i="34"/>
  <c r="F255" i="34"/>
  <c r="AH8" i="34" s="1"/>
  <c r="H21" i="34"/>
  <c r="G103" i="34"/>
  <c r="H102" i="34"/>
  <c r="H68" i="34"/>
  <c r="I17" i="34"/>
  <c r="F40" i="34"/>
  <c r="E48" i="34"/>
  <c r="E120" i="34"/>
  <c r="E134" i="34" s="1"/>
  <c r="G168" i="34"/>
  <c r="G28" i="34"/>
  <c r="G169" i="34" s="1"/>
  <c r="G31" i="34"/>
  <c r="G99" i="34"/>
  <c r="G19" i="34"/>
  <c r="F152" i="34"/>
  <c r="F96" i="34"/>
  <c r="F99" i="34"/>
  <c r="E123" i="34"/>
  <c r="E234" i="34"/>
  <c r="E79" i="34"/>
  <c r="E146" i="34"/>
  <c r="F123" i="34"/>
  <c r="F234" i="34"/>
  <c r="G81" i="34"/>
  <c r="G166" i="34"/>
  <c r="G211" i="34" s="1"/>
  <c r="H25" i="34"/>
  <c r="E238" i="34"/>
  <c r="E188" i="34"/>
  <c r="G149" i="34"/>
  <c r="G255" i="34"/>
  <c r="AH9" i="34" s="1"/>
  <c r="G37" i="34"/>
  <c r="G123" i="34"/>
  <c r="H123" i="34" s="1"/>
  <c r="F103" i="34"/>
  <c r="E103" i="34"/>
  <c r="G48" i="34"/>
  <c r="E168" i="34"/>
  <c r="E19" i="34"/>
  <c r="E94" i="34"/>
  <c r="G45" i="34"/>
  <c r="G238" i="34"/>
  <c r="G188" i="34"/>
  <c r="E137" i="34"/>
  <c r="G94" i="34"/>
  <c r="F166" i="34"/>
  <c r="F211" i="34" s="1"/>
  <c r="F118" i="34"/>
  <c r="F226" i="34"/>
  <c r="F253" i="34" s="1"/>
  <c r="F91" i="34"/>
  <c r="G108" i="34"/>
  <c r="H108" i="34" s="1"/>
  <c r="E149" i="34"/>
  <c r="G79" i="34"/>
  <c r="F137" i="34"/>
  <c r="G24" i="6"/>
  <c r="R234" i="34" l="1"/>
  <c r="R184" i="34"/>
  <c r="S234" i="34"/>
  <c r="S184" i="34"/>
  <c r="T234" i="34"/>
  <c r="T184" i="34"/>
  <c r="U234" i="34"/>
  <c r="U184" i="34"/>
  <c r="V234" i="34"/>
  <c r="V184" i="34"/>
  <c r="W234" i="34"/>
  <c r="W184" i="34"/>
  <c r="X234" i="34"/>
  <c r="X184" i="34"/>
  <c r="Y234" i="34"/>
  <c r="Y184" i="34"/>
  <c r="Z234" i="34"/>
  <c r="Z184" i="34"/>
  <c r="S102" i="34"/>
  <c r="R34" i="34"/>
  <c r="R44" i="34"/>
  <c r="S34" i="34"/>
  <c r="S44" i="34"/>
  <c r="T34" i="34"/>
  <c r="T44" i="34"/>
  <c r="U34" i="34"/>
  <c r="U44" i="34"/>
  <c r="V34" i="34"/>
  <c r="V44" i="34"/>
  <c r="W34" i="34"/>
  <c r="W44" i="34"/>
  <c r="X34" i="34"/>
  <c r="X44" i="34"/>
  <c r="Y34" i="34"/>
  <c r="Y44" i="34"/>
  <c r="Z34" i="34"/>
  <c r="Z44" i="34"/>
  <c r="AA234" i="34"/>
  <c r="AA184" i="34"/>
  <c r="AA196" i="34"/>
  <c r="AA197" i="34" s="1"/>
  <c r="AA34" i="34"/>
  <c r="AA44" i="34"/>
  <c r="H47" i="34"/>
  <c r="H120" i="34" s="1"/>
  <c r="E180" i="34"/>
  <c r="AI7" i="34" s="1"/>
  <c r="I54" i="34"/>
  <c r="I53" i="34" s="1"/>
  <c r="F20" i="34"/>
  <c r="I102" i="34"/>
  <c r="J102" i="34" s="1"/>
  <c r="K102" i="34" s="1"/>
  <c r="L102" i="34" s="1"/>
  <c r="M102" i="34" s="1"/>
  <c r="N102" i="34" s="1"/>
  <c r="O102" i="34" s="1"/>
  <c r="P102" i="34" s="1"/>
  <c r="Q102" i="34" s="1"/>
  <c r="H137" i="34"/>
  <c r="H136" i="34" s="1"/>
  <c r="G256" i="34"/>
  <c r="G257" i="34" s="1"/>
  <c r="H226" i="34"/>
  <c r="I226" i="34" s="1"/>
  <c r="J226" i="34" s="1"/>
  <c r="K226" i="34" s="1"/>
  <c r="L226" i="34" s="1"/>
  <c r="M226" i="34" s="1"/>
  <c r="N226" i="34" s="1"/>
  <c r="O226" i="34" s="1"/>
  <c r="P226" i="34" s="1"/>
  <c r="Q226" i="34" s="1"/>
  <c r="G242" i="34"/>
  <c r="G157" i="34" s="1"/>
  <c r="F182" i="34"/>
  <c r="F232" i="34"/>
  <c r="F242" i="34" s="1"/>
  <c r="AF8" i="34" s="1"/>
  <c r="F134" i="34"/>
  <c r="F22" i="34"/>
  <c r="F256" i="34"/>
  <c r="F257" i="34" s="1"/>
  <c r="H99" i="34"/>
  <c r="I99" i="34" s="1"/>
  <c r="H76" i="34"/>
  <c r="H214" i="34" s="1"/>
  <c r="AG7" i="34" s="1"/>
  <c r="E256" i="34"/>
  <c r="E257" i="34" s="1"/>
  <c r="G22" i="34"/>
  <c r="F180" i="34"/>
  <c r="E182" i="34"/>
  <c r="E232" i="34"/>
  <c r="E242" i="34" s="1"/>
  <c r="I21" i="34"/>
  <c r="H22" i="34"/>
  <c r="I68" i="34"/>
  <c r="J17" i="34"/>
  <c r="H19" i="34"/>
  <c r="G20" i="34"/>
  <c r="I108" i="34"/>
  <c r="I123" i="34"/>
  <c r="J88" i="34"/>
  <c r="H81" i="34"/>
  <c r="H118" i="34"/>
  <c r="H166" i="34"/>
  <c r="H211" i="34" s="1"/>
  <c r="I25" i="34"/>
  <c r="G190" i="34"/>
  <c r="AE9" i="34" s="1"/>
  <c r="AI9" i="34"/>
  <c r="J91" i="34"/>
  <c r="I8" i="17"/>
  <c r="G102" i="9"/>
  <c r="H102" i="9"/>
  <c r="I102" i="9"/>
  <c r="J102" i="9"/>
  <c r="K102" i="9"/>
  <c r="L102" i="9"/>
  <c r="M102" i="9"/>
  <c r="N102" i="9"/>
  <c r="O102" i="9"/>
  <c r="P102" i="9"/>
  <c r="Q102" i="9"/>
  <c r="G100" i="9"/>
  <c r="H100" i="9"/>
  <c r="I100" i="9"/>
  <c r="J100" i="9"/>
  <c r="K100" i="9"/>
  <c r="L100" i="9"/>
  <c r="M100" i="9"/>
  <c r="N100" i="9"/>
  <c r="O100" i="9"/>
  <c r="P100" i="9"/>
  <c r="Q100" i="9"/>
  <c r="G99" i="9"/>
  <c r="H99" i="9"/>
  <c r="I99" i="9"/>
  <c r="J99" i="9"/>
  <c r="K99" i="9"/>
  <c r="L99" i="9"/>
  <c r="M99" i="9"/>
  <c r="N99" i="9"/>
  <c r="O99" i="9"/>
  <c r="P99" i="9"/>
  <c r="Q99" i="9"/>
  <c r="K12" i="27"/>
  <c r="R119" i="9"/>
  <c r="R115" i="9"/>
  <c r="R114" i="9"/>
  <c r="R113" i="9"/>
  <c r="R112" i="9"/>
  <c r="R94" i="9"/>
  <c r="R93" i="9"/>
  <c r="R92" i="9"/>
  <c r="R91" i="9"/>
  <c r="R90" i="9"/>
  <c r="R89" i="9"/>
  <c r="R88" i="9"/>
  <c r="R87" i="9"/>
  <c r="R86" i="9"/>
  <c r="R85" i="9"/>
  <c r="R84" i="9"/>
  <c r="R83" i="9"/>
  <c r="R82" i="9"/>
  <c r="R81" i="9"/>
  <c r="R80" i="9"/>
  <c r="R79" i="9"/>
  <c r="R78" i="9"/>
  <c r="R77" i="9"/>
  <c r="R76" i="9"/>
  <c r="R75" i="9"/>
  <c r="R68" i="9"/>
  <c r="R67" i="9"/>
  <c r="R61" i="9"/>
  <c r="R60" i="9"/>
  <c r="R59" i="9"/>
  <c r="R58" i="9"/>
  <c r="R57" i="9"/>
  <c r="R56" i="9"/>
  <c r="R55" i="9"/>
  <c r="R54" i="9"/>
  <c r="R53" i="9"/>
  <c r="R52" i="9"/>
  <c r="R51" i="9"/>
  <c r="R50" i="9"/>
  <c r="R49" i="9"/>
  <c r="R48" i="9"/>
  <c r="R47" i="9"/>
  <c r="R44" i="9"/>
  <c r="R43" i="9"/>
  <c r="R42" i="9"/>
  <c r="R41" i="9"/>
  <c r="R40" i="9"/>
  <c r="R39" i="9"/>
  <c r="R38" i="9"/>
  <c r="R37" i="9"/>
  <c r="R36" i="9"/>
  <c r="R35" i="9"/>
  <c r="R34" i="9"/>
  <c r="R33" i="9"/>
  <c r="R32" i="9"/>
  <c r="R49" i="11"/>
  <c r="Q49" i="11"/>
  <c r="Q22" i="11"/>
  <c r="R22" i="11"/>
  <c r="P98" i="9" a="1"/>
  <c r="H98" i="9" a="1"/>
  <c r="AA45" i="34" l="1"/>
  <c r="Z45" i="34"/>
  <c r="Y45" i="34"/>
  <c r="X45" i="34"/>
  <c r="W45" i="34"/>
  <c r="V45" i="34"/>
  <c r="U45" i="34"/>
  <c r="T45" i="34"/>
  <c r="S45" i="34"/>
  <c r="R45" i="34"/>
  <c r="T102" i="34"/>
  <c r="T53" i="34"/>
  <c r="J54" i="34"/>
  <c r="K54" i="34" s="1"/>
  <c r="K53" i="34" s="1"/>
  <c r="H48" i="34"/>
  <c r="E190" i="34"/>
  <c r="AE7" i="34" s="1"/>
  <c r="F190" i="34"/>
  <c r="AE8" i="34" s="1"/>
  <c r="I137" i="34"/>
  <c r="J137" i="34" s="1"/>
  <c r="AI8" i="34"/>
  <c r="F157" i="34"/>
  <c r="I76" i="34"/>
  <c r="I214" i="34" s="1"/>
  <c r="AG8" i="34" s="1"/>
  <c r="AF9" i="34"/>
  <c r="H156" i="34"/>
  <c r="H154" i="34"/>
  <c r="J99" i="34"/>
  <c r="K99" i="34" s="1"/>
  <c r="I22" i="34"/>
  <c r="J21" i="34"/>
  <c r="K91" i="34"/>
  <c r="I19" i="34"/>
  <c r="H20" i="34"/>
  <c r="J123" i="34"/>
  <c r="AF7" i="34"/>
  <c r="E157" i="34"/>
  <c r="J68" i="34"/>
  <c r="K17" i="34"/>
  <c r="K88" i="34"/>
  <c r="I118" i="34"/>
  <c r="I81" i="34"/>
  <c r="I166" i="34"/>
  <c r="I211" i="34" s="1"/>
  <c r="J25" i="34"/>
  <c r="H133" i="34"/>
  <c r="H131" i="34" s="1"/>
  <c r="H182" i="34"/>
  <c r="H232" i="34"/>
  <c r="J108" i="34"/>
  <c r="P98" i="9"/>
  <c r="H98" i="9"/>
  <c r="S23" i="9"/>
  <c r="V23" i="9"/>
  <c r="S24" i="9" s="1"/>
  <c r="J10" i="6"/>
  <c r="J11" i="6"/>
  <c r="J9" i="6"/>
  <c r="I10" i="6"/>
  <c r="I11" i="6"/>
  <c r="I9" i="6"/>
  <c r="N94" i="9"/>
  <c r="N93" i="9"/>
  <c r="N88" i="9"/>
  <c r="N86" i="9"/>
  <c r="N85" i="9"/>
  <c r="N81" i="9"/>
  <c r="O81" i="9"/>
  <c r="N80" i="9"/>
  <c r="N78" i="9"/>
  <c r="N76" i="9" s="1"/>
  <c r="N77" i="9"/>
  <c r="N75" i="9"/>
  <c r="N72" i="9"/>
  <c r="N71" i="9"/>
  <c r="N70" i="9"/>
  <c r="N69" i="9"/>
  <c r="N6" i="33"/>
  <c r="O93" i="9" s="1"/>
  <c r="O6" i="33"/>
  <c r="P71" i="9" s="1"/>
  <c r="M36" i="33"/>
  <c r="N36" i="33"/>
  <c r="O36" i="33"/>
  <c r="P36" i="33"/>
  <c r="M35" i="33"/>
  <c r="N35" i="33"/>
  <c r="O35" i="33"/>
  <c r="P35" i="33"/>
  <c r="M34" i="33"/>
  <c r="N34" i="33"/>
  <c r="O34" i="33"/>
  <c r="P34" i="33"/>
  <c r="M33" i="33"/>
  <c r="N33" i="33"/>
  <c r="O33" i="33"/>
  <c r="P33" i="33"/>
  <c r="M32" i="33"/>
  <c r="N90" i="9" s="1"/>
  <c r="N32" i="33"/>
  <c r="O32" i="33"/>
  <c r="P32" i="33"/>
  <c r="M31" i="33"/>
  <c r="N89" i="9" s="1"/>
  <c r="N31" i="33"/>
  <c r="O31" i="33"/>
  <c r="P31" i="33"/>
  <c r="M29" i="33"/>
  <c r="N87" i="9" s="1"/>
  <c r="N29" i="33"/>
  <c r="O29" i="33"/>
  <c r="P29" i="33"/>
  <c r="M27" i="33"/>
  <c r="N27" i="33"/>
  <c r="O27" i="33"/>
  <c r="P27" i="33"/>
  <c r="M26" i="33"/>
  <c r="N26" i="33"/>
  <c r="O26" i="33"/>
  <c r="P26" i="33"/>
  <c r="M25" i="33"/>
  <c r="N83" i="9" s="1"/>
  <c r="N25" i="33"/>
  <c r="O25" i="33"/>
  <c r="P25" i="33"/>
  <c r="M24" i="33"/>
  <c r="N82" i="9" s="1"/>
  <c r="N24" i="33"/>
  <c r="O24" i="33"/>
  <c r="P24" i="33"/>
  <c r="M21" i="33"/>
  <c r="N21" i="33"/>
  <c r="O21" i="33"/>
  <c r="P21" i="33"/>
  <c r="M20" i="33"/>
  <c r="N20" i="33"/>
  <c r="O20" i="33"/>
  <c r="P20" i="33"/>
  <c r="M19" i="33"/>
  <c r="N19" i="33"/>
  <c r="O19" i="33"/>
  <c r="P19" i="33"/>
  <c r="M17" i="33"/>
  <c r="N17" i="33"/>
  <c r="O17" i="33"/>
  <c r="P17" i="33"/>
  <c r="M16" i="33"/>
  <c r="N16" i="33"/>
  <c r="O16" i="33"/>
  <c r="P16" i="33"/>
  <c r="M15" i="33"/>
  <c r="N73" i="9" s="1"/>
  <c r="N15" i="33"/>
  <c r="O15" i="33"/>
  <c r="P15" i="33"/>
  <c r="M14" i="33"/>
  <c r="N14" i="33"/>
  <c r="O14" i="33"/>
  <c r="P14" i="33"/>
  <c r="M12" i="33"/>
  <c r="N12" i="33"/>
  <c r="O12" i="33"/>
  <c r="P12" i="33"/>
  <c r="M11" i="33"/>
  <c r="N11" i="33"/>
  <c r="O11" i="33"/>
  <c r="P11" i="33"/>
  <c r="M10" i="33"/>
  <c r="N10" i="33"/>
  <c r="O10" i="33"/>
  <c r="P10" i="33"/>
  <c r="M9" i="33"/>
  <c r="N9" i="33"/>
  <c r="O9" i="33"/>
  <c r="P9" i="33"/>
  <c r="N7" i="33"/>
  <c r="O7" i="33" s="1"/>
  <c r="P7" i="33" s="1"/>
  <c r="M8" i="33"/>
  <c r="N8" i="33"/>
  <c r="O8" i="33"/>
  <c r="P8" i="33"/>
  <c r="K32" i="32"/>
  <c r="O59" i="9" s="1"/>
  <c r="L32" i="32"/>
  <c r="P59" i="9" s="1"/>
  <c r="M32" i="32"/>
  <c r="Q59" i="9" s="1"/>
  <c r="J32" i="32"/>
  <c r="N59" i="9" s="1"/>
  <c r="K27" i="32"/>
  <c r="L27" i="32"/>
  <c r="M27" i="32"/>
  <c r="J27" i="32"/>
  <c r="N57" i="9"/>
  <c r="O57" i="9"/>
  <c r="N56" i="9"/>
  <c r="N54" i="9"/>
  <c r="N52" i="9"/>
  <c r="N51" i="9"/>
  <c r="O51" i="9"/>
  <c r="O47" i="9"/>
  <c r="N43" i="9"/>
  <c r="O43" i="9"/>
  <c r="N41" i="9"/>
  <c r="O41" i="9"/>
  <c r="N36" i="9"/>
  <c r="O33" i="9"/>
  <c r="K3" i="32"/>
  <c r="O56" i="9" s="1"/>
  <c r="J31" i="32"/>
  <c r="K31" i="32"/>
  <c r="L31" i="32"/>
  <c r="M31" i="32"/>
  <c r="J30" i="32"/>
  <c r="K30" i="32"/>
  <c r="L30" i="32"/>
  <c r="M30" i="32"/>
  <c r="J29" i="32"/>
  <c r="K29" i="32"/>
  <c r="L29" i="32"/>
  <c r="M29" i="32"/>
  <c r="J28" i="32"/>
  <c r="K28" i="32"/>
  <c r="L28" i="32"/>
  <c r="M28" i="32"/>
  <c r="M22" i="32"/>
  <c r="J22" i="32"/>
  <c r="N49" i="9" s="1"/>
  <c r="J26" i="32"/>
  <c r="K26" i="32"/>
  <c r="L26" i="32"/>
  <c r="M26" i="32"/>
  <c r="J25" i="32"/>
  <c r="K25" i="32"/>
  <c r="O52" i="9" s="1"/>
  <c r="L25" i="32"/>
  <c r="M25" i="32"/>
  <c r="J24" i="32"/>
  <c r="K24" i="32"/>
  <c r="L24" i="32"/>
  <c r="M24" i="32"/>
  <c r="J23" i="32"/>
  <c r="K23" i="32"/>
  <c r="L23" i="32"/>
  <c r="M23" i="32"/>
  <c r="K22" i="32"/>
  <c r="L22" i="32"/>
  <c r="J21" i="32"/>
  <c r="K21" i="32"/>
  <c r="L21" i="32"/>
  <c r="M21" i="32"/>
  <c r="J20" i="32"/>
  <c r="N47" i="9" s="1"/>
  <c r="K20" i="32"/>
  <c r="L20" i="32"/>
  <c r="M20" i="32"/>
  <c r="J17" i="32"/>
  <c r="N44" i="9" s="1"/>
  <c r="K17" i="32"/>
  <c r="L17" i="32"/>
  <c r="M17" i="32"/>
  <c r="J16" i="32"/>
  <c r="K16" i="32"/>
  <c r="L16" i="32"/>
  <c r="M16" i="32"/>
  <c r="J14" i="32"/>
  <c r="K14" i="32"/>
  <c r="L14" i="32"/>
  <c r="M14" i="32"/>
  <c r="J13" i="32"/>
  <c r="N40" i="9" s="1"/>
  <c r="K13" i="32"/>
  <c r="O40" i="9" s="1"/>
  <c r="L13" i="32"/>
  <c r="M13" i="32"/>
  <c r="J11" i="32"/>
  <c r="N38" i="9" s="1"/>
  <c r="K11" i="32"/>
  <c r="O38" i="9" s="1"/>
  <c r="L11" i="32"/>
  <c r="M11" i="32"/>
  <c r="J12" i="32"/>
  <c r="K12" i="32"/>
  <c r="L12" i="32"/>
  <c r="M12" i="32"/>
  <c r="J10" i="32"/>
  <c r="K10" i="32"/>
  <c r="L10" i="32"/>
  <c r="M10" i="32"/>
  <c r="J9" i="32"/>
  <c r="K9" i="32"/>
  <c r="L9" i="32"/>
  <c r="M9" i="32"/>
  <c r="J8" i="32"/>
  <c r="N35" i="9" s="1"/>
  <c r="K8" i="32"/>
  <c r="L8" i="32"/>
  <c r="M8" i="32"/>
  <c r="J7" i="32"/>
  <c r="N34" i="9" s="1"/>
  <c r="K7" i="32"/>
  <c r="O34" i="9" s="1"/>
  <c r="L7" i="32"/>
  <c r="M7" i="32"/>
  <c r="J6" i="32"/>
  <c r="N33" i="9" s="1"/>
  <c r="K6" i="32"/>
  <c r="L6" i="32"/>
  <c r="M6" i="32"/>
  <c r="J5" i="32"/>
  <c r="K5" i="32"/>
  <c r="L5" i="32"/>
  <c r="M5" i="32"/>
  <c r="R7" i="9"/>
  <c r="R9" i="9"/>
  <c r="R10" i="9"/>
  <c r="R11" i="9"/>
  <c r="R13" i="9"/>
  <c r="R14" i="9"/>
  <c r="R15" i="9"/>
  <c r="R17" i="9"/>
  <c r="R18" i="9"/>
  <c r="R19" i="9"/>
  <c r="R20" i="9"/>
  <c r="R21" i="9"/>
  <c r="R23" i="9"/>
  <c r="R25" i="9"/>
  <c r="R26" i="9"/>
  <c r="R27" i="9"/>
  <c r="R28" i="9"/>
  <c r="R6" i="9"/>
  <c r="J98" i="9" a="1"/>
  <c r="N98" i="9" a="1"/>
  <c r="G98" i="9" a="1"/>
  <c r="K98" i="9" a="1"/>
  <c r="M98" i="9" a="1"/>
  <c r="Q98" i="9" a="1"/>
  <c r="I98" i="9" a="1"/>
  <c r="O98" i="9" a="1"/>
  <c r="L98" i="9" a="1"/>
  <c r="U102" i="34" l="1"/>
  <c r="U53" i="34"/>
  <c r="J53" i="34"/>
  <c r="L54" i="34"/>
  <c r="M54" i="34" s="1"/>
  <c r="M53" i="34" s="1"/>
  <c r="H240" i="34"/>
  <c r="AJ10" i="34" s="1"/>
  <c r="J76" i="34"/>
  <c r="L99" i="34"/>
  <c r="M99" i="34" s="1"/>
  <c r="L88" i="34"/>
  <c r="L91" i="34"/>
  <c r="L17" i="34"/>
  <c r="K68" i="34"/>
  <c r="H188" i="34"/>
  <c r="H238" i="34" s="1"/>
  <c r="H97" i="34"/>
  <c r="K21" i="34"/>
  <c r="J22" i="34"/>
  <c r="J81" i="34"/>
  <c r="J118" i="34"/>
  <c r="J166" i="34"/>
  <c r="J211" i="34" s="1"/>
  <c r="K25" i="34"/>
  <c r="K108" i="34"/>
  <c r="K137" i="34"/>
  <c r="H30" i="34"/>
  <c r="H33" i="34" s="1"/>
  <c r="H36" i="34"/>
  <c r="H122" i="34" s="1"/>
  <c r="H28" i="34"/>
  <c r="H87" i="34"/>
  <c r="H98" i="34"/>
  <c r="H151" i="34" s="1"/>
  <c r="J19" i="34"/>
  <c r="I27" i="34"/>
  <c r="I20" i="34"/>
  <c r="K123" i="34"/>
  <c r="G15" i="6"/>
  <c r="J98" i="9"/>
  <c r="N98" i="9"/>
  <c r="Q98" i="9"/>
  <c r="K98" i="9"/>
  <c r="I98" i="9"/>
  <c r="M98" i="9"/>
  <c r="L98" i="9"/>
  <c r="O98" i="9"/>
  <c r="G98" i="9"/>
  <c r="G16" i="6"/>
  <c r="P72" i="9"/>
  <c r="P86" i="9"/>
  <c r="O72" i="9"/>
  <c r="O86" i="9"/>
  <c r="P80" i="9"/>
  <c r="P94" i="9"/>
  <c r="O80" i="9"/>
  <c r="O94" i="9"/>
  <c r="P73" i="9"/>
  <c r="P87" i="9"/>
  <c r="O49" i="9"/>
  <c r="O73" i="9"/>
  <c r="O87" i="9"/>
  <c r="L3" i="32"/>
  <c r="P6" i="33"/>
  <c r="P81" i="9"/>
  <c r="P75" i="9"/>
  <c r="O89" i="9"/>
  <c r="O70" i="9"/>
  <c r="P90" i="9"/>
  <c r="P88" i="9"/>
  <c r="O75" i="9"/>
  <c r="O69" i="9"/>
  <c r="O82" i="9"/>
  <c r="P89" i="9"/>
  <c r="O83" i="9"/>
  <c r="P77" i="9"/>
  <c r="O35" i="9"/>
  <c r="O77" i="9"/>
  <c r="O76" i="9" s="1"/>
  <c r="P85" i="9"/>
  <c r="O71" i="9"/>
  <c r="O85" i="9"/>
  <c r="P78" i="9"/>
  <c r="P93" i="9"/>
  <c r="O88" i="9"/>
  <c r="P69" i="9"/>
  <c r="P82" i="9"/>
  <c r="P70" i="9"/>
  <c r="P83" i="9"/>
  <c r="O54" i="9"/>
  <c r="N29" i="11" s="1"/>
  <c r="N38" i="19" s="1"/>
  <c r="O90" i="9"/>
  <c r="O44" i="9"/>
  <c r="O36" i="9"/>
  <c r="O78" i="9"/>
  <c r="N8" i="31"/>
  <c r="O8" i="31"/>
  <c r="P8" i="31"/>
  <c r="M8" i="31"/>
  <c r="N7" i="9" s="1"/>
  <c r="N119" i="9" s="1"/>
  <c r="N20" i="9"/>
  <c r="O20" i="9"/>
  <c r="N15" i="9"/>
  <c r="N14" i="9"/>
  <c r="N11" i="9"/>
  <c r="O11" i="9"/>
  <c r="N10" i="9"/>
  <c r="M20" i="31"/>
  <c r="N23" i="9" s="1"/>
  <c r="N20" i="31"/>
  <c r="O20" i="31"/>
  <c r="P20" i="31"/>
  <c r="M19" i="31"/>
  <c r="N21" i="9" s="1"/>
  <c r="N19" i="31"/>
  <c r="O21" i="9" s="1"/>
  <c r="O19" i="31"/>
  <c r="P19" i="31"/>
  <c r="M18" i="31"/>
  <c r="N18" i="31"/>
  <c r="O18" i="31"/>
  <c r="P18" i="31"/>
  <c r="M17" i="31"/>
  <c r="N19" i="9" s="1"/>
  <c r="N17" i="31"/>
  <c r="O17" i="31"/>
  <c r="P17" i="31"/>
  <c r="M16" i="31"/>
  <c r="N18" i="9" s="1"/>
  <c r="N16" i="31"/>
  <c r="O16" i="31"/>
  <c r="P16" i="31"/>
  <c r="M15" i="31"/>
  <c r="N15" i="31"/>
  <c r="O15" i="31"/>
  <c r="P15" i="31"/>
  <c r="M11" i="31"/>
  <c r="N11" i="31"/>
  <c r="O11" i="31"/>
  <c r="P11" i="31"/>
  <c r="M10" i="31"/>
  <c r="N10" i="31"/>
  <c r="O10" i="31"/>
  <c r="P10" i="31"/>
  <c r="M9" i="31"/>
  <c r="N9" i="9" s="1"/>
  <c r="M22" i="11" s="1"/>
  <c r="N9" i="31"/>
  <c r="O9" i="31"/>
  <c r="P9" i="31"/>
  <c r="F18" i="4"/>
  <c r="N5" i="31"/>
  <c r="O19" i="9" s="1"/>
  <c r="F17" i="4"/>
  <c r="F7" i="4"/>
  <c r="N7" i="31"/>
  <c r="O7" i="31"/>
  <c r="P7" i="31"/>
  <c r="M7" i="31"/>
  <c r="M55" i="11" s="1"/>
  <c r="O6" i="31"/>
  <c r="P6" i="31" s="1"/>
  <c r="N6" i="31"/>
  <c r="I18" i="4"/>
  <c r="H18" i="4"/>
  <c r="G18" i="4"/>
  <c r="I17" i="4"/>
  <c r="H17" i="4"/>
  <c r="G17" i="4"/>
  <c r="N5" i="30"/>
  <c r="M5" i="30"/>
  <c r="L5" i="30"/>
  <c r="K5" i="30"/>
  <c r="N4" i="30"/>
  <c r="M4" i="30"/>
  <c r="L4" i="30"/>
  <c r="K4" i="30"/>
  <c r="N2" i="30"/>
  <c r="M2" i="30"/>
  <c r="K2" i="30"/>
  <c r="L2" i="30" s="1"/>
  <c r="K3" i="30"/>
  <c r="L3" i="30" s="1"/>
  <c r="M3" i="30" s="1"/>
  <c r="N3" i="30" s="1"/>
  <c r="I10" i="4"/>
  <c r="H10" i="4"/>
  <c r="G10" i="4"/>
  <c r="F10" i="4"/>
  <c r="I9" i="4"/>
  <c r="H9" i="4"/>
  <c r="G9" i="4"/>
  <c r="F9" i="4"/>
  <c r="I8" i="4"/>
  <c r="H8" i="4"/>
  <c r="G8" i="4"/>
  <c r="F8" i="4"/>
  <c r="I7" i="4"/>
  <c r="H7" i="4"/>
  <c r="G7" i="4"/>
  <c r="I6" i="4"/>
  <c r="H6" i="4"/>
  <c r="G6" i="4"/>
  <c r="M2" i="29"/>
  <c r="N2" i="29" s="1"/>
  <c r="O2" i="29" s="1"/>
  <c r="P2" i="29" s="1"/>
  <c r="F6" i="4"/>
  <c r="P8" i="29"/>
  <c r="O8" i="29"/>
  <c r="N8" i="29"/>
  <c r="M8" i="29"/>
  <c r="P7" i="29"/>
  <c r="O7" i="29"/>
  <c r="N7" i="29"/>
  <c r="M7" i="29"/>
  <c r="P6" i="29"/>
  <c r="O6" i="29"/>
  <c r="N6" i="29"/>
  <c r="M6" i="29"/>
  <c r="P5" i="29"/>
  <c r="O5" i="29"/>
  <c r="N5" i="29"/>
  <c r="M5" i="29"/>
  <c r="P4" i="29"/>
  <c r="O4" i="29"/>
  <c r="N4" i="29"/>
  <c r="M4" i="29"/>
  <c r="O3" i="29"/>
  <c r="P3" i="29" s="1"/>
  <c r="N3" i="29"/>
  <c r="U15" i="19"/>
  <c r="U14" i="19"/>
  <c r="L9" i="27"/>
  <c r="K9" i="27"/>
  <c r="L8" i="27"/>
  <c r="K8" i="27"/>
  <c r="V35" i="19"/>
  <c r="V34" i="19"/>
  <c r="V32" i="19"/>
  <c r="V33" i="19"/>
  <c r="O64" i="11"/>
  <c r="O43" i="19" s="1"/>
  <c r="N64" i="11"/>
  <c r="N43" i="19" s="1"/>
  <c r="M64" i="11"/>
  <c r="L64" i="11"/>
  <c r="K64" i="11"/>
  <c r="J64" i="11"/>
  <c r="I64" i="11"/>
  <c r="H64" i="11"/>
  <c r="G64" i="11"/>
  <c r="F64" i="11"/>
  <c r="O62" i="11"/>
  <c r="N62" i="11"/>
  <c r="M62" i="11"/>
  <c r="L62" i="11"/>
  <c r="K62" i="11"/>
  <c r="J62" i="11"/>
  <c r="I62" i="11"/>
  <c r="H62" i="11"/>
  <c r="G62" i="11"/>
  <c r="F62" i="11"/>
  <c r="O60" i="11"/>
  <c r="N60" i="11"/>
  <c r="M60" i="11"/>
  <c r="L60" i="11"/>
  <c r="K60" i="11"/>
  <c r="J60" i="11"/>
  <c r="I60" i="11"/>
  <c r="H60" i="11"/>
  <c r="G60" i="11"/>
  <c r="F60" i="11"/>
  <c r="O59" i="11"/>
  <c r="N59" i="11"/>
  <c r="M59" i="11"/>
  <c r="L59" i="11"/>
  <c r="K59" i="11"/>
  <c r="J59" i="11"/>
  <c r="I59" i="11"/>
  <c r="H59" i="11"/>
  <c r="G59" i="11"/>
  <c r="F59" i="11"/>
  <c r="O53" i="11"/>
  <c r="P53" i="11" s="1"/>
  <c r="H53" i="11"/>
  <c r="I53" i="11" s="1"/>
  <c r="J53" i="11" s="1"/>
  <c r="K53" i="11" s="1"/>
  <c r="L53" i="11" s="1"/>
  <c r="M53" i="11" s="1"/>
  <c r="G53" i="11"/>
  <c r="L55" i="11"/>
  <c r="K55" i="11"/>
  <c r="J55" i="11"/>
  <c r="I55" i="11"/>
  <c r="H55" i="11"/>
  <c r="G55" i="11"/>
  <c r="F55" i="11"/>
  <c r="M29" i="11"/>
  <c r="L29" i="11"/>
  <c r="K29" i="11"/>
  <c r="J29" i="11"/>
  <c r="I29" i="11"/>
  <c r="H29" i="11"/>
  <c r="G29" i="11"/>
  <c r="F29" i="11"/>
  <c r="M27" i="11"/>
  <c r="L27" i="11"/>
  <c r="K27" i="11"/>
  <c r="J27" i="11"/>
  <c r="I27" i="11"/>
  <c r="H27" i="11"/>
  <c r="G27" i="11"/>
  <c r="F27" i="11"/>
  <c r="L22" i="11"/>
  <c r="K22" i="11"/>
  <c r="J22" i="11"/>
  <c r="I22" i="11"/>
  <c r="H22" i="11"/>
  <c r="G22" i="11"/>
  <c r="F22" i="11"/>
  <c r="O17" i="17" a="1"/>
  <c r="O17" i="17" s="1"/>
  <c r="O16" i="17" a="1"/>
  <c r="O16" i="17" s="1"/>
  <c r="O15" i="17" a="1"/>
  <c r="O15" i="17" s="1"/>
  <c r="O14" i="17" a="1"/>
  <c r="O14" i="17" s="1"/>
  <c r="O13" i="17" a="1"/>
  <c r="O13" i="17" s="1"/>
  <c r="O12" i="17" a="1"/>
  <c r="O12" i="17" s="1"/>
  <c r="O11" i="17" a="1"/>
  <c r="O11" i="17" s="1"/>
  <c r="O10" i="17" a="1"/>
  <c r="O10" i="17" s="1"/>
  <c r="O9" i="17" a="1"/>
  <c r="O9" i="17" s="1"/>
  <c r="O8" i="17" a="1"/>
  <c r="O8" i="17" s="1"/>
  <c r="N17" i="17" a="1"/>
  <c r="N17" i="17" s="1"/>
  <c r="N16" i="17" a="1"/>
  <c r="N16" i="17" s="1"/>
  <c r="N15" i="17" a="1"/>
  <c r="N15" i="17" s="1"/>
  <c r="N14" i="17" a="1"/>
  <c r="N14" i="17" s="1"/>
  <c r="N13" i="17" a="1"/>
  <c r="N13" i="17" s="1"/>
  <c r="N12" i="17" a="1"/>
  <c r="N12" i="17" s="1"/>
  <c r="N11" i="17" a="1"/>
  <c r="N11" i="17" s="1"/>
  <c r="N10" i="17" a="1"/>
  <c r="N10" i="17" s="1"/>
  <c r="N9" i="17" a="1"/>
  <c r="N9" i="17" s="1"/>
  <c r="N8" i="17" a="1"/>
  <c r="N8" i="17" s="1"/>
  <c r="M17" i="17" a="1"/>
  <c r="M17" i="17" s="1"/>
  <c r="M16" i="17" a="1"/>
  <c r="M16" i="17" s="1"/>
  <c r="M15" i="17" a="1"/>
  <c r="M15" i="17" s="1"/>
  <c r="M13" i="17" a="1"/>
  <c r="M13" i="17" s="1"/>
  <c r="M12" i="17" a="1"/>
  <c r="M12" i="17" s="1"/>
  <c r="M11" i="17" a="1"/>
  <c r="M11" i="17" s="1"/>
  <c r="M10" i="17" a="1"/>
  <c r="M10" i="17" s="1"/>
  <c r="M9" i="17" a="1"/>
  <c r="M9" i="17" s="1"/>
  <c r="M8" i="17" a="1"/>
  <c r="M8" i="17" s="1"/>
  <c r="L17" i="17" a="1"/>
  <c r="L17" i="17" s="1"/>
  <c r="L16" i="17" a="1"/>
  <c r="L16" i="17" s="1"/>
  <c r="L15" i="17" a="1"/>
  <c r="L15" i="17" s="1"/>
  <c r="L13" i="17" a="1"/>
  <c r="L13" i="17" s="1"/>
  <c r="L12" i="17" a="1"/>
  <c r="L12" i="17"/>
  <c r="L11" i="17" a="1"/>
  <c r="L11" i="17" s="1"/>
  <c r="L10" i="17" a="1"/>
  <c r="L10" i="17" s="1"/>
  <c r="L9" i="17" a="1"/>
  <c r="L9" i="17" s="1"/>
  <c r="L8" i="17" a="1"/>
  <c r="L8" i="17" s="1"/>
  <c r="K17" i="17" a="1"/>
  <c r="K17" i="17" s="1"/>
  <c r="K16" i="17" a="1"/>
  <c r="K16" i="17" s="1"/>
  <c r="K15" i="17" a="1"/>
  <c r="K15" i="17" s="1"/>
  <c r="K13" i="17" a="1"/>
  <c r="K13" i="17" s="1"/>
  <c r="K12" i="17" a="1"/>
  <c r="K12" i="17" s="1"/>
  <c r="K11" i="17" a="1"/>
  <c r="K11" i="17" s="1"/>
  <c r="K10" i="17" a="1"/>
  <c r="K10" i="17" s="1"/>
  <c r="K9" i="17" a="1"/>
  <c r="K9" i="17" s="1"/>
  <c r="K8" i="17" a="1"/>
  <c r="K8" i="17" s="1"/>
  <c r="J17" i="17" a="1"/>
  <c r="J17" i="17" s="1"/>
  <c r="J16" i="17" a="1"/>
  <c r="J16" i="17" s="1"/>
  <c r="J15" i="17" a="1"/>
  <c r="J15" i="17" s="1"/>
  <c r="J13" i="17" a="1"/>
  <c r="J13" i="17" s="1"/>
  <c r="J12" i="17" a="1"/>
  <c r="J12" i="17" s="1"/>
  <c r="J11" i="17" a="1"/>
  <c r="J11" i="17"/>
  <c r="J10" i="17" a="1"/>
  <c r="J10" i="17" s="1"/>
  <c r="J9" i="17" a="1"/>
  <c r="J9" i="17" s="1"/>
  <c r="J8" i="17" a="1"/>
  <c r="J8" i="17" s="1"/>
  <c r="I17" i="17"/>
  <c r="I16" i="17"/>
  <c r="I15" i="17"/>
  <c r="I14" i="17"/>
  <c r="I13" i="17"/>
  <c r="I12" i="17"/>
  <c r="I11"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5" i="17"/>
  <c r="E14" i="17"/>
  <c r="E13" i="17"/>
  <c r="E12" i="17"/>
  <c r="E11" i="17"/>
  <c r="E10" i="17"/>
  <c r="E9" i="17"/>
  <c r="E8" i="17"/>
  <c r="D17" i="17"/>
  <c r="D16" i="17"/>
  <c r="D15" i="17"/>
  <c r="D14" i="17"/>
  <c r="D13" i="17"/>
  <c r="D12" i="17"/>
  <c r="D11" i="17"/>
  <c r="D10" i="17"/>
  <c r="D9" i="17"/>
  <c r="D8" i="17"/>
  <c r="C17" i="17" a="1"/>
  <c r="C17" i="17" s="1"/>
  <c r="C16" i="17" a="1"/>
  <c r="C16" i="17" s="1"/>
  <c r="C15" i="17" a="1"/>
  <c r="C15" i="17" s="1"/>
  <c r="C14" i="17" a="1"/>
  <c r="C14" i="17" s="1"/>
  <c r="C13" i="17" a="1"/>
  <c r="C13" i="17" s="1"/>
  <c r="C12" i="17" a="1"/>
  <c r="C12" i="17" s="1"/>
  <c r="J29" i="17" s="1"/>
  <c r="J80" i="17" s="1"/>
  <c r="C11" i="17" a="1"/>
  <c r="C11" i="17" s="1"/>
  <c r="C10" i="17" a="1"/>
  <c r="C10" i="17" s="1"/>
  <c r="C9" i="17" a="1"/>
  <c r="C9" i="17" s="1"/>
  <c r="C8" i="17" a="1"/>
  <c r="C8" i="17" s="1"/>
  <c r="B17" i="17" a="1"/>
  <c r="B17" i="17" s="1"/>
  <c r="B16" i="17" a="1"/>
  <c r="B16" i="17" s="1"/>
  <c r="B15" i="17" a="1"/>
  <c r="B15" i="17" s="1"/>
  <c r="B14" i="17" a="1"/>
  <c r="B14" i="17" s="1"/>
  <c r="B13" i="17" a="1"/>
  <c r="B13" i="17" s="1"/>
  <c r="B12" i="17" a="1"/>
  <c r="B12" i="17" s="1"/>
  <c r="B11" i="17" a="1"/>
  <c r="B11" i="17" s="1"/>
  <c r="B10" i="17" a="1"/>
  <c r="B10" i="17" s="1"/>
  <c r="B9" i="17" a="1"/>
  <c r="B9" i="17" s="1"/>
  <c r="B8" i="17" a="1"/>
  <c r="B8" i="17" s="1"/>
  <c r="N85" i="17" a="1"/>
  <c r="N85" i="17" s="1"/>
  <c r="M85" i="17" a="1"/>
  <c r="M85" i="17" s="1"/>
  <c r="L85" i="17" a="1"/>
  <c r="L85" i="17" s="1"/>
  <c r="K85" i="17" a="1"/>
  <c r="K85" i="17" s="1"/>
  <c r="J85" i="17" a="1"/>
  <c r="J85" i="17" s="1"/>
  <c r="I85" i="17" a="1"/>
  <c r="I85" i="17" s="1"/>
  <c r="H85" i="17" a="1"/>
  <c r="H85" i="17" s="1"/>
  <c r="G85" i="17" a="1"/>
  <c r="G85" i="17" s="1"/>
  <c r="F85" i="17" a="1"/>
  <c r="F85" i="17" s="1"/>
  <c r="E85" i="17" a="1"/>
  <c r="E85" i="17" s="1"/>
  <c r="N75" i="17"/>
  <c r="M75" i="17"/>
  <c r="L75" i="17"/>
  <c r="K75" i="17"/>
  <c r="J75" i="17"/>
  <c r="I75" i="17"/>
  <c r="H75" i="17"/>
  <c r="G75" i="17"/>
  <c r="F75" i="17"/>
  <c r="E75" i="17"/>
  <c r="N74" i="17" a="1"/>
  <c r="N74" i="17" s="1"/>
  <c r="M74" i="17" a="1"/>
  <c r="M74" i="17" s="1"/>
  <c r="L74" i="17" a="1"/>
  <c r="L74" i="17" s="1"/>
  <c r="K74" i="17"/>
  <c r="K74" i="17" a="1"/>
  <c r="J74" i="17" a="1"/>
  <c r="J74" i="17" s="1"/>
  <c r="I74" i="17" a="1"/>
  <c r="I74" i="17" s="1"/>
  <c r="H74" i="17" a="1"/>
  <c r="H74" i="17" s="1"/>
  <c r="G74" i="17" a="1"/>
  <c r="G74" i="17" s="1"/>
  <c r="F74" i="17" a="1"/>
  <c r="F74" i="17" s="1"/>
  <c r="E74" i="17" a="1"/>
  <c r="E74" i="17" s="1"/>
  <c r="E69" i="3"/>
  <c r="E63" i="3"/>
  <c r="E57" i="3"/>
  <c r="E51" i="3"/>
  <c r="E44" i="3"/>
  <c r="N120" i="9"/>
  <c r="R120" i="9" s="1"/>
  <c r="M120" i="9"/>
  <c r="L120" i="9"/>
  <c r="K120" i="9"/>
  <c r="J120" i="9"/>
  <c r="I120" i="9"/>
  <c r="H120" i="9"/>
  <c r="G120" i="9"/>
  <c r="M119" i="9"/>
  <c r="L119" i="9"/>
  <c r="K119" i="9"/>
  <c r="J119" i="9"/>
  <c r="I119" i="9"/>
  <c r="H119" i="9"/>
  <c r="G119" i="9"/>
  <c r="N118" i="9"/>
  <c r="R118" i="9" s="1"/>
  <c r="M118" i="9"/>
  <c r="L118" i="9"/>
  <c r="K118" i="9"/>
  <c r="J118" i="9"/>
  <c r="I118" i="9"/>
  <c r="H118" i="9"/>
  <c r="G118" i="9"/>
  <c r="O114" i="9"/>
  <c r="N114" i="9"/>
  <c r="M114" i="9"/>
  <c r="L114" i="9"/>
  <c r="K114" i="9"/>
  <c r="J114" i="9"/>
  <c r="I114" i="9"/>
  <c r="H114" i="9"/>
  <c r="G114" i="9"/>
  <c r="O113" i="9"/>
  <c r="N113" i="9"/>
  <c r="M113" i="9"/>
  <c r="L113" i="9"/>
  <c r="K113" i="9"/>
  <c r="J113" i="9"/>
  <c r="I113" i="9"/>
  <c r="H113" i="9"/>
  <c r="G113" i="9"/>
  <c r="M79" i="9"/>
  <c r="V73" i="19"/>
  <c r="V72" i="19"/>
  <c r="V71" i="19"/>
  <c r="V70" i="19"/>
  <c r="V69" i="19"/>
  <c r="V68" i="19"/>
  <c r="V67" i="19"/>
  <c r="V66" i="19"/>
  <c r="V65" i="19"/>
  <c r="V64" i="19"/>
  <c r="V63" i="19"/>
  <c r="V62" i="19"/>
  <c r="V61" i="19"/>
  <c r="O61" i="11"/>
  <c r="N61" i="11"/>
  <c r="M61" i="11"/>
  <c r="L61" i="11"/>
  <c r="K61" i="11"/>
  <c r="J61" i="11"/>
  <c r="I61" i="11"/>
  <c r="H61" i="11"/>
  <c r="G61" i="11"/>
  <c r="F61" i="11"/>
  <c r="N67" i="17"/>
  <c r="M67" i="17"/>
  <c r="L67" i="17"/>
  <c r="K67" i="17"/>
  <c r="J67" i="17"/>
  <c r="I67" i="17"/>
  <c r="H67" i="17"/>
  <c r="G67" i="17"/>
  <c r="F67" i="17"/>
  <c r="E67" i="17"/>
  <c r="K16" i="27"/>
  <c r="K15" i="27"/>
  <c r="K14" i="27"/>
  <c r="K13" i="27"/>
  <c r="N66" i="17"/>
  <c r="M66" i="17"/>
  <c r="L66" i="17"/>
  <c r="K66" i="17"/>
  <c r="J66" i="17"/>
  <c r="I66" i="17"/>
  <c r="H66" i="17"/>
  <c r="G66" i="17"/>
  <c r="F66" i="17"/>
  <c r="E66" i="17"/>
  <c r="R218" i="34" l="1"/>
  <c r="R219" i="34" s="1"/>
  <c r="S218" i="34"/>
  <c r="S219" i="34" s="1"/>
  <c r="T218" i="34"/>
  <c r="T219" i="34" s="1"/>
  <c r="U218" i="34"/>
  <c r="U219" i="34" s="1"/>
  <c r="V218" i="34"/>
  <c r="V219" i="34" s="1"/>
  <c r="W218" i="34"/>
  <c r="W219" i="34" s="1"/>
  <c r="X218" i="34"/>
  <c r="X219" i="34" s="1"/>
  <c r="Y218" i="34"/>
  <c r="Y219" i="34" s="1"/>
  <c r="Z218" i="34"/>
  <c r="Z219" i="34" s="1"/>
  <c r="AA218" i="34"/>
  <c r="AA219" i="34" s="1"/>
  <c r="V102" i="34"/>
  <c r="V53" i="34"/>
  <c r="N54" i="34"/>
  <c r="N53" i="34" s="1"/>
  <c r="L53" i="34"/>
  <c r="J214" i="34"/>
  <c r="AG9" i="34" s="1"/>
  <c r="K76" i="34"/>
  <c r="H34" i="34"/>
  <c r="H234" i="34"/>
  <c r="H184" i="34"/>
  <c r="L68" i="34"/>
  <c r="M17" i="34"/>
  <c r="H90" i="34"/>
  <c r="H107" i="34"/>
  <c r="N99" i="34"/>
  <c r="K19" i="34"/>
  <c r="J20" i="34"/>
  <c r="J27" i="34"/>
  <c r="K81" i="34"/>
  <c r="K118" i="34"/>
  <c r="K166" i="34"/>
  <c r="K211" i="34" s="1"/>
  <c r="L25" i="34"/>
  <c r="L21" i="34"/>
  <c r="K22" i="34"/>
  <c r="H171" i="34"/>
  <c r="H159" i="34"/>
  <c r="H71" i="34"/>
  <c r="H42" i="34"/>
  <c r="H44" i="34" s="1"/>
  <c r="H141" i="34"/>
  <c r="H143" i="34" s="1"/>
  <c r="H93" i="34"/>
  <c r="H110" i="34"/>
  <c r="H111" i="34" s="1"/>
  <c r="H127" i="34"/>
  <c r="L123" i="34"/>
  <c r="M91" i="34"/>
  <c r="M88" i="34"/>
  <c r="I28" i="34"/>
  <c r="I87" i="34"/>
  <c r="I98" i="34"/>
  <c r="I151" i="34" s="1"/>
  <c r="L137" i="34"/>
  <c r="L108" i="34"/>
  <c r="I50" i="34"/>
  <c r="H96" i="34"/>
  <c r="I136" i="34"/>
  <c r="N27" i="11"/>
  <c r="N36" i="19" s="1"/>
  <c r="Q86" i="9"/>
  <c r="P60" i="11" s="1"/>
  <c r="Q72" i="9"/>
  <c r="Q71" i="9"/>
  <c r="Q77" i="9"/>
  <c r="Q89" i="9"/>
  <c r="Q69" i="9"/>
  <c r="Q93" i="9"/>
  <c r="Q78" i="9"/>
  <c r="Q83" i="9"/>
  <c r="Q85" i="9"/>
  <c r="P59" i="11" s="1"/>
  <c r="Q90" i="9"/>
  <c r="Q70" i="9"/>
  <c r="Q82" i="9"/>
  <c r="Q88" i="9"/>
  <c r="Q81" i="9"/>
  <c r="Q87" i="9"/>
  <c r="P61" i="11" s="1"/>
  <c r="Q73" i="9"/>
  <c r="Q94" i="9"/>
  <c r="P64" i="11" s="1"/>
  <c r="P43" i="19" s="1"/>
  <c r="Q80" i="9"/>
  <c r="Q75" i="9"/>
  <c r="P62" i="11" s="1"/>
  <c r="P36" i="9"/>
  <c r="P44" i="9"/>
  <c r="P54" i="9"/>
  <c r="P35" i="9"/>
  <c r="P52" i="9"/>
  <c r="P56" i="9"/>
  <c r="P43" i="9"/>
  <c r="P34" i="9"/>
  <c r="P51" i="9"/>
  <c r="P38" i="9"/>
  <c r="P41" i="9"/>
  <c r="M3" i="32"/>
  <c r="P49" i="9"/>
  <c r="P57" i="9"/>
  <c r="P40" i="9"/>
  <c r="P47" i="9"/>
  <c r="P33" i="9"/>
  <c r="P76" i="9"/>
  <c r="O14" i="9"/>
  <c r="O5" i="31"/>
  <c r="O23" i="9"/>
  <c r="O7" i="9"/>
  <c r="O119" i="9" s="1"/>
  <c r="O15" i="9"/>
  <c r="O6" i="9"/>
  <c r="O18" i="9"/>
  <c r="O10" i="9"/>
  <c r="O9" i="9"/>
  <c r="D10" i="4"/>
  <c r="D11" i="4"/>
  <c r="D8" i="4"/>
  <c r="D9" i="4"/>
  <c r="D12" i="4"/>
  <c r="D7" i="4"/>
  <c r="F19" i="27"/>
  <c r="D17" i="27"/>
  <c r="F10" i="27"/>
  <c r="H8" i="27"/>
  <c r="E7" i="27"/>
  <c r="H11" i="27"/>
  <c r="G8" i="27"/>
  <c r="F8" i="27"/>
  <c r="H9" i="27"/>
  <c r="F9" i="27"/>
  <c r="H7" i="27"/>
  <c r="H10" i="27"/>
  <c r="G7" i="27"/>
  <c r="G10" i="27"/>
  <c r="F7" i="27"/>
  <c r="E19" i="27"/>
  <c r="E10" i="27"/>
  <c r="D7" i="27"/>
  <c r="F18" i="27"/>
  <c r="E8" i="27"/>
  <c r="E18" i="27"/>
  <c r="G9" i="27"/>
  <c r="L14" i="27"/>
  <c r="L13" i="27"/>
  <c r="D19" i="27"/>
  <c r="G11" i="27"/>
  <c r="D10" i="27"/>
  <c r="F11" i="27"/>
  <c r="E11" i="27"/>
  <c r="D8" i="27"/>
  <c r="D18" i="27"/>
  <c r="F17" i="27"/>
  <c r="E9" i="27"/>
  <c r="L12" i="27"/>
  <c r="D11" i="27"/>
  <c r="E17" i="27"/>
  <c r="D9" i="27"/>
  <c r="L15" i="27"/>
  <c r="N63" i="17"/>
  <c r="M63" i="17"/>
  <c r="L63" i="17"/>
  <c r="K63" i="17"/>
  <c r="J63" i="17"/>
  <c r="I63" i="17"/>
  <c r="H63" i="17"/>
  <c r="G63" i="17"/>
  <c r="F63" i="17"/>
  <c r="E63" i="17"/>
  <c r="I105" i="9"/>
  <c r="J105" i="9"/>
  <c r="K105" i="9"/>
  <c r="L105" i="9" s="1"/>
  <c r="M105" i="9" s="1"/>
  <c r="N105" i="9" s="1"/>
  <c r="O105" i="9" s="1"/>
  <c r="P105" i="9" s="1"/>
  <c r="Q105" i="9" s="1"/>
  <c r="N65" i="17"/>
  <c r="M65" i="17"/>
  <c r="L65" i="17"/>
  <c r="K65" i="17"/>
  <c r="J65" i="17"/>
  <c r="I65" i="17"/>
  <c r="H65" i="17"/>
  <c r="G65" i="17"/>
  <c r="F65" i="17"/>
  <c r="E65" i="17"/>
  <c r="W102" i="34" l="1"/>
  <c r="W53" i="34"/>
  <c r="O54" i="34"/>
  <c r="O53" i="34" s="1"/>
  <c r="H94" i="34"/>
  <c r="I93" i="34"/>
  <c r="K214" i="34"/>
  <c r="AG10" i="34" s="1"/>
  <c r="L76" i="34"/>
  <c r="M76" i="34" s="1"/>
  <c r="M214" i="34" s="1"/>
  <c r="AG12" i="34" s="1"/>
  <c r="H125" i="34"/>
  <c r="H186" i="34" s="1"/>
  <c r="H236" i="34" s="1"/>
  <c r="H45" i="34"/>
  <c r="H56" i="34"/>
  <c r="H172" i="34"/>
  <c r="H170" i="34"/>
  <c r="H169" i="34"/>
  <c r="H168" i="34" s="1"/>
  <c r="L19" i="34"/>
  <c r="K20" i="34"/>
  <c r="K27" i="34"/>
  <c r="AM10" i="34"/>
  <c r="AO10" i="34"/>
  <c r="M21" i="34"/>
  <c r="L22" i="34"/>
  <c r="I159" i="34"/>
  <c r="I141" i="34"/>
  <c r="I71" i="34"/>
  <c r="I110" i="34"/>
  <c r="I111" i="34" s="1"/>
  <c r="I42" i="34"/>
  <c r="I171" i="34"/>
  <c r="I127" i="34"/>
  <c r="M123" i="34"/>
  <c r="L118" i="34"/>
  <c r="L81" i="34"/>
  <c r="L166" i="34"/>
  <c r="L211" i="34" s="1"/>
  <c r="M25" i="34"/>
  <c r="M68" i="34"/>
  <c r="N17" i="34"/>
  <c r="I47" i="34"/>
  <c r="I100" i="34"/>
  <c r="N88" i="34"/>
  <c r="M108" i="34"/>
  <c r="N91" i="34"/>
  <c r="J28" i="34"/>
  <c r="J87" i="34"/>
  <c r="J98" i="34"/>
  <c r="J151" i="34" s="1"/>
  <c r="M137" i="34"/>
  <c r="N137" i="34" s="1"/>
  <c r="O99" i="34"/>
  <c r="P113" i="9"/>
  <c r="Q47" i="9"/>
  <c r="Q35" i="9"/>
  <c r="Q52" i="9"/>
  <c r="Q34" i="9"/>
  <c r="Q51" i="9"/>
  <c r="Q56" i="9"/>
  <c r="Q36" i="9"/>
  <c r="Q44" i="9"/>
  <c r="Q54" i="9"/>
  <c r="Q38" i="9"/>
  <c r="P29" i="11" s="1"/>
  <c r="P38" i="19" s="1"/>
  <c r="Q43" i="9"/>
  <c r="Q41" i="9"/>
  <c r="Q49" i="9"/>
  <c r="Q57" i="9"/>
  <c r="Q40" i="9"/>
  <c r="Q33" i="9"/>
  <c r="Q76" i="9"/>
  <c r="O27" i="11"/>
  <c r="O36" i="19" s="1"/>
  <c r="O29" i="11"/>
  <c r="O38" i="19" s="1"/>
  <c r="P114" i="9"/>
  <c r="N55" i="11"/>
  <c r="O118" i="9"/>
  <c r="O120" i="9"/>
  <c r="N22" i="11"/>
  <c r="N32" i="19" s="1"/>
  <c r="P10" i="9"/>
  <c r="P19" i="9"/>
  <c r="P9" i="9"/>
  <c r="O22" i="11" s="1"/>
  <c r="O32" i="19" s="1"/>
  <c r="P18" i="9"/>
  <c r="P6" i="9"/>
  <c r="P15" i="9"/>
  <c r="P7" i="9"/>
  <c r="P119" i="9" s="1"/>
  <c r="P23" i="9"/>
  <c r="P5" i="31"/>
  <c r="P14" i="9"/>
  <c r="P21" i="9"/>
  <c r="P11" i="9"/>
  <c r="P20" i="9"/>
  <c r="F64" i="17"/>
  <c r="G64" i="17"/>
  <c r="H64" i="17"/>
  <c r="I64" i="17"/>
  <c r="J64" i="17"/>
  <c r="K64" i="17"/>
  <c r="L64" i="17"/>
  <c r="M64" i="17"/>
  <c r="N64" i="17"/>
  <c r="E68" i="17"/>
  <c r="F68" i="17"/>
  <c r="G68" i="17"/>
  <c r="H68" i="17"/>
  <c r="I68" i="17"/>
  <c r="J68" i="17"/>
  <c r="K68" i="17"/>
  <c r="L68" i="17"/>
  <c r="M68" i="17"/>
  <c r="N68" i="17"/>
  <c r="E64" i="17"/>
  <c r="J93" i="34" l="1"/>
  <c r="J94" i="34" s="1"/>
  <c r="X102" i="34"/>
  <c r="X53" i="34"/>
  <c r="P54" i="34"/>
  <c r="Q54" i="34" s="1"/>
  <c r="I94" i="34"/>
  <c r="Q53" i="34"/>
  <c r="P53" i="34"/>
  <c r="N76" i="34"/>
  <c r="O76" i="34" s="1"/>
  <c r="L214" i="34"/>
  <c r="AG11" i="34" s="1"/>
  <c r="O137" i="34"/>
  <c r="O91" i="34"/>
  <c r="N68" i="34"/>
  <c r="O17" i="34"/>
  <c r="K28" i="34"/>
  <c r="K98" i="34"/>
  <c r="K151" i="34" s="1"/>
  <c r="K87" i="34"/>
  <c r="P99" i="34"/>
  <c r="M81" i="34"/>
  <c r="M166" i="34"/>
  <c r="M211" i="34" s="1"/>
  <c r="N25" i="34"/>
  <c r="M118" i="34"/>
  <c r="N108" i="34"/>
  <c r="L20" i="34"/>
  <c r="M19" i="34"/>
  <c r="L27" i="34"/>
  <c r="O88" i="34"/>
  <c r="M22" i="34"/>
  <c r="N21" i="34"/>
  <c r="N123" i="34"/>
  <c r="J42" i="34"/>
  <c r="J110" i="34"/>
  <c r="J111" i="34" s="1"/>
  <c r="J159" i="34"/>
  <c r="J171" i="34"/>
  <c r="J141" i="34"/>
  <c r="J127" i="34"/>
  <c r="J71" i="34"/>
  <c r="I48" i="34"/>
  <c r="I120" i="34"/>
  <c r="I172" i="34"/>
  <c r="I169" i="34"/>
  <c r="I168" i="34" s="1"/>
  <c r="I170" i="34"/>
  <c r="H73" i="34"/>
  <c r="H57" i="34"/>
  <c r="H177" i="34" s="1"/>
  <c r="H228" i="34"/>
  <c r="H75" i="34"/>
  <c r="P27" i="11"/>
  <c r="P36" i="19" s="1"/>
  <c r="Q113" i="9"/>
  <c r="Q114" i="9"/>
  <c r="O55" i="11"/>
  <c r="P118" i="9"/>
  <c r="P120" i="9"/>
  <c r="Q20" i="9"/>
  <c r="Q10" i="9"/>
  <c r="Q19" i="9"/>
  <c r="Q9" i="9"/>
  <c r="P22" i="11" s="1"/>
  <c r="P32" i="19" s="1"/>
  <c r="Q18" i="9"/>
  <c r="Q17" i="9" s="1"/>
  <c r="Q6" i="9"/>
  <c r="Q15" i="9"/>
  <c r="Q7" i="9"/>
  <c r="Q119" i="9" s="1"/>
  <c r="Q23" i="9"/>
  <c r="Q14" i="9"/>
  <c r="Q13" i="9" s="1"/>
  <c r="Q21" i="9"/>
  <c r="Q11" i="9"/>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I36" i="17"/>
  <c r="H36" i="17"/>
  <c r="G36" i="17"/>
  <c r="F36" i="17"/>
  <c r="E36" i="17"/>
  <c r="N35" i="17"/>
  <c r="M35" i="17"/>
  <c r="L35" i="17"/>
  <c r="K35" i="17"/>
  <c r="J35" i="17"/>
  <c r="I35" i="17"/>
  <c r="H35" i="17"/>
  <c r="G35" i="17"/>
  <c r="F35" i="17"/>
  <c r="E35" i="17"/>
  <c r="N34" i="17"/>
  <c r="M34" i="17"/>
  <c r="L34" i="17"/>
  <c r="K34" i="17"/>
  <c r="J34" i="17"/>
  <c r="I34" i="17"/>
  <c r="H34" i="17"/>
  <c r="G34" i="17"/>
  <c r="F34" i="17"/>
  <c r="E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G61" i="17"/>
  <c r="F61" i="17"/>
  <c r="E61" i="17"/>
  <c r="D6" i="4"/>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K93" i="34" l="1"/>
  <c r="K94" i="34" s="1"/>
  <c r="Y102" i="34"/>
  <c r="Y53" i="34"/>
  <c r="P137" i="34"/>
  <c r="O214" i="34"/>
  <c r="AG14" i="34" s="1"/>
  <c r="P76" i="34"/>
  <c r="N214" i="34"/>
  <c r="AG13" i="34" s="1"/>
  <c r="H78" i="34"/>
  <c r="L28" i="34"/>
  <c r="L98" i="34"/>
  <c r="L151" i="34" s="1"/>
  <c r="L87" i="34"/>
  <c r="N22" i="34"/>
  <c r="O21" i="34"/>
  <c r="K127" i="34"/>
  <c r="K42" i="34"/>
  <c r="K110" i="34"/>
  <c r="K111" i="34" s="1"/>
  <c r="K159" i="34"/>
  <c r="K171" i="34"/>
  <c r="K141" i="34"/>
  <c r="K71" i="34"/>
  <c r="O25" i="34"/>
  <c r="N118" i="34"/>
  <c r="N81" i="34"/>
  <c r="N166" i="34"/>
  <c r="N211" i="34" s="1"/>
  <c r="H175" i="34"/>
  <c r="H174" i="34" s="1"/>
  <c r="H180" i="34" s="1"/>
  <c r="H176" i="34"/>
  <c r="H178" i="34"/>
  <c r="J172" i="34"/>
  <c r="J169" i="34"/>
  <c r="J168" i="34" s="1"/>
  <c r="J170" i="34"/>
  <c r="M20" i="34"/>
  <c r="N19" i="34"/>
  <c r="M27" i="34"/>
  <c r="O108" i="34"/>
  <c r="I182" i="34"/>
  <c r="I232" i="34"/>
  <c r="I133" i="34"/>
  <c r="I131" i="34" s="1"/>
  <c r="P88" i="34"/>
  <c r="P17" i="34"/>
  <c r="O68" i="34"/>
  <c r="O123" i="34"/>
  <c r="Q99" i="34"/>
  <c r="P91" i="34"/>
  <c r="P55" i="11"/>
  <c r="Q118" i="9"/>
  <c r="Q120" i="9"/>
  <c r="D13" i="4"/>
  <c r="I4" i="28"/>
  <c r="J14" i="6"/>
  <c r="K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J71" i="17"/>
  <c r="O50" i="17"/>
  <c r="J50" i="17"/>
  <c r="O44" i="17"/>
  <c r="J44" i="17"/>
  <c r="O38" i="17"/>
  <c r="O59" i="17" s="1"/>
  <c r="J38" i="17"/>
  <c r="J59" i="17" s="1"/>
  <c r="H27" i="17"/>
  <c r="H26" i="17"/>
  <c r="H24" i="17"/>
  <c r="U9" i="19" a="1"/>
  <c r="D6" i="19" a="1"/>
  <c r="R145" i="34" l="1"/>
  <c r="S145" i="34"/>
  <c r="T145" i="34"/>
  <c r="U145" i="34"/>
  <c r="V145" i="34"/>
  <c r="W145" i="34"/>
  <c r="X145" i="34"/>
  <c r="Y145" i="34"/>
  <c r="Z145" i="34"/>
  <c r="AA145" i="34"/>
  <c r="L93" i="34"/>
  <c r="L94" i="34" s="1"/>
  <c r="Z102" i="34"/>
  <c r="Z53" i="34"/>
  <c r="H148" i="34"/>
  <c r="Q137" i="34"/>
  <c r="P214" i="34"/>
  <c r="Q76" i="34"/>
  <c r="O145" i="34"/>
  <c r="N145" i="34"/>
  <c r="H145" i="34"/>
  <c r="I145" i="34"/>
  <c r="P145" i="34"/>
  <c r="Q145" i="34"/>
  <c r="K145" i="34"/>
  <c r="J145" i="34"/>
  <c r="M145" i="34"/>
  <c r="H79" i="34"/>
  <c r="H230" i="34"/>
  <c r="H242" i="34" s="1"/>
  <c r="I156" i="34" s="1"/>
  <c r="L145" i="34"/>
  <c r="H129" i="34"/>
  <c r="H190" i="34"/>
  <c r="AI10" i="34"/>
  <c r="K172" i="34"/>
  <c r="K170" i="34"/>
  <c r="K169" i="34"/>
  <c r="K168" i="34" s="1"/>
  <c r="P123" i="34"/>
  <c r="M28" i="34"/>
  <c r="M98" i="34"/>
  <c r="M151" i="34" s="1"/>
  <c r="M87" i="34"/>
  <c r="Q88" i="34"/>
  <c r="R88" i="34" s="1"/>
  <c r="N27" i="34"/>
  <c r="N20" i="34"/>
  <c r="O19" i="34"/>
  <c r="L110" i="34"/>
  <c r="L111" i="34" s="1"/>
  <c r="L127" i="34"/>
  <c r="L159" i="34"/>
  <c r="L171" i="34"/>
  <c r="L141" i="34"/>
  <c r="L42" i="34"/>
  <c r="L71" i="34"/>
  <c r="I188" i="34"/>
  <c r="I238" i="34" s="1"/>
  <c r="I143" i="34"/>
  <c r="I97" i="34"/>
  <c r="Q91" i="34"/>
  <c r="R91" i="34" s="1"/>
  <c r="P108" i="34"/>
  <c r="Q17" i="34"/>
  <c r="P68" i="34"/>
  <c r="P21" i="34"/>
  <c r="O22" i="34"/>
  <c r="O118" i="34"/>
  <c r="P25" i="34"/>
  <c r="O166" i="34"/>
  <c r="O211" i="34" s="1"/>
  <c r="O81" i="34"/>
  <c r="J4" i="28"/>
  <c r="D6" i="19"/>
  <c r="U9"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11"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E52" i="17"/>
  <c r="N42" i="17"/>
  <c r="M42" i="17"/>
  <c r="L42" i="17"/>
  <c r="K42" i="17"/>
  <c r="J42" i="17"/>
  <c r="I42" i="17"/>
  <c r="H42" i="17"/>
  <c r="G42" i="17"/>
  <c r="F42" i="17"/>
  <c r="E42" i="17"/>
  <c r="N99" i="17"/>
  <c r="M99" i="17"/>
  <c r="L99" i="17"/>
  <c r="K99" i="17"/>
  <c r="J99" i="17"/>
  <c r="H99" i="17"/>
  <c r="G99" i="17"/>
  <c r="F99" i="17"/>
  <c r="I99" i="17"/>
  <c r="E99" i="17"/>
  <c r="A17" i="17"/>
  <c r="A16" i="17"/>
  <c r="B37" i="3" s="1" a="1"/>
  <c r="A15" i="17"/>
  <c r="A14" i="17"/>
  <c r="A13" i="17"/>
  <c r="A12" i="17"/>
  <c r="A11" i="17"/>
  <c r="A10" i="17"/>
  <c r="A9" i="17"/>
  <c r="A8" i="17"/>
  <c r="B29" i="3" s="1" a="1"/>
  <c r="D91" i="17"/>
  <c r="Q53" i="11"/>
  <c r="R53" i="11" s="1"/>
  <c r="H110" i="9"/>
  <c r="I110" i="9" s="1"/>
  <c r="J110" i="9" s="1"/>
  <c r="K110" i="9" s="1"/>
  <c r="L110" i="9" s="1"/>
  <c r="M110" i="9" s="1"/>
  <c r="N110" i="9" s="1"/>
  <c r="O110" i="9" s="1"/>
  <c r="P110" i="9" s="1"/>
  <c r="Q110" i="9" s="1"/>
  <c r="N13" i="9"/>
  <c r="N67" i="9" s="1"/>
  <c r="M67" i="9"/>
  <c r="I13" i="9"/>
  <c r="I67" i="9" s="1"/>
  <c r="P13" i="9"/>
  <c r="L13" i="9"/>
  <c r="L67" i="9" s="1"/>
  <c r="K13" i="9"/>
  <c r="K67" i="9" s="1"/>
  <c r="J13" i="9"/>
  <c r="J67" i="9" s="1"/>
  <c r="H13" i="9"/>
  <c r="H67" i="9" s="1"/>
  <c r="G13" i="9"/>
  <c r="M58" i="11"/>
  <c r="M76" i="9"/>
  <c r="L58" i="11" s="1"/>
  <c r="I76" i="9"/>
  <c r="H58" i="11" s="1"/>
  <c r="G76" i="9"/>
  <c r="P58" i="11"/>
  <c r="H55" i="9"/>
  <c r="I55" i="9"/>
  <c r="L55" i="9"/>
  <c r="N55" i="9"/>
  <c r="I50" i="9"/>
  <c r="M50" i="9"/>
  <c r="Q50" i="9"/>
  <c r="H32" i="9"/>
  <c r="G28" i="11" s="1"/>
  <c r="K32" i="9"/>
  <c r="J28" i="11" s="1"/>
  <c r="L32" i="9"/>
  <c r="K28" i="11" s="1"/>
  <c r="P55" i="9"/>
  <c r="M55" i="9"/>
  <c r="M112" i="9" s="1"/>
  <c r="I17" i="9"/>
  <c r="G8" i="9"/>
  <c r="F21" i="11" s="1"/>
  <c r="Q54" i="19"/>
  <c r="D106" i="17"/>
  <c r="D107" i="17"/>
  <c r="B28" i="3" a="1"/>
  <c r="M93" i="34" l="1"/>
  <c r="M94" i="34" s="1"/>
  <c r="S88" i="34"/>
  <c r="R87" i="34"/>
  <c r="S91" i="34"/>
  <c r="R90" i="34"/>
  <c r="AA102" i="34"/>
  <c r="AA53" i="34"/>
  <c r="Q68" i="34"/>
  <c r="H161" i="34"/>
  <c r="H163" i="34" s="1"/>
  <c r="H85" i="34" s="1"/>
  <c r="Q214" i="34"/>
  <c r="Q218" i="34" s="1"/>
  <c r="Q219" i="34" s="1"/>
  <c r="H255" i="34"/>
  <c r="AH10" i="34" s="1"/>
  <c r="I154" i="34"/>
  <c r="I240" i="34" s="1"/>
  <c r="AJ11" i="34" s="1"/>
  <c r="AF10" i="34"/>
  <c r="P166" i="34"/>
  <c r="P211" i="34" s="1"/>
  <c r="Q25" i="34"/>
  <c r="P81" i="34"/>
  <c r="P118" i="34"/>
  <c r="O27" i="34"/>
  <c r="O20" i="34"/>
  <c r="P19" i="34"/>
  <c r="P22" i="34"/>
  <c r="Q21" i="34"/>
  <c r="Q108" i="34"/>
  <c r="H213" i="34"/>
  <c r="AE10" i="34"/>
  <c r="L172" i="34"/>
  <c r="L169" i="34"/>
  <c r="L168" i="34" s="1"/>
  <c r="L170" i="34"/>
  <c r="M127" i="34"/>
  <c r="M171" i="34"/>
  <c r="M110" i="34"/>
  <c r="M111" i="34" s="1"/>
  <c r="M42" i="34"/>
  <c r="M159" i="34"/>
  <c r="M71" i="34"/>
  <c r="M141" i="34"/>
  <c r="I96" i="34"/>
  <c r="J50" i="34"/>
  <c r="J136" i="34"/>
  <c r="N28" i="34"/>
  <c r="N98" i="34"/>
  <c r="N151" i="34" s="1"/>
  <c r="N87" i="34"/>
  <c r="F58" i="11"/>
  <c r="I112" i="9"/>
  <c r="D85" i="17" a="1"/>
  <c r="D85" i="17" s="1"/>
  <c r="O85" i="17" s="1"/>
  <c r="D74" i="17" a="1"/>
  <c r="D74" i="17" s="1"/>
  <c r="G32" i="9"/>
  <c r="Q55" i="9"/>
  <c r="Q58" i="9" s="1"/>
  <c r="K76" i="9"/>
  <c r="J58" i="11" s="1"/>
  <c r="G50" i="9"/>
  <c r="G53" i="9" s="1"/>
  <c r="J76" i="9"/>
  <c r="I58" i="11" s="1"/>
  <c r="G12" i="9"/>
  <c r="F18" i="11" s="1"/>
  <c r="L68" i="9"/>
  <c r="K4" i="28"/>
  <c r="P32" i="9"/>
  <c r="J17" i="9"/>
  <c r="M17" i="9"/>
  <c r="P68" i="9"/>
  <c r="N17" i="9"/>
  <c r="O32" i="9"/>
  <c r="L50" i="9"/>
  <c r="J55" i="9"/>
  <c r="G55" i="9"/>
  <c r="H68" i="9"/>
  <c r="H76" i="9"/>
  <c r="G58" i="11" s="1"/>
  <c r="L76" i="9"/>
  <c r="K58" i="11" s="1"/>
  <c r="G37" i="9"/>
  <c r="L37" i="9"/>
  <c r="O33" i="11"/>
  <c r="F35" i="11"/>
  <c r="P67" i="9"/>
  <c r="G17" i="9"/>
  <c r="K17" i="9"/>
  <c r="H37" i="9"/>
  <c r="N32" i="9"/>
  <c r="H50" i="9"/>
  <c r="H53" i="9" s="1"/>
  <c r="Q32" i="9"/>
  <c r="M32" i="9"/>
  <c r="L28" i="11" s="1"/>
  <c r="I32" i="9"/>
  <c r="H28" i="11" s="1"/>
  <c r="F33" i="11"/>
  <c r="N50" i="9"/>
  <c r="J50" i="9"/>
  <c r="I68" i="9"/>
  <c r="M68" i="9"/>
  <c r="Q68" i="9"/>
  <c r="O58" i="11"/>
  <c r="G67" i="9"/>
  <c r="J32" i="9"/>
  <c r="I28" i="11" s="1"/>
  <c r="O50" i="9"/>
  <c r="O53" i="9" s="1"/>
  <c r="K37" i="9"/>
  <c r="K50" i="9"/>
  <c r="P50" i="9"/>
  <c r="G35" i="11"/>
  <c r="O55" i="9"/>
  <c r="O112" i="9" s="1"/>
  <c r="K55" i="9"/>
  <c r="K112" i="9" s="1"/>
  <c r="G68" i="9"/>
  <c r="K68" i="9"/>
  <c r="O68" i="9"/>
  <c r="N58" i="11"/>
  <c r="O13" i="9"/>
  <c r="H17" i="9"/>
  <c r="L17" i="9"/>
  <c r="M33" i="11"/>
  <c r="L35" i="11"/>
  <c r="H35" i="11"/>
  <c r="F34" i="11"/>
  <c r="J68" i="9"/>
  <c r="N68" i="9"/>
  <c r="G57" i="17"/>
  <c r="I27" i="17"/>
  <c r="I26" i="17"/>
  <c r="I25" i="17"/>
  <c r="I24" i="17"/>
  <c r="B37" i="3"/>
  <c r="B28" i="3"/>
  <c r="B29" i="3"/>
  <c r="L57" i="17"/>
  <c r="I57" i="17"/>
  <c r="E57" i="17"/>
  <c r="M57" i="17"/>
  <c r="F57" i="17"/>
  <c r="N57" i="17"/>
  <c r="H57" i="17"/>
  <c r="J57" i="17"/>
  <c r="K57" i="17"/>
  <c r="A6" i="17"/>
  <c r="Q39" i="9"/>
  <c r="P39" i="9"/>
  <c r="P46" i="9" s="1"/>
  <c r="O39" i="9"/>
  <c r="O46" i="9" s="1"/>
  <c r="N39" i="9"/>
  <c r="N46" i="9" s="1"/>
  <c r="M39" i="9"/>
  <c r="M46" i="9" s="1"/>
  <c r="L39" i="9"/>
  <c r="L46" i="9" s="1"/>
  <c r="K39" i="9"/>
  <c r="K46" i="9" s="1"/>
  <c r="J39" i="9"/>
  <c r="J46" i="9" s="1"/>
  <c r="I39" i="9"/>
  <c r="I46" i="9" s="1"/>
  <c r="H39" i="9"/>
  <c r="H46" i="9" s="1"/>
  <c r="G39" i="9"/>
  <c r="G46" i="9" s="1"/>
  <c r="O17" i="9"/>
  <c r="P17" i="9"/>
  <c r="G91" i="9"/>
  <c r="H91" i="9"/>
  <c r="I91" i="9"/>
  <c r="J91" i="9"/>
  <c r="K91" i="9"/>
  <c r="L91" i="9"/>
  <c r="M91" i="9"/>
  <c r="N91" i="9"/>
  <c r="O91" i="9"/>
  <c r="P91" i="9"/>
  <c r="Q91" i="9"/>
  <c r="Q53" i="9"/>
  <c r="M53" i="9"/>
  <c r="K53" i="9"/>
  <c r="I53" i="9"/>
  <c r="H58" i="9"/>
  <c r="I58" i="9"/>
  <c r="L58" i="9"/>
  <c r="M58" i="9"/>
  <c r="N58" i="9"/>
  <c r="P58" i="9"/>
  <c r="O4" i="11"/>
  <c r="P4" i="11" s="1"/>
  <c r="Q4" i="11" s="1"/>
  <c r="H64" i="9"/>
  <c r="I64" i="9" s="1"/>
  <c r="J64" i="9" s="1"/>
  <c r="K64" i="9" s="1"/>
  <c r="L64" i="9" s="1"/>
  <c r="M64" i="9" s="1"/>
  <c r="N64" i="9" s="1"/>
  <c r="O64" i="9" s="1"/>
  <c r="P64" i="9" s="1"/>
  <c r="Q64" i="9" s="1"/>
  <c r="Q45" i="9"/>
  <c r="H45" i="9"/>
  <c r="I48" i="9"/>
  <c r="H48" i="9"/>
  <c r="H30" i="9"/>
  <c r="I30" i="9" s="1"/>
  <c r="J30" i="9" s="1"/>
  <c r="K30" i="9" s="1"/>
  <c r="L30" i="9" s="1"/>
  <c r="M30" i="9" s="1"/>
  <c r="N30" i="9" s="1"/>
  <c r="O30" i="9" s="1"/>
  <c r="P30" i="9" s="1"/>
  <c r="Q30" i="9" s="1"/>
  <c r="H4" i="9"/>
  <c r="I43" i="4"/>
  <c r="H43" i="4"/>
  <c r="G43" i="4"/>
  <c r="F43" i="4"/>
  <c r="J42" i="4"/>
  <c r="K42" i="4" s="1"/>
  <c r="L42" i="4" s="1"/>
  <c r="M42" i="4" s="1"/>
  <c r="N42" i="4" s="1"/>
  <c r="O42" i="4" s="1"/>
  <c r="P42" i="4" s="1"/>
  <c r="Q42" i="4" s="1"/>
  <c r="R42" i="4" s="1"/>
  <c r="S42" i="4" s="1"/>
  <c r="T42" i="4" s="1"/>
  <c r="I41" i="4"/>
  <c r="H41" i="4"/>
  <c r="G41" i="4"/>
  <c r="F41" i="4"/>
  <c r="J40" i="4"/>
  <c r="K40" i="4" s="1"/>
  <c r="L40" i="4" s="1"/>
  <c r="M40" i="4" s="1"/>
  <c r="N40" i="4" s="1"/>
  <c r="O40" i="4" s="1"/>
  <c r="P40" i="4" s="1"/>
  <c r="Q40" i="4" s="1"/>
  <c r="R40" i="4" s="1"/>
  <c r="S40" i="4" s="1"/>
  <c r="T40" i="4" s="1"/>
  <c r="I39" i="4"/>
  <c r="H39" i="4"/>
  <c r="G39" i="4"/>
  <c r="F39" i="4"/>
  <c r="J38" i="4"/>
  <c r="K38" i="4" s="1"/>
  <c r="E44" i="4"/>
  <c r="F32" i="4"/>
  <c r="G32" i="4" s="1"/>
  <c r="H32" i="4" s="1"/>
  <c r="I32" i="4" s="1"/>
  <c r="J32" i="4" s="1"/>
  <c r="K32" i="4" s="1"/>
  <c r="L32" i="4" s="1"/>
  <c r="M32" i="4" s="1"/>
  <c r="N32" i="4" s="1"/>
  <c r="O32" i="4" s="1"/>
  <c r="P32" i="4" s="1"/>
  <c r="Q32" i="4" s="1"/>
  <c r="R32" i="4" s="1"/>
  <c r="S32" i="4" s="1"/>
  <c r="T32" i="4" s="1"/>
  <c r="B30" i="4"/>
  <c r="B29" i="4"/>
  <c r="I22" i="4"/>
  <c r="H22" i="4"/>
  <c r="G22" i="4"/>
  <c r="F22" i="4"/>
  <c r="E22" i="4"/>
  <c r="N21" i="4"/>
  <c r="M21" i="4"/>
  <c r="L21" i="4"/>
  <c r="K21" i="4"/>
  <c r="D21" i="4"/>
  <c r="N20" i="4"/>
  <c r="M20" i="4"/>
  <c r="L20" i="4"/>
  <c r="K20" i="4"/>
  <c r="D20" i="4"/>
  <c r="N19" i="4"/>
  <c r="M19" i="4"/>
  <c r="L19" i="4"/>
  <c r="K19" i="4"/>
  <c r="D19" i="4"/>
  <c r="N18" i="4"/>
  <c r="M18" i="4"/>
  <c r="L18" i="4"/>
  <c r="K18" i="4"/>
  <c r="D18" i="4"/>
  <c r="N17" i="4"/>
  <c r="M17" i="4"/>
  <c r="L17" i="4"/>
  <c r="K17" i="4"/>
  <c r="D17" i="4"/>
  <c r="L15" i="4"/>
  <c r="M15" i="4" s="1"/>
  <c r="N15" i="4" s="1"/>
  <c r="F15" i="4"/>
  <c r="G15" i="4" s="1"/>
  <c r="H15" i="4" s="1"/>
  <c r="I15" i="4" s="1"/>
  <c r="I13" i="4"/>
  <c r="D34" i="4" s="1"/>
  <c r="H13" i="4"/>
  <c r="G13" i="4"/>
  <c r="F13" i="4"/>
  <c r="E13" i="4"/>
  <c r="N10" i="4"/>
  <c r="M10" i="4"/>
  <c r="L10" i="4"/>
  <c r="K10" i="4"/>
  <c r="N9" i="4"/>
  <c r="M9" i="4"/>
  <c r="L9" i="4"/>
  <c r="K9" i="4"/>
  <c r="N8" i="4"/>
  <c r="M8" i="4"/>
  <c r="L8" i="4"/>
  <c r="K8" i="4"/>
  <c r="N7" i="4"/>
  <c r="M7" i="4"/>
  <c r="L7" i="4"/>
  <c r="K7" i="4"/>
  <c r="N6" i="4"/>
  <c r="M6" i="4"/>
  <c r="L6" i="4"/>
  <c r="K6" i="4"/>
  <c r="L4" i="4"/>
  <c r="M4" i="4" s="1"/>
  <c r="N4" i="4" s="1"/>
  <c r="F4" i="4"/>
  <c r="G11" i="3"/>
  <c r="G4" i="3"/>
  <c r="D119" i="17"/>
  <c r="D93" i="17"/>
  <c r="K33" i="11"/>
  <c r="D130" i="17"/>
  <c r="L33" i="11"/>
  <c r="D113" i="17"/>
  <c r="N35" i="11"/>
  <c r="H33" i="11"/>
  <c r="L34" i="11"/>
  <c r="M34" i="11"/>
  <c r="J34" i="11"/>
  <c r="D128" i="17"/>
  <c r="D129" i="17"/>
  <c r="D104" i="17"/>
  <c r="N33" i="11"/>
  <c r="O34" i="11"/>
  <c r="K34" i="11"/>
  <c r="J33" i="11"/>
  <c r="D98" i="17"/>
  <c r="D111" i="17"/>
  <c r="D112" i="17"/>
  <c r="J35" i="11"/>
  <c r="D114" i="17"/>
  <c r="O35" i="11"/>
  <c r="I35" i="11"/>
  <c r="D94" i="17"/>
  <c r="M35" i="11"/>
  <c r="D126" i="17"/>
  <c r="D131" i="17"/>
  <c r="D115" i="17"/>
  <c r="N34" i="11"/>
  <c r="G33" i="11"/>
  <c r="I34" i="11"/>
  <c r="D97" i="17"/>
  <c r="I33" i="11"/>
  <c r="G34" i="11"/>
  <c r="K35" i="11"/>
  <c r="H34" i="11"/>
  <c r="D118" i="17"/>
  <c r="D127" i="17"/>
  <c r="D132" i="17"/>
  <c r="B32" i="3" a="1"/>
  <c r="B38" i="3" a="1"/>
  <c r="B30" i="3" a="1"/>
  <c r="B31" i="3" a="1"/>
  <c r="B36" i="3" a="1"/>
  <c r="B34" i="3" a="1"/>
  <c r="B35" i="3" a="1"/>
  <c r="B33" i="3" a="1"/>
  <c r="N93" i="34" l="1"/>
  <c r="N94" i="34" s="1"/>
  <c r="T91" i="34"/>
  <c r="S90" i="34"/>
  <c r="T88" i="34"/>
  <c r="S87" i="34"/>
  <c r="AK10" i="34"/>
  <c r="R199" i="34"/>
  <c r="AP10" i="34"/>
  <c r="Q22" i="34"/>
  <c r="AL10" i="34"/>
  <c r="AN10" i="34" s="1"/>
  <c r="N141" i="34"/>
  <c r="N110" i="34"/>
  <c r="N111" i="34" s="1"/>
  <c r="N127" i="34"/>
  <c r="N159" i="34"/>
  <c r="N71" i="34"/>
  <c r="N171" i="34"/>
  <c r="N42" i="34"/>
  <c r="M172" i="34"/>
  <c r="M169" i="34"/>
  <c r="M168" i="34" s="1"/>
  <c r="M170" i="34"/>
  <c r="J47" i="34"/>
  <c r="J100" i="34"/>
  <c r="Q19" i="34"/>
  <c r="P20" i="34"/>
  <c r="P27" i="34"/>
  <c r="Q118" i="34"/>
  <c r="Q166" i="34"/>
  <c r="Q81" i="34"/>
  <c r="O28" i="34"/>
  <c r="O98" i="34"/>
  <c r="O151" i="34" s="1"/>
  <c r="O87" i="34"/>
  <c r="G19" i="6"/>
  <c r="G10" i="6"/>
  <c r="Q46" i="9"/>
  <c r="P28" i="11"/>
  <c r="P37" i="19" s="1"/>
  <c r="O28" i="11"/>
  <c r="O37" i="19" s="1"/>
  <c r="P112" i="9"/>
  <c r="H112" i="9"/>
  <c r="F28" i="11"/>
  <c r="J112" i="9"/>
  <c r="N28" i="11"/>
  <c r="N37" i="19" s="1"/>
  <c r="J58" i="9"/>
  <c r="D120" i="17"/>
  <c r="Q112" i="9"/>
  <c r="Q115" i="9" s="1"/>
  <c r="N112" i="9"/>
  <c r="L53" i="9"/>
  <c r="M28" i="11"/>
  <c r="L112" i="9"/>
  <c r="D116" i="17"/>
  <c r="D55" i="17" s="1"/>
  <c r="O55" i="17" s="1"/>
  <c r="O36" i="11"/>
  <c r="O41" i="19" s="1"/>
  <c r="M36" i="11"/>
  <c r="J36" i="11"/>
  <c r="L36" i="11"/>
  <c r="F36" i="11"/>
  <c r="E6" i="17"/>
  <c r="E18" i="17" s="1"/>
  <c r="E19" i="17" s="1"/>
  <c r="G28" i="3" a="1"/>
  <c r="D6" i="17"/>
  <c r="D18" i="17" s="1"/>
  <c r="D19" i="17" s="1"/>
  <c r="G36" i="11"/>
  <c r="H36" i="11"/>
  <c r="K36" i="11"/>
  <c r="N36" i="11"/>
  <c r="N41" i="19" s="1"/>
  <c r="I36" i="11"/>
  <c r="N7" i="11"/>
  <c r="N19" i="19" s="1"/>
  <c r="V31" i="19"/>
  <c r="B6" i="17" a="1"/>
  <c r="B6" i="17" s="1"/>
  <c r="C6" i="17" a="1"/>
  <c r="C6" i="17" s="1"/>
  <c r="H4" i="3"/>
  <c r="I4" i="3" s="1"/>
  <c r="G112" i="9"/>
  <c r="O37" i="9"/>
  <c r="D67" i="17"/>
  <c r="O67" i="17" s="1"/>
  <c r="P53" i="9"/>
  <c r="N37" i="9"/>
  <c r="P37" i="9"/>
  <c r="D64" i="17"/>
  <c r="O64" i="17" s="1"/>
  <c r="D68" i="17"/>
  <c r="O68" i="17" s="1"/>
  <c r="D66" i="17"/>
  <c r="O66" i="17" s="1"/>
  <c r="D65" i="17"/>
  <c r="O65" i="17" s="1"/>
  <c r="J53" i="9"/>
  <c r="O58" i="9"/>
  <c r="K58" i="9"/>
  <c r="G58" i="9"/>
  <c r="N53" i="9"/>
  <c r="Q37" i="9"/>
  <c r="H115" i="9"/>
  <c r="L4" i="28"/>
  <c r="D61" i="17"/>
  <c r="O61" i="17" s="1"/>
  <c r="B34" i="3"/>
  <c r="B31" i="3"/>
  <c r="B38" i="3"/>
  <c r="B30" i="3"/>
  <c r="B33" i="3"/>
  <c r="B32" i="3"/>
  <c r="B36" i="3"/>
  <c r="B35" i="3"/>
  <c r="C9" i="27"/>
  <c r="D48" i="17"/>
  <c r="O48" i="17" s="1"/>
  <c r="N18" i="6"/>
  <c r="N17" i="6"/>
  <c r="N12" i="6"/>
  <c r="N16" i="6"/>
  <c r="N15" i="6"/>
  <c r="N9" i="6"/>
  <c r="N14" i="6"/>
  <c r="N13" i="6"/>
  <c r="N11" i="6"/>
  <c r="N10" i="6"/>
  <c r="D46" i="17"/>
  <c r="O46" i="17" s="1"/>
  <c r="D47" i="17"/>
  <c r="O47" i="17" s="1"/>
  <c r="E27" i="19"/>
  <c r="E26" i="19"/>
  <c r="I28" i="19"/>
  <c r="D54" i="17"/>
  <c r="O54" i="17" s="1"/>
  <c r="E28" i="19"/>
  <c r="D53" i="17"/>
  <c r="O53" i="17" s="1"/>
  <c r="I37" i="9"/>
  <c r="M37" i="9"/>
  <c r="K115" i="9"/>
  <c r="D36" i="4"/>
  <c r="J115" i="9"/>
  <c r="M115" i="9"/>
  <c r="I115" i="9"/>
  <c r="D52" i="17"/>
  <c r="O52" i="17" s="1"/>
  <c r="O67" i="9"/>
  <c r="D22" i="4"/>
  <c r="N22" i="4"/>
  <c r="H37" i="4"/>
  <c r="L115" i="9"/>
  <c r="Q67" i="9"/>
  <c r="J37" i="9"/>
  <c r="M17" i="6"/>
  <c r="M10" i="6"/>
  <c r="M18" i="6"/>
  <c r="M15" i="6"/>
  <c r="M9" i="6"/>
  <c r="O74" i="17"/>
  <c r="M16" i="6"/>
  <c r="N11" i="3"/>
  <c r="G4" i="4"/>
  <c r="K13" i="4"/>
  <c r="L13" i="4"/>
  <c r="M13" i="4"/>
  <c r="D38" i="4"/>
  <c r="D42" i="4"/>
  <c r="N13" i="4"/>
  <c r="K22" i="4"/>
  <c r="L22" i="4"/>
  <c r="F37" i="4"/>
  <c r="I37" i="4"/>
  <c r="I45" i="9"/>
  <c r="J45" i="9"/>
  <c r="O45" i="9"/>
  <c r="P45" i="9"/>
  <c r="L48" i="9"/>
  <c r="M48" i="9"/>
  <c r="N48" i="9"/>
  <c r="O48" i="9"/>
  <c r="R4" i="11"/>
  <c r="H8" i="9"/>
  <c r="G21" i="11" s="1"/>
  <c r="J8" i="9"/>
  <c r="I21" i="11" s="1"/>
  <c r="L8" i="9"/>
  <c r="K21" i="11" s="1"/>
  <c r="M8" i="9"/>
  <c r="L21" i="11" s="1"/>
  <c r="N8" i="9"/>
  <c r="K8" i="9"/>
  <c r="J21" i="11" s="1"/>
  <c r="I8" i="9"/>
  <c r="H21" i="11" s="1"/>
  <c r="O8" i="9"/>
  <c r="N21" i="11" s="1"/>
  <c r="N31" i="19" s="1"/>
  <c r="P8" i="9"/>
  <c r="O21" i="11" s="1"/>
  <c r="O31" i="19" s="1"/>
  <c r="Q8" i="9"/>
  <c r="P21" i="11" s="1"/>
  <c r="P31" i="19" s="1"/>
  <c r="G48" i="9"/>
  <c r="J48" i="9"/>
  <c r="K48" i="9"/>
  <c r="G45" i="9"/>
  <c r="K45" i="9"/>
  <c r="L45" i="9"/>
  <c r="P48" i="9"/>
  <c r="M45" i="9"/>
  <c r="Q48" i="9"/>
  <c r="N45" i="9"/>
  <c r="I4" i="9"/>
  <c r="L38" i="4"/>
  <c r="K44" i="4"/>
  <c r="J44" i="4"/>
  <c r="G37" i="4"/>
  <c r="M22" i="4"/>
  <c r="D40" i="4"/>
  <c r="L11" i="3"/>
  <c r="P11" i="3"/>
  <c r="J11" i="3"/>
  <c r="O11" i="3"/>
  <c r="H11" i="3"/>
  <c r="I11" i="3"/>
  <c r="K11" i="3"/>
  <c r="E11" i="3"/>
  <c r="M11" i="3"/>
  <c r="D102" i="17"/>
  <c r="P34" i="11"/>
  <c r="P33" i="11"/>
  <c r="P35" i="11"/>
  <c r="P24" i="17" a="1"/>
  <c r="I84" i="17" a="1"/>
  <c r="E84" i="17" a="1"/>
  <c r="G84" i="17" a="1"/>
  <c r="L84" i="17" a="1"/>
  <c r="H84" i="17" a="1"/>
  <c r="N82" i="17" a="1"/>
  <c r="M83" i="17" a="1"/>
  <c r="G82" i="17" a="1"/>
  <c r="K83" i="17" a="1"/>
  <c r="F83" i="17" a="1"/>
  <c r="J82" i="17" a="1"/>
  <c r="G83" i="17" a="1"/>
  <c r="I83" i="17" a="1"/>
  <c r="M21" i="11" l="1"/>
  <c r="R8" i="9"/>
  <c r="O93" i="34"/>
  <c r="O94" i="34" s="1"/>
  <c r="U88" i="34"/>
  <c r="T87" i="34"/>
  <c r="U91" i="34"/>
  <c r="T90" i="34"/>
  <c r="N19" i="6"/>
  <c r="Q211" i="34"/>
  <c r="P28" i="34"/>
  <c r="P98" i="34"/>
  <c r="P151" i="34" s="1"/>
  <c r="P87" i="34"/>
  <c r="Q20" i="34"/>
  <c r="Q27" i="34"/>
  <c r="O141" i="34"/>
  <c r="O171" i="34"/>
  <c r="O127" i="34"/>
  <c r="O42" i="34"/>
  <c r="O159" i="34"/>
  <c r="O110" i="34"/>
  <c r="O71" i="34"/>
  <c r="N169" i="34"/>
  <c r="N168" i="34" s="1"/>
  <c r="N170" i="34"/>
  <c r="N172" i="34"/>
  <c r="J120" i="34"/>
  <c r="J48" i="34"/>
  <c r="G25" i="17"/>
  <c r="N115" i="9"/>
  <c r="I44" i="11"/>
  <c r="K43" i="11"/>
  <c r="K44" i="11"/>
  <c r="M43" i="11"/>
  <c r="M44" i="11"/>
  <c r="I45" i="11"/>
  <c r="J45" i="11"/>
  <c r="H45" i="11"/>
  <c r="P44" i="11"/>
  <c r="P43" i="11"/>
  <c r="P49" i="19" s="1"/>
  <c r="P45" i="11"/>
  <c r="G115" i="9"/>
  <c r="F45" i="11" s="1"/>
  <c r="F43" i="11"/>
  <c r="F44" i="11"/>
  <c r="G45" i="11"/>
  <c r="Q35" i="11"/>
  <c r="P36" i="11"/>
  <c r="P41" i="19" s="1"/>
  <c r="G28" i="3"/>
  <c r="G39" i="3" s="1"/>
  <c r="I34" i="3"/>
  <c r="I33" i="3"/>
  <c r="I32" i="3"/>
  <c r="I31" i="3"/>
  <c r="I38" i="3"/>
  <c r="I30" i="3"/>
  <c r="I37" i="3"/>
  <c r="I29" i="3"/>
  <c r="I36" i="3"/>
  <c r="I35" i="3"/>
  <c r="I7" i="11"/>
  <c r="O7" i="11"/>
  <c r="O19" i="19" s="1"/>
  <c r="J7" i="11"/>
  <c r="H7" i="11"/>
  <c r="G7" i="11"/>
  <c r="K7" i="11"/>
  <c r="N103" i="9"/>
  <c r="M7" i="11"/>
  <c r="P7" i="11"/>
  <c r="P19" i="19" s="1"/>
  <c r="J4" i="3"/>
  <c r="K4" i="3" s="1"/>
  <c r="L4" i="3" s="1"/>
  <c r="M4" i="3" s="1"/>
  <c r="N4" i="3" s="1"/>
  <c r="O4" i="3" s="1"/>
  <c r="P4" i="3" s="1"/>
  <c r="Q4" i="3" s="1"/>
  <c r="L7" i="11"/>
  <c r="G103" i="9"/>
  <c r="F7" i="11"/>
  <c r="G24" i="17"/>
  <c r="G27" i="17"/>
  <c r="G26" i="17"/>
  <c r="O115" i="9"/>
  <c r="N45" i="11" s="1"/>
  <c r="K103" i="9"/>
  <c r="I103" i="9"/>
  <c r="M4" i="28"/>
  <c r="G13" i="6"/>
  <c r="P24" i="17"/>
  <c r="B12" i="28"/>
  <c r="B82" i="28" s="1"/>
  <c r="M14" i="6"/>
  <c r="B9" i="28"/>
  <c r="B79" i="28" s="1"/>
  <c r="M11" i="6"/>
  <c r="B10" i="28"/>
  <c r="B80" i="28" s="1"/>
  <c r="M12" i="6"/>
  <c r="B11" i="28"/>
  <c r="B81" i="28" s="1"/>
  <c r="M13" i="6"/>
  <c r="L29" i="17"/>
  <c r="B14" i="28"/>
  <c r="B84" i="28" s="1"/>
  <c r="K29" i="17"/>
  <c r="B13" i="28"/>
  <c r="B83" i="28" s="1"/>
  <c r="N29" i="17"/>
  <c r="B16" i="28"/>
  <c r="B86" i="28" s="1"/>
  <c r="E29" i="17"/>
  <c r="B7" i="28"/>
  <c r="B77" i="28" s="1"/>
  <c r="F29" i="17"/>
  <c r="B8" i="28"/>
  <c r="B78" i="28" s="1"/>
  <c r="M29" i="17"/>
  <c r="B15" i="28"/>
  <c r="B85" i="28" s="1"/>
  <c r="L103" i="9"/>
  <c r="M83" i="17"/>
  <c r="J82" i="17"/>
  <c r="K83" i="17"/>
  <c r="I84" i="17"/>
  <c r="I83" i="17"/>
  <c r="L84" i="17"/>
  <c r="N82" i="17"/>
  <c r="G84" i="17"/>
  <c r="G83" i="17"/>
  <c r="G82" i="17"/>
  <c r="H84" i="17"/>
  <c r="F83" i="17"/>
  <c r="E84" i="17"/>
  <c r="D44" i="4"/>
  <c r="H44" i="4"/>
  <c r="D57" i="17"/>
  <c r="O57" i="17" s="1"/>
  <c r="J103" i="9"/>
  <c r="M103" i="9"/>
  <c r="I26" i="19"/>
  <c r="I27" i="19"/>
  <c r="H103" i="9"/>
  <c r="H29" i="17"/>
  <c r="I44" i="4"/>
  <c r="F44" i="4"/>
  <c r="P115" i="9"/>
  <c r="G44" i="4"/>
  <c r="I29" i="17"/>
  <c r="G29" i="17"/>
  <c r="O103" i="9"/>
  <c r="Q12" i="9"/>
  <c r="P12" i="9"/>
  <c r="O12" i="9"/>
  <c r="I12" i="9"/>
  <c r="K12" i="9"/>
  <c r="N12" i="9"/>
  <c r="R12" i="9" s="1"/>
  <c r="M12" i="9"/>
  <c r="L45" i="11" s="1"/>
  <c r="L12" i="9"/>
  <c r="K18" i="11" s="1"/>
  <c r="J12" i="9"/>
  <c r="I18" i="11" s="1"/>
  <c r="H12" i="9"/>
  <c r="G18" i="11" s="1"/>
  <c r="H4" i="4"/>
  <c r="J4" i="9"/>
  <c r="M38" i="4"/>
  <c r="L44" i="4"/>
  <c r="D117" i="17"/>
  <c r="D99" i="17"/>
  <c r="N84" i="17" a="1"/>
  <c r="J84" i="17" a="1"/>
  <c r="K84" i="17" a="1"/>
  <c r="F84" i="17" a="1"/>
  <c r="M84" i="17" a="1"/>
  <c r="N83" i="17" a="1"/>
  <c r="F82" i="17" a="1"/>
  <c r="I82" i="17" a="1"/>
  <c r="E82" i="17" a="1"/>
  <c r="L83" i="17" a="1"/>
  <c r="H82" i="17" a="1"/>
  <c r="M82" i="17" a="1"/>
  <c r="L82" i="17" a="1"/>
  <c r="K82" i="17" a="1"/>
  <c r="E83" i="17" a="1"/>
  <c r="H83" i="17" a="1"/>
  <c r="J83" i="17" a="1"/>
  <c r="P93" i="34" l="1"/>
  <c r="P94" i="34" s="1"/>
  <c r="V91" i="34"/>
  <c r="U90" i="34"/>
  <c r="V88" i="34"/>
  <c r="U87" i="34"/>
  <c r="O111" i="34"/>
  <c r="Q28" i="34"/>
  <c r="Q98" i="34"/>
  <c r="Q151" i="34" s="1"/>
  <c r="Q87" i="34"/>
  <c r="P141" i="34"/>
  <c r="P110" i="34"/>
  <c r="P127" i="34"/>
  <c r="P171" i="34"/>
  <c r="P159" i="34"/>
  <c r="P42" i="34"/>
  <c r="P71" i="34"/>
  <c r="O169" i="34"/>
  <c r="O168" i="34" s="1"/>
  <c r="O170" i="34"/>
  <c r="O172" i="34"/>
  <c r="J133" i="34"/>
  <c r="J131" i="34" s="1"/>
  <c r="J232" i="34"/>
  <c r="J182" i="34"/>
  <c r="O45" i="11"/>
  <c r="R34" i="11"/>
  <c r="Q34" i="11"/>
  <c r="G44" i="11"/>
  <c r="N16" i="9"/>
  <c r="R16" i="9" s="1"/>
  <c r="M18" i="11"/>
  <c r="N18" i="11"/>
  <c r="N29" i="19" s="1"/>
  <c r="O16" i="9"/>
  <c r="N44" i="11"/>
  <c r="N43" i="11"/>
  <c r="N49" i="19" s="1"/>
  <c r="I43" i="11"/>
  <c r="H18" i="11"/>
  <c r="H43" i="11"/>
  <c r="H44" i="11"/>
  <c r="P16" i="9"/>
  <c r="O18" i="11"/>
  <c r="O29" i="19" s="1"/>
  <c r="O43" i="11"/>
  <c r="O49" i="19" s="1"/>
  <c r="O44" i="11"/>
  <c r="M45" i="11"/>
  <c r="G43" i="11"/>
  <c r="L18" i="11"/>
  <c r="L44" i="11"/>
  <c r="L43" i="11"/>
  <c r="J18" i="11"/>
  <c r="J43" i="11"/>
  <c r="J44" i="11"/>
  <c r="P50" i="19"/>
  <c r="P51" i="19"/>
  <c r="Q16" i="9"/>
  <c r="P18" i="11"/>
  <c r="P29" i="19" s="1"/>
  <c r="K45" i="11"/>
  <c r="N6" i="11"/>
  <c r="N18" i="19" s="1"/>
  <c r="N8" i="11"/>
  <c r="N20" i="19" s="1"/>
  <c r="N9" i="11"/>
  <c r="N21" i="19" s="1"/>
  <c r="H8" i="11"/>
  <c r="H6" i="11"/>
  <c r="H9" i="11"/>
  <c r="I9" i="11"/>
  <c r="I6" i="11"/>
  <c r="I8" i="11"/>
  <c r="J9" i="11"/>
  <c r="J8" i="11"/>
  <c r="J6" i="11"/>
  <c r="G8" i="11"/>
  <c r="G6" i="11"/>
  <c r="G9" i="11"/>
  <c r="M6" i="11"/>
  <c r="M8" i="11"/>
  <c r="K8" i="11"/>
  <c r="K9" i="11"/>
  <c r="K6" i="11"/>
  <c r="Q11" i="3"/>
  <c r="J4" i="27"/>
  <c r="B13" i="27"/>
  <c r="B4" i="27"/>
  <c r="L9" i="11"/>
  <c r="L6" i="11"/>
  <c r="L8" i="11"/>
  <c r="F6" i="11"/>
  <c r="F8" i="11"/>
  <c r="N83" i="17"/>
  <c r="I82" i="17"/>
  <c r="N4" i="28"/>
  <c r="C11" i="27"/>
  <c r="C10" i="27"/>
  <c r="C7" i="27"/>
  <c r="C8" i="27"/>
  <c r="H83" i="17"/>
  <c r="J83" i="17"/>
  <c r="F84" i="17"/>
  <c r="B39" i="28"/>
  <c r="B51" i="28"/>
  <c r="B23" i="28"/>
  <c r="B37" i="28"/>
  <c r="B65" i="28"/>
  <c r="B26" i="28"/>
  <c r="B40" i="28"/>
  <c r="B54" i="28"/>
  <c r="B68" i="28"/>
  <c r="B53" i="28"/>
  <c r="B67" i="28"/>
  <c r="B25" i="28"/>
  <c r="J84" i="17"/>
  <c r="M84" i="17"/>
  <c r="B52" i="28"/>
  <c r="B66" i="28"/>
  <c r="B24" i="28"/>
  <c r="B38" i="28"/>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B70" i="28"/>
  <c r="B56" i="28"/>
  <c r="B42" i="28"/>
  <c r="B28" i="28"/>
  <c r="E83" i="17"/>
  <c r="M82" i="17"/>
  <c r="E82" i="17"/>
  <c r="F38" i="17"/>
  <c r="F59" i="17" s="1"/>
  <c r="N71" i="17"/>
  <c r="E44" i="17"/>
  <c r="B71" i="28"/>
  <c r="B57" i="28"/>
  <c r="B43" i="28"/>
  <c r="B29" i="28"/>
  <c r="B63" i="28"/>
  <c r="B49" i="28"/>
  <c r="B35" i="28"/>
  <c r="B21" i="28"/>
  <c r="D29" i="17"/>
  <c r="B6" i="28"/>
  <c r="B76" i="28" s="1"/>
  <c r="B22" i="28"/>
  <c r="B64" i="28"/>
  <c r="B50" i="28"/>
  <c r="B36" i="28"/>
  <c r="B30" i="28"/>
  <c r="B72" i="28"/>
  <c r="B58" i="28"/>
  <c r="B44" i="28"/>
  <c r="B55" i="28"/>
  <c r="B41" i="28"/>
  <c r="B27" i="28"/>
  <c r="B69" i="28"/>
  <c r="D56" i="17"/>
  <c r="O56" i="17" s="1"/>
  <c r="G80" i="17"/>
  <c r="G71" i="17"/>
  <c r="G50" i="17"/>
  <c r="G44" i="17"/>
  <c r="G38" i="17"/>
  <c r="G59" i="17" s="1"/>
  <c r="I80" i="17"/>
  <c r="I71" i="17"/>
  <c r="I50" i="17"/>
  <c r="I44" i="17"/>
  <c r="I38" i="17"/>
  <c r="I59" i="17" s="1"/>
  <c r="H80" i="17"/>
  <c r="H71" i="17"/>
  <c r="H50" i="17"/>
  <c r="H44" i="17"/>
  <c r="H38" i="17"/>
  <c r="H59" i="17" s="1"/>
  <c r="J16" i="9"/>
  <c r="I16" i="9"/>
  <c r="L16" i="9"/>
  <c r="M16" i="9"/>
  <c r="N22" i="9"/>
  <c r="R22" i="9" s="1"/>
  <c r="G16" i="9"/>
  <c r="H16" i="9"/>
  <c r="K16" i="9"/>
  <c r="P103" i="9"/>
  <c r="Q103" i="9"/>
  <c r="I4" i="4"/>
  <c r="J13" i="4" s="1"/>
  <c r="K4" i="9"/>
  <c r="M44" i="4"/>
  <c r="N38" i="4"/>
  <c r="F51" i="11"/>
  <c r="F50" i="11"/>
  <c r="K50" i="11"/>
  <c r="O51" i="11"/>
  <c r="O56" i="19" s="1"/>
  <c r="M51" i="11"/>
  <c r="I50" i="11"/>
  <c r="D100" i="17"/>
  <c r="G6" i="17" s="1"/>
  <c r="G18" i="17" s="1"/>
  <c r="G19" i="17" s="1"/>
  <c r="M50" i="11"/>
  <c r="J50" i="11"/>
  <c r="L51" i="11"/>
  <c r="L50" i="11"/>
  <c r="P51" i="11"/>
  <c r="P56" i="19" s="1"/>
  <c r="N51" i="11"/>
  <c r="N56" i="19" s="1"/>
  <c r="D95" i="17"/>
  <c r="F6" i="17" s="1"/>
  <c r="F18" i="17" s="1"/>
  <c r="F19" i="17" s="1"/>
  <c r="K51" i="11"/>
  <c r="O50" i="11"/>
  <c r="O55" i="19" s="1"/>
  <c r="I51" i="11"/>
  <c r="H50" i="11"/>
  <c r="H51" i="11"/>
  <c r="J51" i="11"/>
  <c r="N50" i="11"/>
  <c r="N55" i="19" s="1"/>
  <c r="G51" i="11"/>
  <c r="G50" i="11"/>
  <c r="P50" i="11"/>
  <c r="P55" i="19" s="1"/>
  <c r="D84" i="17" a="1"/>
  <c r="D82" i="17" a="1"/>
  <c r="D83" i="17" a="1"/>
  <c r="W88" i="34" l="1"/>
  <c r="V87" i="34"/>
  <c r="W91" i="34"/>
  <c r="V90" i="34"/>
  <c r="Q93" i="34"/>
  <c r="Q127" i="34"/>
  <c r="P111" i="34"/>
  <c r="Q71" i="34"/>
  <c r="P169" i="34"/>
  <c r="P168" i="34" s="1"/>
  <c r="P170" i="34"/>
  <c r="P172" i="34"/>
  <c r="J143" i="34"/>
  <c r="J188" i="34"/>
  <c r="J238" i="34" s="1"/>
  <c r="J97" i="34"/>
  <c r="Q159" i="34"/>
  <c r="Q141" i="34"/>
  <c r="Q110" i="34"/>
  <c r="Q171" i="34"/>
  <c r="Q42" i="34"/>
  <c r="R35" i="11"/>
  <c r="N50" i="19"/>
  <c r="N51" i="19"/>
  <c r="P19" i="11"/>
  <c r="P30" i="19" s="1"/>
  <c r="L22" i="9"/>
  <c r="K19" i="11"/>
  <c r="N19" i="11"/>
  <c r="N30" i="19" s="1"/>
  <c r="K22" i="9"/>
  <c r="K24" i="9" s="1"/>
  <c r="J19" i="11"/>
  <c r="G19" i="11"/>
  <c r="F9" i="11"/>
  <c r="F19" i="11"/>
  <c r="M22" i="9"/>
  <c r="L19" i="11"/>
  <c r="H19" i="11"/>
  <c r="J22" i="9"/>
  <c r="I19" i="11"/>
  <c r="O51" i="19"/>
  <c r="O50" i="19"/>
  <c r="O19" i="11"/>
  <c r="O30" i="19" s="1"/>
  <c r="M20" i="11"/>
  <c r="N116" i="9"/>
  <c r="R116" i="9" s="1"/>
  <c r="N117" i="9"/>
  <c r="R117" i="9" s="1"/>
  <c r="M19" i="11"/>
  <c r="M9" i="11"/>
  <c r="P9" i="11"/>
  <c r="P21" i="19" s="1"/>
  <c r="P6" i="11"/>
  <c r="P18" i="19" s="1"/>
  <c r="P8" i="11"/>
  <c r="P20" i="19" s="1"/>
  <c r="O8" i="11"/>
  <c r="O20" i="19" s="1"/>
  <c r="O6" i="11"/>
  <c r="O18" i="19" s="1"/>
  <c r="O9" i="11"/>
  <c r="O21" i="19" s="1"/>
  <c r="G22" i="9"/>
  <c r="D83" i="17"/>
  <c r="O83" i="17" s="1"/>
  <c r="O4" i="28"/>
  <c r="D84" i="17"/>
  <c r="O84" i="17" s="1"/>
  <c r="D82" i="17"/>
  <c r="O82" i="17" s="1"/>
  <c r="J22" i="4"/>
  <c r="J6" i="4"/>
  <c r="D71" i="17"/>
  <c r="B48" i="28"/>
  <c r="B34" i="28"/>
  <c r="B20" i="28"/>
  <c r="B62" i="28"/>
  <c r="D38" i="17"/>
  <c r="D59" i="17" s="1"/>
  <c r="D80" i="17"/>
  <c r="D44" i="17"/>
  <c r="D50" i="17"/>
  <c r="E29" i="19"/>
  <c r="J8" i="4"/>
  <c r="J17" i="4"/>
  <c r="J21" i="4"/>
  <c r="J18" i="4"/>
  <c r="J7" i="4"/>
  <c r="N24" i="9"/>
  <c r="R24" i="9" s="1"/>
  <c r="L24" i="9"/>
  <c r="Q22" i="9"/>
  <c r="H22" i="9"/>
  <c r="I22" i="9"/>
  <c r="P22" i="9"/>
  <c r="O22" i="9"/>
  <c r="J20" i="4"/>
  <c r="J15" i="4"/>
  <c r="J4" i="4"/>
  <c r="J19" i="4"/>
  <c r="J10" i="4"/>
  <c r="J9" i="4"/>
  <c r="L4" i="9"/>
  <c r="M4" i="9" s="1"/>
  <c r="N4" i="9" s="1"/>
  <c r="O4" i="9" s="1"/>
  <c r="P4" i="9" s="1"/>
  <c r="Q4" i="9" s="1"/>
  <c r="N44" i="4"/>
  <c r="O38" i="4"/>
  <c r="P38" i="4" s="1"/>
  <c r="F49" i="11"/>
  <c r="M49" i="11"/>
  <c r="D121" i="17"/>
  <c r="L49" i="11"/>
  <c r="H49" i="11"/>
  <c r="N49" i="11"/>
  <c r="N54" i="19" s="1"/>
  <c r="J49" i="11"/>
  <c r="O49" i="11"/>
  <c r="O54" i="19" s="1"/>
  <c r="G49" i="11"/>
  <c r="K49" i="11"/>
  <c r="D101" i="17"/>
  <c r="P49" i="11"/>
  <c r="P54" i="19" s="1"/>
  <c r="I49" i="11"/>
  <c r="R110" i="34" l="1"/>
  <c r="R141" i="34"/>
  <c r="R159" i="34"/>
  <c r="R71" i="34"/>
  <c r="R127" i="34"/>
  <c r="R93" i="34"/>
  <c r="S93" i="34" s="1"/>
  <c r="X91" i="34"/>
  <c r="W90" i="34"/>
  <c r="X88" i="34"/>
  <c r="W87" i="34"/>
  <c r="Q94" i="34"/>
  <c r="Q111" i="34"/>
  <c r="Q170" i="34"/>
  <c r="Q169" i="34"/>
  <c r="Q168" i="34" s="1"/>
  <c r="R168" i="34" s="1"/>
  <c r="Q172" i="34"/>
  <c r="K50" i="34"/>
  <c r="J96" i="34"/>
  <c r="K136" i="34"/>
  <c r="J56" i="11"/>
  <c r="J57" i="11"/>
  <c r="J15" i="11"/>
  <c r="J23" i="11"/>
  <c r="J10" i="11"/>
  <c r="L20" i="11"/>
  <c r="M116" i="9"/>
  <c r="M117" i="9" s="1"/>
  <c r="J116" i="9"/>
  <c r="J117" i="9" s="1"/>
  <c r="I20" i="11"/>
  <c r="M57" i="11"/>
  <c r="M23" i="11"/>
  <c r="M15" i="11"/>
  <c r="M56" i="11"/>
  <c r="M10" i="11"/>
  <c r="K20" i="11"/>
  <c r="L116" i="9"/>
  <c r="L117" i="9" s="1"/>
  <c r="O20" i="11"/>
  <c r="P116" i="9"/>
  <c r="P117" i="9" s="1"/>
  <c r="I116" i="9"/>
  <c r="I117" i="9" s="1"/>
  <c r="H20" i="11"/>
  <c r="J20" i="11"/>
  <c r="K116" i="9"/>
  <c r="K117" i="9" s="1"/>
  <c r="H116" i="9"/>
  <c r="H117" i="9" s="1"/>
  <c r="G20" i="11"/>
  <c r="K56" i="11"/>
  <c r="K57" i="11"/>
  <c r="K15" i="11"/>
  <c r="K23" i="11"/>
  <c r="K10" i="11"/>
  <c r="M24" i="9"/>
  <c r="J24" i="9"/>
  <c r="G116" i="9"/>
  <c r="G117" i="9" s="1"/>
  <c r="F20" i="11"/>
  <c r="N20" i="11"/>
  <c r="O116" i="9"/>
  <c r="O117" i="9" s="1"/>
  <c r="P20" i="11"/>
  <c r="Q116" i="9"/>
  <c r="Q117" i="9" s="1"/>
  <c r="M14" i="17" a="1"/>
  <c r="M14" i="17" s="1"/>
  <c r="L14" i="17" a="1"/>
  <c r="L14" i="17" s="1"/>
  <c r="K14" i="17" a="1"/>
  <c r="K14" i="17" s="1"/>
  <c r="J14" i="17" a="1"/>
  <c r="J14" i="17" s="1"/>
  <c r="J6" i="17" a="1"/>
  <c r="J6" i="17" s="1"/>
  <c r="K6" i="17" a="1"/>
  <c r="K6" i="17" s="1"/>
  <c r="M6" i="17" a="1"/>
  <c r="M6" i="17" s="1"/>
  <c r="L6" i="17" a="1"/>
  <c r="L6" i="17" s="1"/>
  <c r="G24" i="9"/>
  <c r="Q38" i="4"/>
  <c r="P44" i="4"/>
  <c r="P4" i="28"/>
  <c r="D31" i="17"/>
  <c r="O31" i="17" s="1"/>
  <c r="D41" i="17"/>
  <c r="O41" i="17" s="1"/>
  <c r="D40" i="17"/>
  <c r="O40" i="17" s="1"/>
  <c r="E30" i="19"/>
  <c r="P24" i="9"/>
  <c r="L66" i="9"/>
  <c r="K63" i="11" s="1"/>
  <c r="I24" i="9"/>
  <c r="Q24" i="9"/>
  <c r="N66" i="9"/>
  <c r="D42" i="17"/>
  <c r="O42" i="17" s="1"/>
  <c r="K66" i="9"/>
  <c r="J63" i="11" s="1"/>
  <c r="O24" i="9"/>
  <c r="H24" i="9"/>
  <c r="O44" i="4"/>
  <c r="I39" i="3"/>
  <c r="I28" i="3"/>
  <c r="D103" i="17"/>
  <c r="S127" i="34" l="1"/>
  <c r="S71" i="34"/>
  <c r="S159" i="34"/>
  <c r="S141" i="34"/>
  <c r="R111" i="34"/>
  <c r="S110" i="34"/>
  <c r="M63" i="11"/>
  <c r="R66" i="9"/>
  <c r="S94" i="34"/>
  <c r="S125" i="34"/>
  <c r="Y88" i="34"/>
  <c r="X87" i="34"/>
  <c r="R94" i="34"/>
  <c r="Y91" i="34"/>
  <c r="X90" i="34"/>
  <c r="T93" i="34"/>
  <c r="S168" i="34"/>
  <c r="K47" i="34"/>
  <c r="K100" i="34"/>
  <c r="Q50" i="11"/>
  <c r="Q45" i="11"/>
  <c r="Q43" i="11"/>
  <c r="Q20" i="11"/>
  <c r="O23" i="11"/>
  <c r="O33" i="19" s="1"/>
  <c r="O15" i="11"/>
  <c r="O26" i="19" s="1"/>
  <c r="O57" i="11"/>
  <c r="O56" i="11"/>
  <c r="O10" i="11"/>
  <c r="O22" i="19" s="1"/>
  <c r="P57" i="11"/>
  <c r="P23" i="11"/>
  <c r="P33" i="19" s="1"/>
  <c r="P15" i="11"/>
  <c r="P26" i="19" s="1"/>
  <c r="P56" i="11"/>
  <c r="P10" i="11"/>
  <c r="P22" i="19" s="1"/>
  <c r="L57" i="11"/>
  <c r="L23" i="11"/>
  <c r="L15" i="11"/>
  <c r="L56" i="11"/>
  <c r="L10" i="11"/>
  <c r="F56" i="11"/>
  <c r="F15" i="11"/>
  <c r="F23" i="11"/>
  <c r="F57" i="11"/>
  <c r="H56" i="11"/>
  <c r="H57" i="11"/>
  <c r="H23" i="11"/>
  <c r="H15" i="11"/>
  <c r="H10" i="11"/>
  <c r="I56" i="11"/>
  <c r="I57" i="11"/>
  <c r="I23" i="11"/>
  <c r="I15" i="11"/>
  <c r="I10" i="11"/>
  <c r="G56" i="11"/>
  <c r="G23" i="11"/>
  <c r="G57" i="11"/>
  <c r="G15" i="11"/>
  <c r="G10" i="11"/>
  <c r="N57" i="11"/>
  <c r="N23" i="11"/>
  <c r="N33" i="19" s="1"/>
  <c r="N15" i="11"/>
  <c r="N26" i="19" s="1"/>
  <c r="N56" i="11"/>
  <c r="N10" i="11"/>
  <c r="N22" i="19" s="1"/>
  <c r="J66" i="9"/>
  <c r="I63" i="11" s="1"/>
  <c r="F10" i="11"/>
  <c r="M66" i="9"/>
  <c r="L63" i="11" s="1"/>
  <c r="G66" i="9"/>
  <c r="F63" i="11" s="1"/>
  <c r="L18" i="17"/>
  <c r="L19" i="17" s="1"/>
  <c r="M18" i="17"/>
  <c r="M19" i="17" s="1"/>
  <c r="E25" i="17"/>
  <c r="K25" i="17" s="1"/>
  <c r="N25" i="17" s="1" a="1"/>
  <c r="N25" i="17" s="1"/>
  <c r="E26" i="17"/>
  <c r="K26" i="17" s="1"/>
  <c r="N26" i="17" s="1" a="1"/>
  <c r="N26" i="17" s="1"/>
  <c r="E27" i="17"/>
  <c r="K27" i="17" s="1"/>
  <c r="N27" i="17" s="1" a="1"/>
  <c r="N27" i="17" s="1"/>
  <c r="E24" i="17"/>
  <c r="K24" i="17" s="1"/>
  <c r="N24" i="17" s="1" a="1"/>
  <c r="N24" i="17" s="1"/>
  <c r="K18" i="17"/>
  <c r="K19" i="17" s="1"/>
  <c r="D24" i="17"/>
  <c r="J24" i="17" s="1"/>
  <c r="M24" i="17" s="1" a="1"/>
  <c r="M24" i="17" s="1"/>
  <c r="D26" i="17"/>
  <c r="J26" i="17" s="1"/>
  <c r="M26" i="17" s="1" a="1"/>
  <c r="M26" i="17" s="1"/>
  <c r="D25" i="17"/>
  <c r="J25" i="17" s="1"/>
  <c r="M25" i="17" s="1" a="1"/>
  <c r="M25" i="17" s="1"/>
  <c r="D27" i="17"/>
  <c r="J27" i="17" s="1"/>
  <c r="M27" i="17" s="1" a="1"/>
  <c r="M27" i="17" s="1"/>
  <c r="J18" i="17"/>
  <c r="J19" i="17" s="1"/>
  <c r="P66" i="9"/>
  <c r="Q4" i="28"/>
  <c r="R81" i="28" s="1"/>
  <c r="R77" i="28"/>
  <c r="R76" i="28"/>
  <c r="R38" i="4"/>
  <c r="Q44" i="4"/>
  <c r="D34" i="17"/>
  <c r="O34" i="17" s="1"/>
  <c r="F28" i="19"/>
  <c r="F26" i="19"/>
  <c r="F27" i="19"/>
  <c r="E31" i="19"/>
  <c r="I66" i="9"/>
  <c r="H63" i="11" s="1"/>
  <c r="H66" i="9"/>
  <c r="G63" i="11" s="1"/>
  <c r="J74" i="9"/>
  <c r="K74" i="9"/>
  <c r="N74" i="9"/>
  <c r="R74" i="9" s="1"/>
  <c r="Q66" i="9"/>
  <c r="P63" i="11" s="1"/>
  <c r="P42" i="19" s="1"/>
  <c r="L74" i="9"/>
  <c r="O66" i="9"/>
  <c r="D96" i="17"/>
  <c r="D105" i="17"/>
  <c r="S111" i="34" l="1"/>
  <c r="T110" i="34"/>
  <c r="T141" i="34"/>
  <c r="T159" i="34"/>
  <c r="T71" i="34"/>
  <c r="T127" i="34"/>
  <c r="T94" i="34"/>
  <c r="T125" i="34"/>
  <c r="Z91" i="34"/>
  <c r="Y90" i="34"/>
  <c r="Z88" i="34"/>
  <c r="Y87" i="34"/>
  <c r="U93" i="34"/>
  <c r="V93" i="34" s="1"/>
  <c r="S186" i="34"/>
  <c r="S236" i="34" s="1"/>
  <c r="T168" i="34"/>
  <c r="K120" i="34"/>
  <c r="K48" i="34"/>
  <c r="Q51" i="11"/>
  <c r="Q44" i="11"/>
  <c r="R50" i="11"/>
  <c r="Q21" i="11"/>
  <c r="Q31" i="19" s="1"/>
  <c r="O74" i="9"/>
  <c r="N63" i="11"/>
  <c r="N42" i="19" s="1"/>
  <c r="P74" i="9"/>
  <c r="O63" i="11"/>
  <c r="O42" i="19" s="1"/>
  <c r="M74" i="9"/>
  <c r="G74" i="9"/>
  <c r="H6" i="17"/>
  <c r="N6" i="17" a="1"/>
  <c r="N6" i="17" s="1"/>
  <c r="N18" i="17" s="1"/>
  <c r="N19" i="17" s="1"/>
  <c r="I6" i="17"/>
  <c r="O6" i="17" a="1"/>
  <c r="O6" i="17" s="1"/>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S38" i="4"/>
  <c r="R44" i="4"/>
  <c r="R4" i="28"/>
  <c r="R18" i="28"/>
  <c r="R32" i="28"/>
  <c r="R46" i="28"/>
  <c r="R60" i="28"/>
  <c r="R74" i="28"/>
  <c r="D63" i="17"/>
  <c r="O63" i="17" s="1"/>
  <c r="D62" i="17"/>
  <c r="O62" i="17" s="1"/>
  <c r="D33" i="17"/>
  <c r="O33" i="17" s="1"/>
  <c r="D32" i="17"/>
  <c r="O32" i="17" s="1"/>
  <c r="H28" i="19"/>
  <c r="E32" i="19"/>
  <c r="H74" i="9"/>
  <c r="I74" i="9"/>
  <c r="Q74" i="9"/>
  <c r="U127" i="34" l="1"/>
  <c r="U71" i="34"/>
  <c r="U159" i="34"/>
  <c r="U141" i="34"/>
  <c r="T111" i="34"/>
  <c r="U110" i="34"/>
  <c r="V94" i="34"/>
  <c r="T186" i="34"/>
  <c r="T236" i="34" s="1"/>
  <c r="U94" i="34"/>
  <c r="U125" i="34"/>
  <c r="U186" i="34" s="1"/>
  <c r="U236" i="34" s="1"/>
  <c r="AA88" i="34"/>
  <c r="AA87" i="34" s="1"/>
  <c r="Z87" i="34"/>
  <c r="AA91" i="34"/>
  <c r="AA90" i="34" s="1"/>
  <c r="Z90" i="34"/>
  <c r="W93" i="34"/>
  <c r="X93" i="34" s="1"/>
  <c r="U168" i="34"/>
  <c r="V168" i="34" s="1"/>
  <c r="W168" i="34" s="1"/>
  <c r="X168" i="34" s="1"/>
  <c r="Y168" i="34" s="1"/>
  <c r="Z168" i="34" s="1"/>
  <c r="AA168" i="34" s="1"/>
  <c r="K232" i="34"/>
  <c r="K182" i="34"/>
  <c r="K133" i="34"/>
  <c r="K131" i="34" s="1"/>
  <c r="R21" i="11"/>
  <c r="R31" i="19" s="1"/>
  <c r="H18" i="17"/>
  <c r="H19" i="17" s="1"/>
  <c r="I18" i="17"/>
  <c r="I19" i="17" s="1"/>
  <c r="F27" i="17"/>
  <c r="L27" i="17" s="1"/>
  <c r="O27" i="17" s="1" a="1"/>
  <c r="O27" i="17" s="1"/>
  <c r="F26" i="17"/>
  <c r="L26" i="17" s="1"/>
  <c r="O26" i="17" s="1" a="1"/>
  <c r="O26" i="17" s="1"/>
  <c r="F25" i="17"/>
  <c r="L25" i="17" s="1"/>
  <c r="O25" i="17" s="1" a="1"/>
  <c r="O25" i="17" s="1"/>
  <c r="F24" i="17"/>
  <c r="L24" i="17" s="1"/>
  <c r="O24" i="17" s="1" a="1"/>
  <c r="O24" i="17" s="1"/>
  <c r="O18" i="17"/>
  <c r="O19" i="17" s="1"/>
  <c r="T38" i="4"/>
  <c r="T44" i="4" s="1"/>
  <c r="S44" i="4"/>
  <c r="G11" i="6"/>
  <c r="H26" i="19"/>
  <c r="H27" i="19"/>
  <c r="E33" i="19"/>
  <c r="B93" i="17"/>
  <c r="H4" i="17"/>
  <c r="U111" i="34" l="1"/>
  <c r="V110" i="34"/>
  <c r="V141" i="34"/>
  <c r="V159" i="34"/>
  <c r="V71" i="34"/>
  <c r="V127" i="34"/>
  <c r="X94" i="34"/>
  <c r="Y93" i="34"/>
  <c r="W94" i="34"/>
  <c r="G27" i="6"/>
  <c r="H259" i="34"/>
  <c r="K143" i="34"/>
  <c r="K188" i="34"/>
  <c r="K238" i="34" s="1"/>
  <c r="K97" i="34"/>
  <c r="Q61" i="11"/>
  <c r="G26" i="6"/>
  <c r="G26" i="19"/>
  <c r="G27" i="19"/>
  <c r="D4" i="17"/>
  <c r="B94" i="17"/>
  <c r="W127" i="34" l="1"/>
  <c r="W71" i="34"/>
  <c r="W159" i="34"/>
  <c r="W141" i="34"/>
  <c r="V111" i="34"/>
  <c r="V125" i="34"/>
  <c r="V186" i="34" s="1"/>
  <c r="V236" i="34" s="1"/>
  <c r="W110" i="34"/>
  <c r="Z93" i="34"/>
  <c r="Z94" i="34" s="1"/>
  <c r="Y94" i="34"/>
  <c r="I9" i="34"/>
  <c r="K96" i="34"/>
  <c r="L50" i="34"/>
  <c r="L136" i="34"/>
  <c r="R43" i="11"/>
  <c r="R20" i="11"/>
  <c r="G28" i="19"/>
  <c r="B97" i="17"/>
  <c r="I4" i="17"/>
  <c r="E4" i="17"/>
  <c r="R110" i="9"/>
  <c r="R4" i="9"/>
  <c r="R30" i="9"/>
  <c r="R64" i="9"/>
  <c r="R46" i="9"/>
  <c r="W111" i="34" l="1"/>
  <c r="W125" i="34"/>
  <c r="W186" i="34" s="1"/>
  <c r="W236" i="34" s="1"/>
  <c r="X110" i="34"/>
  <c r="X141" i="34"/>
  <c r="X159" i="34"/>
  <c r="X71" i="34"/>
  <c r="X127" i="34"/>
  <c r="AA93" i="34"/>
  <c r="L9" i="34"/>
  <c r="F9" i="34"/>
  <c r="C12" i="34"/>
  <c r="L47" i="34"/>
  <c r="L100" i="34"/>
  <c r="Q33" i="11"/>
  <c r="Y127" i="34" l="1"/>
  <c r="Z127" i="34" s="1"/>
  <c r="AA127" i="34" s="1"/>
  <c r="Y71" i="34"/>
  <c r="Z71" i="34" s="1"/>
  <c r="AA71" i="34" s="1"/>
  <c r="Y159" i="34"/>
  <c r="Z159" i="34" s="1"/>
  <c r="AA159" i="34" s="1"/>
  <c r="Y141" i="34"/>
  <c r="Z141" i="34" s="1"/>
  <c r="AA141" i="34" s="1"/>
  <c r="X111" i="34"/>
  <c r="X125" i="34"/>
  <c r="X186" i="34" s="1"/>
  <c r="X236" i="34" s="1"/>
  <c r="Y110" i="34"/>
  <c r="AA94" i="34"/>
  <c r="L196" i="34"/>
  <c r="L197" i="34" s="1"/>
  <c r="H243" i="34"/>
  <c r="H191" i="34"/>
  <c r="L120" i="34"/>
  <c r="L48" i="34"/>
  <c r="Q32" i="19"/>
  <c r="Y111" i="34" l="1"/>
  <c r="Y125" i="34"/>
  <c r="Y186" i="34" s="1"/>
  <c r="Y236" i="34" s="1"/>
  <c r="Z110" i="34"/>
  <c r="L232" i="34"/>
  <c r="L182" i="34"/>
  <c r="L133" i="34"/>
  <c r="L131" i="34" s="1"/>
  <c r="Q55" i="11"/>
  <c r="Q57" i="11"/>
  <c r="Q58" i="11"/>
  <c r="Q63" i="11"/>
  <c r="Q60" i="11"/>
  <c r="Q62" i="11"/>
  <c r="R33" i="11"/>
  <c r="R36" i="11" s="1"/>
  <c r="R41" i="19" s="1"/>
  <c r="Q36" i="11"/>
  <c r="Z111" i="34" l="1"/>
  <c r="Z125" i="34"/>
  <c r="Z186" i="34" s="1"/>
  <c r="Z236" i="34" s="1"/>
  <c r="AA110" i="34"/>
  <c r="L143" i="34"/>
  <c r="L188" i="34"/>
  <c r="L238" i="34" s="1"/>
  <c r="L97" i="34"/>
  <c r="E16" i="27"/>
  <c r="Q41" i="19"/>
  <c r="Q49" i="19"/>
  <c r="Q55" i="19"/>
  <c r="R32" i="19"/>
  <c r="AA111" i="34" l="1"/>
  <c r="AA125" i="34"/>
  <c r="AA186" i="34" s="1"/>
  <c r="AA236" i="34" s="1"/>
  <c r="L96" i="34"/>
  <c r="M50" i="34"/>
  <c r="M136" i="34"/>
  <c r="Q18" i="11"/>
  <c r="Q29" i="19" s="1"/>
  <c r="F16" i="27"/>
  <c r="D16" i="27"/>
  <c r="Q19" i="11"/>
  <c r="R49" i="19"/>
  <c r="R55" i="19"/>
  <c r="M47" i="34" l="1"/>
  <c r="M100" i="34"/>
  <c r="R18" i="11"/>
  <c r="R29" i="19" s="1"/>
  <c r="F29" i="19"/>
  <c r="Q30" i="19"/>
  <c r="M120" i="34" l="1"/>
  <c r="M48" i="34"/>
  <c r="M232" i="34" l="1"/>
  <c r="M182" i="34"/>
  <c r="M133" i="34"/>
  <c r="M131" i="34" s="1"/>
  <c r="Q23" i="11"/>
  <c r="Q33" i="19" s="1"/>
  <c r="M143" i="34" l="1"/>
  <c r="M188" i="34"/>
  <c r="M238" i="34" s="1"/>
  <c r="M97" i="34"/>
  <c r="M96" i="34" l="1"/>
  <c r="N50" i="34"/>
  <c r="N136" i="34"/>
  <c r="N47" i="34" l="1"/>
  <c r="N100" i="34"/>
  <c r="N120" i="34" l="1"/>
  <c r="N48" i="34"/>
  <c r="N133" i="34" l="1"/>
  <c r="N131" i="34" s="1"/>
  <c r="N182" i="34"/>
  <c r="N232" i="34"/>
  <c r="G60" i="9"/>
  <c r="F42" i="11" s="1"/>
  <c r="K60" i="9"/>
  <c r="J42" i="11" s="1"/>
  <c r="H60" i="9"/>
  <c r="G42" i="11" s="1"/>
  <c r="L60" i="9"/>
  <c r="K42" i="11" s="1"/>
  <c r="O60" i="9"/>
  <c r="N42" i="11" s="1"/>
  <c r="N48" i="19" s="1"/>
  <c r="J60" i="9"/>
  <c r="I42" i="11" s="1"/>
  <c r="N60" i="9"/>
  <c r="M42" i="11" s="1"/>
  <c r="P60" i="9"/>
  <c r="O42" i="11" s="1"/>
  <c r="O48" i="19" s="1"/>
  <c r="M60" i="9"/>
  <c r="L42" i="11" s="1"/>
  <c r="Q60" i="9"/>
  <c r="P42" i="11" s="1"/>
  <c r="P48" i="19" s="1"/>
  <c r="I60" i="9"/>
  <c r="H42" i="11" s="1"/>
  <c r="G79" i="9"/>
  <c r="G84" i="9" s="1"/>
  <c r="H79" i="9"/>
  <c r="I79" i="9"/>
  <c r="J79" i="9"/>
  <c r="K79" i="9"/>
  <c r="L79" i="9"/>
  <c r="N79" i="9"/>
  <c r="O79" i="9"/>
  <c r="P79" i="9"/>
  <c r="Q79" i="9"/>
  <c r="N188" i="34" l="1"/>
  <c r="N238" i="34" s="1"/>
  <c r="N143" i="34"/>
  <c r="N97" i="34"/>
  <c r="G61" i="9"/>
  <c r="I61" i="9"/>
  <c r="O61" i="9"/>
  <c r="N61" i="9"/>
  <c r="J61" i="9"/>
  <c r="Q61" i="9"/>
  <c r="H61" i="9"/>
  <c r="L61" i="9"/>
  <c r="M61" i="9"/>
  <c r="P61" i="9"/>
  <c r="K61" i="9"/>
  <c r="Q84" i="9"/>
  <c r="P84" i="9"/>
  <c r="O84" i="9"/>
  <c r="N84" i="9"/>
  <c r="M84" i="9"/>
  <c r="L84" i="9"/>
  <c r="K84" i="9"/>
  <c r="J84" i="9"/>
  <c r="I84" i="9"/>
  <c r="H84" i="9"/>
  <c r="O50" i="34" l="1"/>
  <c r="N96" i="34"/>
  <c r="O136" i="34"/>
  <c r="P40" i="11"/>
  <c r="P46" i="19" s="1"/>
  <c r="P11" i="11"/>
  <c r="P23" i="19" s="1"/>
  <c r="P41" i="11"/>
  <c r="P47" i="19" s="1"/>
  <c r="P16" i="11"/>
  <c r="P27" i="19" s="1"/>
  <c r="P17" i="11"/>
  <c r="P28" i="19" s="1"/>
  <c r="J40" i="11"/>
  <c r="J41" i="11"/>
  <c r="J11" i="11"/>
  <c r="J16" i="11"/>
  <c r="J17" i="11"/>
  <c r="O40" i="11"/>
  <c r="O46" i="19" s="1"/>
  <c r="O41" i="11"/>
  <c r="O47" i="19" s="1"/>
  <c r="O11" i="11"/>
  <c r="O23" i="19" s="1"/>
  <c r="O16" i="11"/>
  <c r="O27" i="19" s="1"/>
  <c r="O17" i="11"/>
  <c r="O28" i="19" s="1"/>
  <c r="L40" i="11"/>
  <c r="L41" i="11"/>
  <c r="L11" i="11"/>
  <c r="L16" i="11"/>
  <c r="L17" i="11"/>
  <c r="K40" i="11"/>
  <c r="K41" i="11"/>
  <c r="K11" i="11"/>
  <c r="K16" i="11"/>
  <c r="K17" i="11"/>
  <c r="G40" i="11"/>
  <c r="G11" i="11"/>
  <c r="G41" i="11"/>
  <c r="G16" i="11"/>
  <c r="G17" i="11"/>
  <c r="I41" i="11"/>
  <c r="I40" i="11"/>
  <c r="I11" i="11"/>
  <c r="I16" i="11"/>
  <c r="I17" i="11"/>
  <c r="M40" i="11"/>
  <c r="M41" i="11"/>
  <c r="M11" i="11"/>
  <c r="M16" i="11"/>
  <c r="M17" i="11"/>
  <c r="N11" i="11"/>
  <c r="N23" i="19" s="1"/>
  <c r="N41" i="11"/>
  <c r="N47" i="19" s="1"/>
  <c r="N40" i="11"/>
  <c r="N46" i="19" s="1"/>
  <c r="N16" i="11"/>
  <c r="N27" i="19" s="1"/>
  <c r="N17" i="11"/>
  <c r="N28" i="19" s="1"/>
  <c r="H41" i="11"/>
  <c r="H40" i="11"/>
  <c r="H11" i="11"/>
  <c r="H16" i="11"/>
  <c r="H17" i="11"/>
  <c r="F41" i="11"/>
  <c r="F11" i="11"/>
  <c r="F40" i="11"/>
  <c r="F16" i="11"/>
  <c r="F17" i="11"/>
  <c r="D122" i="17"/>
  <c r="D75" i="17" s="1"/>
  <c r="O47" i="34" l="1"/>
  <c r="O100" i="34"/>
  <c r="D36" i="17"/>
  <c r="O36" i="17" s="1"/>
  <c r="D35" i="17"/>
  <c r="O35" i="17" s="1"/>
  <c r="I29" i="19"/>
  <c r="O75" i="17"/>
  <c r="Q56" i="19"/>
  <c r="O120" i="34" l="1"/>
  <c r="O48" i="34"/>
  <c r="Q50" i="19"/>
  <c r="Q51" i="19"/>
  <c r="O133" i="34" l="1"/>
  <c r="O131" i="34" s="1"/>
  <c r="O182" i="34"/>
  <c r="O232" i="34"/>
  <c r="Q59" i="11"/>
  <c r="O143" i="34" l="1"/>
  <c r="O188" i="34"/>
  <c r="O238" i="34" s="1"/>
  <c r="O97" i="34"/>
  <c r="Q64" i="11"/>
  <c r="Q56" i="11"/>
  <c r="O96" i="34" l="1"/>
  <c r="P50" i="34"/>
  <c r="P136" i="34"/>
  <c r="R19" i="11"/>
  <c r="P47" i="34" l="1"/>
  <c r="P100" i="34"/>
  <c r="F30" i="19"/>
  <c r="R30" i="19"/>
  <c r="P120" i="34" l="1"/>
  <c r="P48" i="34"/>
  <c r="R58" i="11"/>
  <c r="R51" i="11"/>
  <c r="R56" i="19" s="1"/>
  <c r="R44" i="11"/>
  <c r="I30" i="19"/>
  <c r="R59" i="11"/>
  <c r="R57" i="11"/>
  <c r="R55" i="11"/>
  <c r="R63" i="11"/>
  <c r="P133" i="34" l="1"/>
  <c r="P131" i="34" s="1"/>
  <c r="P182" i="34"/>
  <c r="P232" i="34"/>
  <c r="R50" i="19"/>
  <c r="R51" i="19"/>
  <c r="R23" i="11"/>
  <c r="R33" i="19" s="1"/>
  <c r="F6" i="27"/>
  <c r="P143" i="34" l="1"/>
  <c r="P188" i="34"/>
  <c r="P238" i="34" s="1"/>
  <c r="P97" i="34"/>
  <c r="H6" i="27"/>
  <c r="G6" i="27"/>
  <c r="D6" i="27"/>
  <c r="E6" i="27"/>
  <c r="P96" i="34" l="1"/>
  <c r="Q50" i="34"/>
  <c r="Q136" i="34"/>
  <c r="Q47" i="34" l="1"/>
  <c r="Q100" i="34"/>
  <c r="Q48" i="34" l="1"/>
  <c r="Q120" i="34"/>
  <c r="F31" i="19"/>
  <c r="I31" i="19"/>
  <c r="Q133" i="34" l="1"/>
  <c r="Q131" i="34" s="1"/>
  <c r="Q182" i="34"/>
  <c r="Q232" i="34"/>
  <c r="Q188" i="34" l="1"/>
  <c r="Q238" i="34" s="1"/>
  <c r="Q143" i="34"/>
  <c r="Q97" i="34"/>
  <c r="R50" i="34" l="1"/>
  <c r="R136" i="34"/>
  <c r="Q96" i="34"/>
  <c r="R47" i="34" l="1"/>
  <c r="R100" i="34"/>
  <c r="F32" i="19"/>
  <c r="I32" i="19"/>
  <c r="R120" i="34" l="1"/>
  <c r="R48" i="34"/>
  <c r="R56" i="34"/>
  <c r="F33" i="19"/>
  <c r="I33" i="19"/>
  <c r="R228" i="34" l="1"/>
  <c r="R57" i="34"/>
  <c r="R177" i="34" s="1"/>
  <c r="R73" i="34"/>
  <c r="R75" i="34"/>
  <c r="R232" i="34"/>
  <c r="R182" i="34"/>
  <c r="R133" i="34"/>
  <c r="R131" i="34" s="1"/>
  <c r="C18" i="27"/>
  <c r="R188" i="34" l="1"/>
  <c r="R238" i="34" s="1"/>
  <c r="R143" i="34"/>
  <c r="R97" i="34"/>
  <c r="R78" i="34"/>
  <c r="R178" i="34"/>
  <c r="R175" i="34"/>
  <c r="R174" i="34" s="1"/>
  <c r="R180" i="34" s="1"/>
  <c r="R176" i="34"/>
  <c r="C19" i="27"/>
  <c r="C17" i="27"/>
  <c r="R54" i="19"/>
  <c r="R230" i="34" l="1"/>
  <c r="R79" i="34"/>
  <c r="R148" i="34"/>
  <c r="R255" i="34" s="1"/>
  <c r="R259" i="34" s="1"/>
  <c r="R261" i="34" s="1"/>
  <c r="R262" i="34" s="1"/>
  <c r="R265" i="34" s="1"/>
  <c r="R267" i="34" s="1"/>
  <c r="S50" i="34"/>
  <c r="R96" i="34"/>
  <c r="S136" i="34"/>
  <c r="R42" i="19"/>
  <c r="Q42" i="19"/>
  <c r="S47" i="34" l="1"/>
  <c r="S100" i="34"/>
  <c r="Q28" i="11"/>
  <c r="Q27" i="11"/>
  <c r="R45" i="11"/>
  <c r="R60" i="11"/>
  <c r="G29" i="19"/>
  <c r="Q43" i="19"/>
  <c r="S120" i="34" l="1"/>
  <c r="S48" i="34"/>
  <c r="S56" i="34"/>
  <c r="R61" i="11"/>
  <c r="H29" i="19"/>
  <c r="Q36" i="19"/>
  <c r="Q37" i="19"/>
  <c r="S228" i="34" l="1"/>
  <c r="S57" i="34"/>
  <c r="S177" i="34" s="1"/>
  <c r="S73" i="34"/>
  <c r="S75" i="34"/>
  <c r="S232" i="34"/>
  <c r="S182" i="34"/>
  <c r="S133" i="34"/>
  <c r="S131" i="34" s="1"/>
  <c r="R62" i="11"/>
  <c r="Q15" i="11"/>
  <c r="Q26" i="19" s="1"/>
  <c r="R15" i="11"/>
  <c r="Q42" i="11"/>
  <c r="Q48" i="19" s="1"/>
  <c r="R42" i="11"/>
  <c r="R29" i="11"/>
  <c r="Q29" i="11"/>
  <c r="Q38" i="19" s="1"/>
  <c r="G30" i="19"/>
  <c r="S188" i="34" l="1"/>
  <c r="S238" i="34" s="1"/>
  <c r="S143" i="34"/>
  <c r="S97" i="34"/>
  <c r="S78" i="34"/>
  <c r="S178" i="34"/>
  <c r="S175" i="34"/>
  <c r="S174" i="34" s="1"/>
  <c r="S180" i="34" s="1"/>
  <c r="S190" i="34" s="1"/>
  <c r="S176" i="34"/>
  <c r="R64" i="11"/>
  <c r="R43" i="19" s="1"/>
  <c r="R56" i="11"/>
  <c r="Q41" i="11"/>
  <c r="Q47" i="19" s="1"/>
  <c r="Q40" i="11"/>
  <c r="Q46" i="19" s="1"/>
  <c r="Q16" i="11"/>
  <c r="Q27" i="19" s="1"/>
  <c r="R41" i="11"/>
  <c r="R40" i="11"/>
  <c r="R16" i="11"/>
  <c r="Q17" i="11"/>
  <c r="Q28" i="19" s="1"/>
  <c r="R17" i="11"/>
  <c r="S213" i="34" l="1"/>
  <c r="S216" i="34"/>
  <c r="S217" i="34" s="1"/>
  <c r="S191" i="34"/>
  <c r="S230" i="34"/>
  <c r="S79" i="34"/>
  <c r="S148" i="34"/>
  <c r="S255" i="34" s="1"/>
  <c r="S259" i="34" s="1"/>
  <c r="S261" i="34" s="1"/>
  <c r="S262" i="34" s="1"/>
  <c r="S265" i="34" s="1"/>
  <c r="S267" i="34" s="1"/>
  <c r="S129" i="34"/>
  <c r="T50" i="34"/>
  <c r="S96" i="34"/>
  <c r="T136" i="34"/>
  <c r="R38" i="19"/>
  <c r="R48" i="19"/>
  <c r="H30" i="19"/>
  <c r="R28" i="11"/>
  <c r="R37" i="19" s="1"/>
  <c r="R27" i="11"/>
  <c r="R36" i="19" s="1"/>
  <c r="G31" i="19"/>
  <c r="R26" i="19"/>
  <c r="R28" i="19"/>
  <c r="T47" i="34" l="1"/>
  <c r="T100" i="34"/>
  <c r="R47" i="19"/>
  <c r="R46" i="19"/>
  <c r="R27" i="19"/>
  <c r="T120" i="34" l="1"/>
  <c r="T48" i="34"/>
  <c r="T56" i="34"/>
  <c r="H31" i="19"/>
  <c r="T228" i="34" l="1"/>
  <c r="T57" i="34"/>
  <c r="T177" i="34" s="1"/>
  <c r="T73" i="34"/>
  <c r="T75" i="34"/>
  <c r="T232" i="34"/>
  <c r="T182" i="34"/>
  <c r="T133" i="34"/>
  <c r="T131" i="34" s="1"/>
  <c r="G32" i="19"/>
  <c r="T188" i="34" l="1"/>
  <c r="T238" i="34" s="1"/>
  <c r="T143" i="34"/>
  <c r="T97" i="34"/>
  <c r="T78" i="34"/>
  <c r="T178" i="34"/>
  <c r="T175" i="34"/>
  <c r="T174" i="34" s="1"/>
  <c r="T180" i="34" s="1"/>
  <c r="T190" i="34" s="1"/>
  <c r="T176" i="34"/>
  <c r="H32" i="19"/>
  <c r="T213" i="34" l="1"/>
  <c r="T216" i="34"/>
  <c r="T217" i="34" s="1"/>
  <c r="T191" i="34"/>
  <c r="T230" i="34"/>
  <c r="T79" i="34"/>
  <c r="T148" i="34"/>
  <c r="T255" i="34" s="1"/>
  <c r="T259" i="34" s="1"/>
  <c r="T261" i="34" s="1"/>
  <c r="T262" i="34" s="1"/>
  <c r="T265" i="34" s="1"/>
  <c r="T267" i="34" s="1"/>
  <c r="T129" i="34"/>
  <c r="U50" i="34"/>
  <c r="T96" i="34"/>
  <c r="U136" i="34"/>
  <c r="G33" i="19"/>
  <c r="U47" i="34" l="1"/>
  <c r="U100" i="34"/>
  <c r="H33" i="19"/>
  <c r="U120" i="34" l="1"/>
  <c r="U48" i="34"/>
  <c r="U56" i="34"/>
  <c r="R8" i="11"/>
  <c r="R20" i="19" s="1"/>
  <c r="Q6" i="11"/>
  <c r="Q18" i="19" s="1"/>
  <c r="U228" i="34" l="1"/>
  <c r="U57" i="34"/>
  <c r="U177" i="34" s="1"/>
  <c r="U73" i="34"/>
  <c r="U75" i="34"/>
  <c r="U232" i="34"/>
  <c r="U182" i="34"/>
  <c r="U133" i="34"/>
  <c r="U131" i="34" s="1"/>
  <c r="Q9" i="11"/>
  <c r="Q21" i="19" s="1"/>
  <c r="Q11" i="11"/>
  <c r="Q23" i="19" s="1"/>
  <c r="Q8" i="11"/>
  <c r="Q20" i="19" s="1"/>
  <c r="R11" i="11"/>
  <c r="R23" i="19" s="1"/>
  <c r="R6" i="11"/>
  <c r="R18" i="19" s="1"/>
  <c r="R9" i="11"/>
  <c r="R21" i="19" s="1"/>
  <c r="U188" i="34" l="1"/>
  <c r="U238" i="34" s="1"/>
  <c r="U143" i="34"/>
  <c r="U97" i="34"/>
  <c r="U78" i="34"/>
  <c r="U178" i="34"/>
  <c r="U175" i="34"/>
  <c r="U174" i="34" s="1"/>
  <c r="U180" i="34" s="1"/>
  <c r="U190" i="34" s="1"/>
  <c r="U176" i="34"/>
  <c r="R10" i="11"/>
  <c r="R22" i="19" s="1"/>
  <c r="R7" i="11"/>
  <c r="R19" i="19" s="1"/>
  <c r="Q7" i="11"/>
  <c r="Q19" i="19" s="1"/>
  <c r="Q10" i="11"/>
  <c r="Q22" i="19" s="1"/>
  <c r="U213" i="34" l="1"/>
  <c r="U216" i="34"/>
  <c r="U217" i="34" s="1"/>
  <c r="U191" i="34"/>
  <c r="U230" i="34"/>
  <c r="U79" i="34"/>
  <c r="U148" i="34"/>
  <c r="U255" i="34" s="1"/>
  <c r="U259" i="34" s="1"/>
  <c r="U261" i="34" s="1"/>
  <c r="U262" i="34" s="1"/>
  <c r="U265" i="34" s="1"/>
  <c r="U267" i="34" s="1"/>
  <c r="U129" i="34"/>
  <c r="V50" i="34"/>
  <c r="U96" i="34"/>
  <c r="V136" i="34"/>
  <c r="U10" i="19"/>
  <c r="U11" i="19"/>
  <c r="V47" i="34" l="1"/>
  <c r="V100" i="34"/>
  <c r="Q30" i="34"/>
  <c r="Q90" i="34" s="1"/>
  <c r="R125" i="34" s="1"/>
  <c r="I31" i="34"/>
  <c r="I30" i="34" s="1"/>
  <c r="V120" i="34" l="1"/>
  <c r="V48" i="34"/>
  <c r="V56" i="34"/>
  <c r="R186" i="34"/>
  <c r="R129" i="34"/>
  <c r="I90" i="34"/>
  <c r="I33" i="34"/>
  <c r="J31" i="34"/>
  <c r="K31" i="34" s="1"/>
  <c r="Q33" i="34"/>
  <c r="Q107" i="34"/>
  <c r="I107" i="34"/>
  <c r="V228" i="34" l="1"/>
  <c r="V57" i="34"/>
  <c r="V177" i="34" s="1"/>
  <c r="V73" i="34"/>
  <c r="V75" i="34"/>
  <c r="V232" i="34"/>
  <c r="V182" i="34"/>
  <c r="V133" i="34"/>
  <c r="V131" i="34" s="1"/>
  <c r="R236" i="34"/>
  <c r="R190" i="34"/>
  <c r="I34" i="34"/>
  <c r="J30" i="34"/>
  <c r="J107" i="34" s="1"/>
  <c r="AM11" i="34"/>
  <c r="AO11" i="34"/>
  <c r="Q34" i="34"/>
  <c r="K30" i="34"/>
  <c r="L31" i="34"/>
  <c r="I125" i="34"/>
  <c r="I186" i="34" s="1"/>
  <c r="I236" i="34" s="1"/>
  <c r="V188" i="34" l="1"/>
  <c r="V238" i="34" s="1"/>
  <c r="V143" i="34"/>
  <c r="V97" i="34"/>
  <c r="V78" i="34"/>
  <c r="V178" i="34"/>
  <c r="V175" i="34"/>
  <c r="V174" i="34" s="1"/>
  <c r="V180" i="34" s="1"/>
  <c r="V190" i="34" s="1"/>
  <c r="V176" i="34"/>
  <c r="R213" i="34"/>
  <c r="R216" i="34"/>
  <c r="R217" i="34" s="1"/>
  <c r="R191" i="34"/>
  <c r="J33" i="34"/>
  <c r="J34" i="34" s="1"/>
  <c r="J90" i="34"/>
  <c r="J125" i="34" s="1"/>
  <c r="J186" i="34" s="1"/>
  <c r="J236" i="34" s="1"/>
  <c r="M31" i="34"/>
  <c r="L30" i="34"/>
  <c r="K107" i="34"/>
  <c r="K33" i="34"/>
  <c r="K90" i="34"/>
  <c r="V191" i="34" l="1"/>
  <c r="V213" i="34"/>
  <c r="V216" i="34"/>
  <c r="V217" i="34" s="1"/>
  <c r="V230" i="34"/>
  <c r="V79" i="34"/>
  <c r="V129" i="34"/>
  <c r="V148" i="34"/>
  <c r="V255" i="34" s="1"/>
  <c r="V259" i="34" s="1"/>
  <c r="V261" i="34" s="1"/>
  <c r="V262" i="34" s="1"/>
  <c r="V265" i="34" s="1"/>
  <c r="V267" i="34" s="1"/>
  <c r="W50" i="34"/>
  <c r="V96" i="34"/>
  <c r="W136" i="34"/>
  <c r="K125" i="34"/>
  <c r="K186" i="34" s="1"/>
  <c r="K236" i="34" s="1"/>
  <c r="N31" i="34"/>
  <c r="M30" i="34"/>
  <c r="K34" i="34"/>
  <c r="L90" i="34"/>
  <c r="L107" i="34"/>
  <c r="L33" i="34"/>
  <c r="W47" i="34" l="1"/>
  <c r="W100" i="34"/>
  <c r="L125" i="34"/>
  <c r="L186" i="34" s="1"/>
  <c r="L236" i="34" s="1"/>
  <c r="M90" i="34"/>
  <c r="M33" i="34"/>
  <c r="M107" i="34"/>
  <c r="O31" i="34"/>
  <c r="N30" i="34"/>
  <c r="L34" i="34"/>
  <c r="W120" i="34" l="1"/>
  <c r="W48" i="34"/>
  <c r="W56" i="34"/>
  <c r="N90" i="34"/>
  <c r="N107" i="34"/>
  <c r="N33" i="34"/>
  <c r="P31" i="34"/>
  <c r="P30" i="34" s="1"/>
  <c r="O30" i="34"/>
  <c r="M34" i="34"/>
  <c r="M125" i="34"/>
  <c r="M186" i="34" s="1"/>
  <c r="M236" i="34" s="1"/>
  <c r="W228" i="34" l="1"/>
  <c r="W57" i="34"/>
  <c r="W177" i="34" s="1"/>
  <c r="W73" i="34"/>
  <c r="W75" i="34"/>
  <c r="W232" i="34"/>
  <c r="W182" i="34"/>
  <c r="W133" i="34"/>
  <c r="W131" i="34" s="1"/>
  <c r="N125" i="34"/>
  <c r="N186" i="34" s="1"/>
  <c r="N236" i="34" s="1"/>
  <c r="O33" i="34"/>
  <c r="O90" i="34"/>
  <c r="O107" i="34"/>
  <c r="P90" i="34"/>
  <c r="P107" i="34"/>
  <c r="P33" i="34"/>
  <c r="N34" i="34"/>
  <c r="W188" i="34" l="1"/>
  <c r="W238" i="34" s="1"/>
  <c r="W143" i="34"/>
  <c r="W97" i="34"/>
  <c r="W78" i="34"/>
  <c r="W178" i="34"/>
  <c r="W175" i="34"/>
  <c r="W174" i="34" s="1"/>
  <c r="W180" i="34" s="1"/>
  <c r="W190" i="34" s="1"/>
  <c r="W176" i="34"/>
  <c r="O125" i="34"/>
  <c r="O186" i="34" s="1"/>
  <c r="O236" i="34" s="1"/>
  <c r="P34" i="34"/>
  <c r="P125" i="34"/>
  <c r="P186" i="34" s="1"/>
  <c r="P236" i="34" s="1"/>
  <c r="Q125" i="34"/>
  <c r="O34" i="34"/>
  <c r="W191" i="34" l="1"/>
  <c r="W213" i="34"/>
  <c r="W216" i="34"/>
  <c r="W217" i="34" s="1"/>
  <c r="W230" i="34"/>
  <c r="W79" i="34"/>
  <c r="W129" i="34"/>
  <c r="W148" i="34"/>
  <c r="W255" i="34" s="1"/>
  <c r="W259" i="34" s="1"/>
  <c r="W261" i="34" s="1"/>
  <c r="W262" i="34" s="1"/>
  <c r="W265" i="34" s="1"/>
  <c r="W267" i="34" s="1"/>
  <c r="X50" i="34"/>
  <c r="W96" i="34"/>
  <c r="X136" i="34"/>
  <c r="Q186" i="34"/>
  <c r="X47" i="34" l="1"/>
  <c r="X100" i="34"/>
  <c r="Q236" i="34"/>
  <c r="X120" i="34" l="1"/>
  <c r="X48" i="34"/>
  <c r="X56" i="34"/>
  <c r="J36" i="34"/>
  <c r="J44" i="34" s="1"/>
  <c r="I36" i="34"/>
  <c r="X228" i="34" l="1"/>
  <c r="X57" i="34"/>
  <c r="X177" i="34" s="1"/>
  <c r="X73" i="34"/>
  <c r="X75" i="34"/>
  <c r="X232" i="34"/>
  <c r="X182" i="34"/>
  <c r="X133" i="34"/>
  <c r="X131" i="34" s="1"/>
  <c r="J122" i="34"/>
  <c r="J184" i="34" s="1"/>
  <c r="I44" i="34"/>
  <c r="I122" i="34"/>
  <c r="K36" i="34"/>
  <c r="J45" i="34"/>
  <c r="J56" i="34"/>
  <c r="X188" i="34" l="1"/>
  <c r="X238" i="34" s="1"/>
  <c r="X143" i="34"/>
  <c r="X97" i="34"/>
  <c r="X78" i="34"/>
  <c r="X178" i="34"/>
  <c r="X175" i="34"/>
  <c r="X174" i="34" s="1"/>
  <c r="X180" i="34" s="1"/>
  <c r="X190" i="34" s="1"/>
  <c r="X176" i="34"/>
  <c r="J234" i="34"/>
  <c r="L36" i="34"/>
  <c r="K122" i="34"/>
  <c r="K44" i="34"/>
  <c r="I184" i="34"/>
  <c r="I234" i="34"/>
  <c r="I56" i="34"/>
  <c r="I45" i="34"/>
  <c r="J57" i="34"/>
  <c r="J177" i="34" s="1"/>
  <c r="J75" i="34"/>
  <c r="J73" i="34"/>
  <c r="J228" i="34"/>
  <c r="X191" i="34" l="1"/>
  <c r="X213" i="34"/>
  <c r="X216" i="34"/>
  <c r="X217" i="34" s="1"/>
  <c r="X230" i="34"/>
  <c r="X79" i="34"/>
  <c r="X129" i="34"/>
  <c r="X148" i="34"/>
  <c r="X255" i="34" s="1"/>
  <c r="X259" i="34" s="1"/>
  <c r="X261" i="34" s="1"/>
  <c r="X262" i="34" s="1"/>
  <c r="X265" i="34" s="1"/>
  <c r="X267" i="34" s="1"/>
  <c r="Y50" i="34"/>
  <c r="X96" i="34"/>
  <c r="Y136" i="34"/>
  <c r="J78" i="34"/>
  <c r="J148" i="34" s="1"/>
  <c r="I73" i="34"/>
  <c r="I57" i="34"/>
  <c r="I177" i="34" s="1"/>
  <c r="I228" i="34"/>
  <c r="I75" i="34"/>
  <c r="K56" i="34"/>
  <c r="K45" i="34"/>
  <c r="K184" i="34"/>
  <c r="K234" i="34"/>
  <c r="L122" i="34"/>
  <c r="L44" i="34"/>
  <c r="M36" i="34"/>
  <c r="J176" i="34"/>
  <c r="J175" i="34"/>
  <c r="J174" i="34" s="1"/>
  <c r="J180" i="34" s="1"/>
  <c r="J178" i="34"/>
  <c r="Y47" i="34" l="1"/>
  <c r="Y100" i="34"/>
  <c r="J129" i="34"/>
  <c r="J230" i="34"/>
  <c r="J79" i="34"/>
  <c r="L45" i="34"/>
  <c r="L56" i="34"/>
  <c r="L234" i="34"/>
  <c r="L184" i="34"/>
  <c r="N36" i="34"/>
  <c r="K73" i="34"/>
  <c r="K57" i="34"/>
  <c r="K177" i="34" s="1"/>
  <c r="K75" i="34"/>
  <c r="K228" i="34"/>
  <c r="M44" i="34"/>
  <c r="M122" i="34"/>
  <c r="I178" i="34"/>
  <c r="I175" i="34"/>
  <c r="I174" i="34" s="1"/>
  <c r="I180" i="34" s="1"/>
  <c r="I176" i="34"/>
  <c r="I78" i="34"/>
  <c r="AI12" i="34"/>
  <c r="J190" i="34"/>
  <c r="J255" i="34"/>
  <c r="Y120" i="34" l="1"/>
  <c r="Y48" i="34"/>
  <c r="Y56" i="34"/>
  <c r="AB190" i="34"/>
  <c r="AB191" i="34"/>
  <c r="K178" i="34"/>
  <c r="K176" i="34"/>
  <c r="K175" i="34"/>
  <c r="K174" i="34" s="1"/>
  <c r="K180" i="34" s="1"/>
  <c r="M56" i="34"/>
  <c r="M45" i="34"/>
  <c r="M234" i="34"/>
  <c r="M184" i="34"/>
  <c r="K78" i="34"/>
  <c r="O36" i="34"/>
  <c r="I230" i="34"/>
  <c r="I242" i="34" s="1"/>
  <c r="I79" i="34"/>
  <c r="I148" i="34"/>
  <c r="I129" i="34"/>
  <c r="N122" i="34"/>
  <c r="N44" i="34"/>
  <c r="I190" i="34"/>
  <c r="AI11" i="34"/>
  <c r="L73" i="34"/>
  <c r="L228" i="34"/>
  <c r="L57" i="34"/>
  <c r="L177" i="34" s="1"/>
  <c r="L75" i="34"/>
  <c r="J191" i="34"/>
  <c r="AE12" i="34"/>
  <c r="J213" i="34"/>
  <c r="J259" i="34"/>
  <c r="AH12" i="34"/>
  <c r="Y228" i="34" l="1"/>
  <c r="Y57" i="34"/>
  <c r="Y177" i="34" s="1"/>
  <c r="Y73" i="34"/>
  <c r="Y75" i="34"/>
  <c r="Y232" i="34"/>
  <c r="Y182" i="34"/>
  <c r="Y133" i="34"/>
  <c r="Y131" i="34" s="1"/>
  <c r="L78" i="34"/>
  <c r="L129" i="34" s="1"/>
  <c r="J156" i="34"/>
  <c r="I243" i="34"/>
  <c r="AF11" i="34"/>
  <c r="J154" i="34"/>
  <c r="P36" i="34"/>
  <c r="L178" i="34"/>
  <c r="L176" i="34"/>
  <c r="L175" i="34"/>
  <c r="L174" i="34" s="1"/>
  <c r="L180" i="34" s="1"/>
  <c r="O44" i="34"/>
  <c r="O122" i="34"/>
  <c r="K79" i="34"/>
  <c r="K230" i="34"/>
  <c r="K129" i="34"/>
  <c r="K148" i="34"/>
  <c r="N56" i="34"/>
  <c r="N45" i="34"/>
  <c r="M228" i="34"/>
  <c r="M57" i="34"/>
  <c r="M177" i="34" s="1"/>
  <c r="M75" i="34"/>
  <c r="M73" i="34"/>
  <c r="N184" i="34"/>
  <c r="N234" i="34"/>
  <c r="AI13" i="34"/>
  <c r="K190" i="34"/>
  <c r="I191" i="34"/>
  <c r="I213" i="34"/>
  <c r="AE11" i="34"/>
  <c r="I255" i="34"/>
  <c r="I161" i="34"/>
  <c r="I163" i="34" s="1"/>
  <c r="I85" i="34" s="1"/>
  <c r="S199" i="34" s="1"/>
  <c r="Y188" i="34" l="1"/>
  <c r="Y238" i="34" s="1"/>
  <c r="Y143" i="34"/>
  <c r="Y97" i="34"/>
  <c r="Y78" i="34"/>
  <c r="Y178" i="34"/>
  <c r="Y175" i="34"/>
  <c r="Y174" i="34" s="1"/>
  <c r="Y180" i="34" s="1"/>
  <c r="Y190" i="34" s="1"/>
  <c r="Y176" i="34"/>
  <c r="AC190" i="34"/>
  <c r="AC191" i="34"/>
  <c r="M78" i="34"/>
  <c r="L79" i="34"/>
  <c r="L148" i="34"/>
  <c r="L255" i="34" s="1"/>
  <c r="AH14" i="34" s="1"/>
  <c r="L230" i="34"/>
  <c r="O56" i="34"/>
  <c r="O45" i="34"/>
  <c r="L190" i="34"/>
  <c r="AI14" i="34"/>
  <c r="M176" i="34"/>
  <c r="M178" i="34"/>
  <c r="M175" i="34"/>
  <c r="M174" i="34" s="1"/>
  <c r="M180" i="34" s="1"/>
  <c r="M190" i="34" s="1"/>
  <c r="AP11" i="34"/>
  <c r="AL11" i="34"/>
  <c r="AN11" i="34" s="1"/>
  <c r="AK11" i="34"/>
  <c r="O234" i="34"/>
  <c r="O184" i="34"/>
  <c r="M230" i="34"/>
  <c r="M129" i="34"/>
  <c r="M79" i="34"/>
  <c r="M148" i="34"/>
  <c r="M255" i="34" s="1"/>
  <c r="M259" i="34" s="1"/>
  <c r="N73" i="34"/>
  <c r="N75" i="34"/>
  <c r="N228" i="34"/>
  <c r="N57" i="34"/>
  <c r="N177" i="34" s="1"/>
  <c r="I259" i="34"/>
  <c r="AH11" i="34"/>
  <c r="Q36" i="34"/>
  <c r="P44" i="34"/>
  <c r="P122" i="34"/>
  <c r="J240" i="34"/>
  <c r="J161" i="34"/>
  <c r="J163" i="34" s="1"/>
  <c r="J85" i="34" s="1"/>
  <c r="K255" i="34"/>
  <c r="K191" i="34"/>
  <c r="K213" i="34"/>
  <c r="AE13" i="34"/>
  <c r="Y191" i="34" l="1"/>
  <c r="Y213" i="34"/>
  <c r="Y216" i="34"/>
  <c r="Y217" i="34" s="1"/>
  <c r="Y230" i="34"/>
  <c r="Y79" i="34"/>
  <c r="Y129" i="34"/>
  <c r="Y148" i="34"/>
  <c r="Y255" i="34" s="1"/>
  <c r="Y259" i="34" s="1"/>
  <c r="Y261" i="34" s="1"/>
  <c r="Y262" i="34" s="1"/>
  <c r="Y265" i="34" s="1"/>
  <c r="Y267" i="34" s="1"/>
  <c r="Z50" i="34"/>
  <c r="Y96" i="34"/>
  <c r="Z136" i="34"/>
  <c r="AE190" i="34"/>
  <c r="AE191" i="34"/>
  <c r="AD190" i="34"/>
  <c r="AD191" i="34"/>
  <c r="L259" i="34"/>
  <c r="N175" i="34"/>
  <c r="N174" i="34" s="1"/>
  <c r="N180" i="34" s="1"/>
  <c r="N190" i="34" s="1"/>
  <c r="N176" i="34"/>
  <c r="N178" i="34"/>
  <c r="N78" i="34"/>
  <c r="AK12" i="34"/>
  <c r="M191" i="34"/>
  <c r="M213" i="34"/>
  <c r="AH13" i="34"/>
  <c r="K259" i="34"/>
  <c r="Q122" i="34"/>
  <c r="Q44" i="34"/>
  <c r="Q196" i="34"/>
  <c r="Q197" i="34" s="1"/>
  <c r="AJ12" i="34"/>
  <c r="J242" i="34"/>
  <c r="P184" i="34"/>
  <c r="P234" i="34"/>
  <c r="L191" i="34"/>
  <c r="AE14" i="34"/>
  <c r="L213" i="34"/>
  <c r="P56" i="34"/>
  <c r="P45" i="34"/>
  <c r="O75" i="34"/>
  <c r="O73" i="34"/>
  <c r="O57" i="34"/>
  <c r="O177" i="34" s="1"/>
  <c r="O228" i="34"/>
  <c r="Z47" i="34" l="1"/>
  <c r="Z100" i="34"/>
  <c r="AF190" i="34"/>
  <c r="AF191" i="34"/>
  <c r="O78" i="34"/>
  <c r="O79" i="34" s="1"/>
  <c r="O230" i="34"/>
  <c r="O148" i="34"/>
  <c r="O255" i="34" s="1"/>
  <c r="O259" i="34" s="1"/>
  <c r="O129" i="34"/>
  <c r="J243" i="34"/>
  <c r="AF12" i="34"/>
  <c r="K156" i="34"/>
  <c r="K154" i="34"/>
  <c r="O178" i="34"/>
  <c r="O175" i="34"/>
  <c r="O174" i="34" s="1"/>
  <c r="O180" i="34" s="1"/>
  <c r="O190" i="34" s="1"/>
  <c r="O176" i="34"/>
  <c r="N230" i="34"/>
  <c r="N148" i="34"/>
  <c r="N255" i="34" s="1"/>
  <c r="N259" i="34" s="1"/>
  <c r="N129" i="34"/>
  <c r="N79" i="34"/>
  <c r="Q56" i="34"/>
  <c r="Q45" i="34"/>
  <c r="P228" i="34"/>
  <c r="P73" i="34"/>
  <c r="P57" i="34"/>
  <c r="P177" i="34" s="1"/>
  <c r="P75" i="34"/>
  <c r="Q234" i="34"/>
  <c r="Q184" i="34"/>
  <c r="N191" i="34"/>
  <c r="N213" i="34"/>
  <c r="Z120" i="34" l="1"/>
  <c r="Z48" i="34"/>
  <c r="Z56" i="34"/>
  <c r="AH190" i="34"/>
  <c r="AH191" i="34"/>
  <c r="P78" i="34"/>
  <c r="P230" i="34" s="1"/>
  <c r="Q228" i="34"/>
  <c r="Q57" i="34"/>
  <c r="Q177" i="34" s="1"/>
  <c r="Q75" i="34"/>
  <c r="Q73" i="34"/>
  <c r="K240" i="34"/>
  <c r="K161" i="34"/>
  <c r="K163" i="34" s="1"/>
  <c r="K85" i="34" s="1"/>
  <c r="AK13" i="34" s="1"/>
  <c r="O213" i="34"/>
  <c r="O191" i="34"/>
  <c r="P176" i="34"/>
  <c r="P175" i="34"/>
  <c r="P174" i="34" s="1"/>
  <c r="P180" i="34" s="1"/>
  <c r="P190" i="34" s="1"/>
  <c r="P178" i="34"/>
  <c r="Z228" i="34" l="1"/>
  <c r="Z57" i="34"/>
  <c r="Z177" i="34" s="1"/>
  <c r="Z73" i="34"/>
  <c r="Z75" i="34"/>
  <c r="Z232" i="34"/>
  <c r="Z182" i="34"/>
  <c r="Z133" i="34"/>
  <c r="Z131" i="34" s="1"/>
  <c r="AI190" i="34"/>
  <c r="AI191" i="34"/>
  <c r="P148" i="34"/>
  <c r="P255" i="34" s="1"/>
  <c r="P259" i="34" s="1"/>
  <c r="P129" i="34"/>
  <c r="P79" i="34"/>
  <c r="Q78" i="34"/>
  <c r="Q129" i="34" s="1"/>
  <c r="Q175" i="34"/>
  <c r="Q174" i="34" s="1"/>
  <c r="Q180" i="34" s="1"/>
  <c r="Q190" i="34" s="1"/>
  <c r="Q178" i="34"/>
  <c r="Q176" i="34"/>
  <c r="AJ13" i="34"/>
  <c r="K242" i="34"/>
  <c r="P213" i="34"/>
  <c r="P191" i="34"/>
  <c r="Z188" i="34" l="1"/>
  <c r="Z238" i="34" s="1"/>
  <c r="Z143" i="34"/>
  <c r="Z97" i="34"/>
  <c r="Z78" i="34"/>
  <c r="Z178" i="34"/>
  <c r="Z175" i="34"/>
  <c r="Z174" i="34" s="1"/>
  <c r="Z180" i="34" s="1"/>
  <c r="Z190" i="34" s="1"/>
  <c r="Z176" i="34"/>
  <c r="AJ190" i="34"/>
  <c r="S198" i="34" s="1"/>
  <c r="S203" i="34" s="1"/>
  <c r="AJ191" i="34"/>
  <c r="Q148" i="34"/>
  <c r="Q255" i="34" s="1"/>
  <c r="Q259" i="34" s="1"/>
  <c r="Q230" i="34"/>
  <c r="Q79" i="34"/>
  <c r="Q213" i="34"/>
  <c r="Q191" i="34"/>
  <c r="Q198" i="34" s="1"/>
  <c r="Q203" i="34" s="1"/>
  <c r="Q206" i="34" s="1"/>
  <c r="Q216" i="34"/>
  <c r="Q217" i="34" s="1"/>
  <c r="L154" i="34"/>
  <c r="K243" i="34"/>
  <c r="L156" i="34"/>
  <c r="AF13" i="34"/>
  <c r="Z191" i="34" l="1"/>
  <c r="Z213" i="34"/>
  <c r="Z216" i="34"/>
  <c r="Z217" i="34" s="1"/>
  <c r="Z230" i="34"/>
  <c r="Z79" i="34"/>
  <c r="Z129" i="34"/>
  <c r="Z148" i="34"/>
  <c r="Z255" i="34" s="1"/>
  <c r="Z259" i="34" s="1"/>
  <c r="Z261" i="34" s="1"/>
  <c r="Z262" i="34" s="1"/>
  <c r="Z265" i="34" s="1"/>
  <c r="Z267" i="34" s="1"/>
  <c r="AA50" i="34"/>
  <c r="Z96" i="34"/>
  <c r="AA136" i="34"/>
  <c r="Y220" i="34"/>
  <c r="Y221" i="34" s="1"/>
  <c r="Y222" i="34" s="1"/>
  <c r="Y224" i="34" s="1"/>
  <c r="X220" i="34"/>
  <c r="X221" i="34" s="1"/>
  <c r="X222" i="34" s="1"/>
  <c r="X224" i="34" s="1"/>
  <c r="W220" i="34"/>
  <c r="W221" i="34" s="1"/>
  <c r="W222" i="34" s="1"/>
  <c r="W224" i="34" s="1"/>
  <c r="U220" i="34"/>
  <c r="U221" i="34" s="1"/>
  <c r="U222" i="34" s="1"/>
  <c r="U224" i="34" s="1"/>
  <c r="T220" i="34"/>
  <c r="T221" i="34" s="1"/>
  <c r="T222" i="34" s="1"/>
  <c r="T224" i="34" s="1"/>
  <c r="S220" i="34"/>
  <c r="S221" i="34" s="1"/>
  <c r="S222" i="34" s="1"/>
  <c r="S224" i="34" s="1"/>
  <c r="R220" i="34"/>
  <c r="R221" i="34" s="1"/>
  <c r="R222" i="34" s="1"/>
  <c r="R224" i="34" s="1"/>
  <c r="V220" i="34"/>
  <c r="V221" i="34" s="1"/>
  <c r="V222" i="34" s="1"/>
  <c r="V224" i="34" s="1"/>
  <c r="Q261" i="34"/>
  <c r="Q262" i="34" s="1"/>
  <c r="Q265" i="34" s="1"/>
  <c r="Q267" i="34" s="1"/>
  <c r="Y263" i="34"/>
  <c r="W263" i="34"/>
  <c r="V263" i="34"/>
  <c r="T263" i="34"/>
  <c r="S263" i="34"/>
  <c r="R263" i="34"/>
  <c r="U263" i="34"/>
  <c r="X263" i="34"/>
  <c r="L161" i="34"/>
  <c r="L163" i="34" s="1"/>
  <c r="L85" i="34" s="1"/>
  <c r="AK14" i="34" s="1"/>
  <c r="L240" i="34"/>
  <c r="AV283" i="34"/>
  <c r="Q209" i="34"/>
  <c r="AV293" i="34"/>
  <c r="Q220" i="34"/>
  <c r="Q221" i="34" s="1"/>
  <c r="Q222" i="34" s="1"/>
  <c r="Q224" i="34" s="1"/>
  <c r="Z220" i="34" l="1"/>
  <c r="Z221" i="34" s="1"/>
  <c r="Z222" i="34" s="1"/>
  <c r="Z224" i="34" s="1"/>
  <c r="Z263" i="34"/>
  <c r="AA47" i="34"/>
  <c r="AA100" i="34"/>
  <c r="Q263" i="34"/>
  <c r="AJ14" i="34"/>
  <c r="L242" i="34"/>
  <c r="AA120" i="34" l="1"/>
  <c r="AA48" i="34"/>
  <c r="AA56" i="34"/>
  <c r="M156" i="34"/>
  <c r="AF14" i="34"/>
  <c r="L243" i="34"/>
  <c r="M154" i="34"/>
  <c r="AA228" i="34" l="1"/>
  <c r="AA57" i="34"/>
  <c r="AA177" i="34" s="1"/>
  <c r="AA73" i="34"/>
  <c r="AA75" i="34"/>
  <c r="AA232" i="34"/>
  <c r="AA182" i="34"/>
  <c r="AA133" i="34"/>
  <c r="AA131" i="34" s="1"/>
  <c r="M240" i="34"/>
  <c r="M242" i="34" s="1"/>
  <c r="M161" i="34"/>
  <c r="M163" i="34" s="1"/>
  <c r="M85" i="34" s="1"/>
  <c r="AA188" i="34" l="1"/>
  <c r="AA238" i="34" s="1"/>
  <c r="AA143" i="34"/>
  <c r="AA97" i="34"/>
  <c r="AA96" i="34" s="1"/>
  <c r="AA78" i="34"/>
  <c r="AA178" i="34"/>
  <c r="AA175" i="34"/>
  <c r="AA174" i="34" s="1"/>
  <c r="AA180" i="34" s="1"/>
  <c r="AA190" i="34" s="1"/>
  <c r="AA176" i="34"/>
  <c r="N154" i="34"/>
  <c r="M243" i="34"/>
  <c r="N156" i="34"/>
  <c r="AA191" i="34" l="1"/>
  <c r="AA213" i="34"/>
  <c r="AA216" i="34"/>
  <c r="AA217" i="34" s="1"/>
  <c r="AA230" i="34"/>
  <c r="AA79" i="34"/>
  <c r="AA129" i="34"/>
  <c r="AA148" i="34"/>
  <c r="AA255" i="34" s="1"/>
  <c r="AA259" i="34" s="1"/>
  <c r="AA261" i="34" s="1"/>
  <c r="AA262" i="34" s="1"/>
  <c r="N240" i="34"/>
  <c r="N242" i="34" s="1"/>
  <c r="N161" i="34"/>
  <c r="N163" i="34" s="1"/>
  <c r="N85" i="34" s="1"/>
  <c r="AA263" i="34" l="1"/>
  <c r="AA265" i="34"/>
  <c r="AA267" i="34" s="1"/>
  <c r="AA220" i="34"/>
  <c r="AA221" i="34" s="1"/>
  <c r="AA222" i="34" s="1"/>
  <c r="AA224" i="34" s="1"/>
  <c r="R198" i="34"/>
  <c r="R203" i="34" s="1"/>
  <c r="AA198" i="34"/>
  <c r="AA203" i="34" s="1"/>
  <c r="AA206" i="34" s="1"/>
  <c r="AA209" i="34" s="1"/>
  <c r="O156" i="34"/>
  <c r="O154" i="34"/>
  <c r="N243" i="34"/>
  <c r="O240" i="34" l="1"/>
  <c r="O242" i="34" s="1"/>
  <c r="O161" i="34"/>
  <c r="O163" i="34" s="1"/>
  <c r="O85" i="34" s="1"/>
  <c r="P154" i="34" l="1"/>
  <c r="P156" i="34"/>
  <c r="O243" i="34"/>
  <c r="P240" i="34" l="1"/>
  <c r="P242" i="34" s="1"/>
  <c r="P161" i="34"/>
  <c r="P163" i="34" s="1"/>
  <c r="P85" i="34" s="1"/>
  <c r="P243" i="34" l="1"/>
  <c r="Q154" i="34"/>
  <c r="Q156" i="34"/>
  <c r="Q240" i="34" l="1"/>
  <c r="Q242" i="34" s="1"/>
  <c r="Q161" i="34"/>
  <c r="Q163" i="34" s="1"/>
  <c r="Q85" i="34" s="1"/>
  <c r="R154" i="34" l="1"/>
  <c r="R156" i="34"/>
  <c r="Q245" i="34"/>
  <c r="Q246" i="34" s="1"/>
  <c r="Q243" i="34"/>
  <c r="R240" i="34" l="1"/>
  <c r="R242" i="34" s="1"/>
  <c r="R161" i="34"/>
  <c r="R163" i="34" s="1"/>
  <c r="R85" i="34" s="1"/>
  <c r="Q247" i="34"/>
  <c r="Q249" i="34" s="1"/>
  <c r="Q251" i="34" s="1"/>
  <c r="S156" i="34" l="1"/>
  <c r="S154" i="34"/>
  <c r="R245" i="34"/>
  <c r="R246" i="34" s="1"/>
  <c r="R243" i="34"/>
  <c r="R247" i="34" l="1"/>
  <c r="R249" i="34" s="1"/>
  <c r="R251" i="34" s="1"/>
  <c r="S240" i="34"/>
  <c r="S242" i="34" s="1"/>
  <c r="S161" i="34"/>
  <c r="S163" i="34" s="1"/>
  <c r="S85" i="34" s="1"/>
  <c r="T154" i="34" l="1"/>
  <c r="T156" i="34"/>
  <c r="S245" i="34"/>
  <c r="S246" i="34" s="1"/>
  <c r="S243" i="34"/>
  <c r="S247" i="34" l="1"/>
  <c r="S249" i="34" s="1"/>
  <c r="S251" i="34" s="1"/>
  <c r="T240" i="34"/>
  <c r="T242" i="34" s="1"/>
  <c r="T161" i="34"/>
  <c r="T163" i="34" s="1"/>
  <c r="T85" i="34" s="1"/>
  <c r="U156" i="34" l="1"/>
  <c r="U154" i="34"/>
  <c r="T245" i="34"/>
  <c r="T246" i="34" s="1"/>
  <c r="T243" i="34"/>
  <c r="T247" i="34" l="1"/>
  <c r="T249" i="34" s="1"/>
  <c r="T251" i="34" s="1"/>
  <c r="U240" i="34"/>
  <c r="U242" i="34" s="1"/>
  <c r="U161" i="34"/>
  <c r="U163" i="34" s="1"/>
  <c r="U85" i="34" s="1"/>
  <c r="U245" i="34" l="1"/>
  <c r="U246" i="34" s="1"/>
  <c r="V154" i="34"/>
  <c r="V156" i="34"/>
  <c r="U243" i="34"/>
  <c r="V240" i="34" l="1"/>
  <c r="V242" i="34" s="1"/>
  <c r="V161" i="34"/>
  <c r="V163" i="34" s="1"/>
  <c r="V85" i="34" s="1"/>
  <c r="U247" i="34"/>
  <c r="U249" i="34" s="1"/>
  <c r="U251" i="34" s="1"/>
  <c r="V243" i="34" l="1"/>
  <c r="W156" i="34"/>
  <c r="V245" i="34"/>
  <c r="V246" i="34" s="1"/>
  <c r="W154" i="34"/>
  <c r="V247" i="34" l="1"/>
  <c r="V249" i="34" s="1"/>
  <c r="V251" i="34" s="1"/>
  <c r="W240" i="34"/>
  <c r="W242" i="34" s="1"/>
  <c r="W161" i="34"/>
  <c r="W163" i="34" s="1"/>
  <c r="W85" i="34" s="1"/>
  <c r="W243" i="34" l="1"/>
  <c r="W245" i="34"/>
  <c r="W246" i="34" s="1"/>
  <c r="X154" i="34"/>
  <c r="X156" i="34"/>
  <c r="W247" i="34" l="1"/>
  <c r="W249" i="34" s="1"/>
  <c r="W251" i="34" s="1"/>
  <c r="X240" i="34"/>
  <c r="X242" i="34" s="1"/>
  <c r="X161" i="34"/>
  <c r="X163" i="34" s="1"/>
  <c r="X85" i="34" s="1"/>
  <c r="X243" i="34" l="1"/>
  <c r="X245" i="34"/>
  <c r="X246" i="34" s="1"/>
  <c r="Y154" i="34"/>
  <c r="Y156" i="34"/>
  <c r="X247" i="34" l="1"/>
  <c r="X249" i="34" s="1"/>
  <c r="X251" i="34" s="1"/>
  <c r="Y240" i="34"/>
  <c r="Y242" i="34" s="1"/>
  <c r="Y161" i="34"/>
  <c r="Y163" i="34" s="1"/>
  <c r="Y85" i="34" s="1"/>
  <c r="Y243" i="34" l="1"/>
  <c r="Y245" i="34"/>
  <c r="Y246" i="34" s="1"/>
  <c r="Z154" i="34"/>
  <c r="Z156" i="34"/>
  <c r="Y247" i="34" l="1"/>
  <c r="Y249" i="34" s="1"/>
  <c r="Y251" i="34" s="1"/>
  <c r="Z240" i="34"/>
  <c r="Z242" i="34" s="1"/>
  <c r="Z161" i="34"/>
  <c r="Z163" i="34" s="1"/>
  <c r="Z85" i="34" s="1"/>
  <c r="Z245" i="34" l="1"/>
  <c r="Z246" i="34" s="1"/>
  <c r="AA154" i="34"/>
  <c r="Z243" i="34"/>
  <c r="AA156" i="34"/>
  <c r="AA240" i="34" l="1"/>
  <c r="AA242" i="34" s="1"/>
  <c r="AA161" i="34"/>
  <c r="AA163" i="34" s="1"/>
  <c r="AA85" i="34" s="1"/>
  <c r="Z247" i="34"/>
  <c r="Z249" i="34" s="1"/>
  <c r="Z251" i="34" s="1"/>
  <c r="AA243" i="34" l="1"/>
  <c r="AA245" i="34"/>
  <c r="AA246" i="34" s="1"/>
  <c r="AA247" i="34" l="1"/>
  <c r="AA249" i="34" s="1"/>
  <c r="AA251"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Daniel Vieira Freitas</author>
  </authors>
  <commentList>
    <comment ref="U50" authorId="0" shapeId="0" xr:uid="{1FC4D277-FCE6-4370-B9ED-349198F05B1B}">
      <text>
        <r>
          <rPr>
            <sz val="11"/>
            <color theme="1"/>
            <rFont val="Arial"/>
            <family val="2"/>
          </rP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Pilar Barrocal Fortunato</author>
  </authors>
  <commentList>
    <comment ref="G86" authorId="0" shapeId="0" xr:uid="{23826A90-C0E0-409B-AC35-E90C010A9ACA}">
      <text>
        <r>
          <rPr>
            <b/>
            <sz val="9"/>
            <color indexed="81"/>
            <rFont val="Tahoma"/>
            <family val="2"/>
          </rPr>
          <t>Maria Pilar Barrocal Fortunato:</t>
        </r>
        <r>
          <rPr>
            <sz val="9"/>
            <color indexed="81"/>
            <rFont val="Tahoma"/>
            <family val="2"/>
          </rPr>
          <t xml:space="preserve">
check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 Pinto</author>
    <author>Raul Vasconcelos</author>
    <author>Raul Vasconcelos da Silva</author>
    <author>tc={526A715E-98A3-411C-BDDD-D83546AD9F7F}</author>
    <author>tc={BDA92F94-2FF9-48E6-893C-31A55F0B7145}</author>
    <author>tc={74FF82E0-74E5-4FFF-8F36-FF50A0EB5579}</author>
    <author>tc={DEE5B5C8-B542-4461-9A39-5F02BA565E65}</author>
    <author>tc={A4A00B40-0276-4C2F-BE9C-EA1160D973E9}</author>
    <author>tc={9E4F2AA9-3D37-453C-B8E8-18896EEC5F74}</author>
  </authors>
  <commentList>
    <comment ref="H31" authorId="0" shapeId="0" xr:uid="{2E03675C-D479-483F-8DC8-0C95FB050836}">
      <text>
        <r>
          <rPr>
            <b/>
            <sz val="9"/>
            <color indexed="81"/>
            <rFont val="Tahoma"/>
            <family val="2"/>
          </rPr>
          <t>Leonardo Pinto:</t>
        </r>
        <r>
          <rPr>
            <sz val="9"/>
            <color indexed="81"/>
            <rFont val="Tahoma"/>
            <family val="2"/>
          </rPr>
          <t xml:space="preserve">
Already in the Q4 2024
</t>
        </r>
      </text>
    </comment>
    <comment ref="B36" authorId="1" shapeId="0" xr:uid="{3E9BF95E-A0EE-41AD-AE5A-CFFA223F3B12}">
      <text>
        <r>
          <rPr>
            <b/>
            <sz val="9"/>
            <color indexed="81"/>
            <rFont val="Tahoma"/>
            <family val="2"/>
          </rPr>
          <t>Raul Vasconcelos:</t>
        </r>
        <r>
          <rPr>
            <sz val="9"/>
            <color indexed="81"/>
            <rFont val="Tahoma"/>
            <family val="2"/>
          </rPr>
          <t xml:space="preserve">
Forecast based on historical percentages or growth assumptions</t>
        </r>
      </text>
    </comment>
    <comment ref="B39" authorId="1" shapeId="0" xr:uid="{8D1CE21E-D563-4881-A705-DD5FEA120317}">
      <text>
        <r>
          <rPr>
            <b/>
            <sz val="9"/>
            <color indexed="81"/>
            <rFont val="Tahoma"/>
            <family val="2"/>
          </rPr>
          <t>Raul Vasconcelos:</t>
        </r>
        <r>
          <rPr>
            <sz val="9"/>
            <color indexed="81"/>
            <rFont val="Tahoma"/>
            <family val="2"/>
          </rPr>
          <t xml:space="preserve">
Forecast based on company policy, industry trends, or as a percentage of sales</t>
        </r>
      </text>
    </comment>
    <comment ref="B69" authorId="2" shapeId="0" xr:uid="{615328D4-F08D-468E-ADFF-A613CBDF67A4}">
      <text>
        <r>
          <rPr>
            <sz val="11"/>
            <color theme="1"/>
            <rFont val="Arial"/>
            <family val="2"/>
          </rPr>
          <t>Forecast as % of revenue for maximum simplicity. It is encouraged to build a more complex model using bond yields, exchange rates and exposure to each region (not always necessary)</t>
        </r>
      </text>
    </comment>
    <comment ref="B103" authorId="2" shapeId="0" xr:uid="{C3DB3796-2C20-4F2C-9231-8432D62C80CD}">
      <text>
        <r>
          <rPr>
            <sz val="11"/>
            <color theme="1"/>
            <rFont val="Arial"/>
            <family val="2"/>
          </rPr>
          <t>Growth with R&amp;D or with part of the capex, should find what is the most reliable method for the company</t>
        </r>
      </text>
    </comment>
    <comment ref="B120" authorId="3" shapeId="0" xr:uid="{526A715E-98A3-411C-BDDD-D83546AD9F7F}">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2" authorId="2" shapeId="0" xr:uid="{7AD58729-83E0-4457-A472-56FDB5C5A1CE}">
      <text>
        <r>
          <rPr>
            <sz val="11"/>
            <color theme="1"/>
            <rFont val="Arial"/>
            <family val="2"/>
          </rPr>
          <t xml:space="preserve">Usually part of SG&amp;A expenses, but sometimes can be part of R&amp;D expenses, i.e. tech/engineering companies </t>
        </r>
      </text>
    </comment>
    <comment ref="B133" authorId="4" shapeId="0" xr:uid="{BDA92F94-2FF9-48E6-893C-31A55F0B7145}">
      <text>
        <t xml:space="preserve">[Threaded comment]
Your version of Excel allows you to read this threaded comment; however, any edits to it will get removed if the file is opened in a newer version of Excel. Learn more: https://go.microsoft.com/fwlink/?linkid=870924
Comment:
    Forecasted based on net number of stores opening </t>
      </text>
    </comment>
    <comment ref="B139" authorId="2" shapeId="0" xr:uid="{3CB12DA2-8C1A-4C5D-9C9B-6AB18C154C78}">
      <text>
        <r>
          <rPr>
            <sz val="11"/>
            <color theme="1"/>
            <rFont val="Arial"/>
            <family val="2"/>
          </rPr>
          <t>Forecast separately based on what you find to be the best factor</t>
        </r>
      </text>
    </comment>
    <comment ref="B151" authorId="5" shapeId="0" xr:uid="{74FF82E0-74E5-4FFF-8F36-FF50A0EB5579}">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4" authorId="6" shapeId="0" xr:uid="{DEE5B5C8-B542-4461-9A39-5F02BA565E65}">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6" authorId="7" shapeId="0" xr:uid="{A4A00B40-0276-4C2F-BE9C-EA1160D973E9}">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3" authorId="8" shapeId="0" xr:uid="{9E4F2AA9-3D37-453C-B8E8-18896EEC5F74}">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0"/>
        </ext>
      </extLst>
    </bk>
    <bk>
      <extLst>
        <ext uri="{3e2802c4-a4d2-4d8b-9148-e3be6c30e623}">
          <xlrd:rvb i="3"/>
        </ext>
      </extLst>
    </bk>
    <bk>
      <extLst>
        <ext uri="{3e2802c4-a4d2-4d8b-9148-e3be6c30e623}">
          <xlrd:rvb i="4"/>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<sst xmlns="http://schemas.openxmlformats.org/spreadsheetml/2006/main" count="1790" uniqueCount="823">
  <si>
    <t xml:space="preserve">             |   EQUITY RESEARCH </t>
  </si>
  <si>
    <t>Lisbon Investment Society Equity Research</t>
  </si>
  <si>
    <t>April 27th, 2025</t>
  </si>
  <si>
    <t>Strong Sell</t>
  </si>
  <si>
    <t>Rocket Lab USA, Inc.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t>
  </si>
  <si>
    <t>Investment Thesis</t>
  </si>
  <si>
    <t>The DCF implies a –130% downside to intrinsic value by 2034, well below current market levels, flagging deeply negative free-cash-flow projections and ongoing investment burn . Persistent sub-$100 M annual gross profit relative to over $400 M R&amp;D and SG&amp;A spend underscores structural unprofitability and likely dilution .With net operating losses persisting (–61% EBIT margin in 2029E) and no path to sustainable cash generation, a Strong Sell stance is warranted .</t>
  </si>
  <si>
    <t>Operating Metrics</t>
  </si>
  <si>
    <t>Valuation Multiples</t>
  </si>
  <si>
    <t>Jorge Daniel Vieira Freitas</t>
  </si>
  <si>
    <t>EV / Sales</t>
  </si>
  <si>
    <t>vieirafreitasjorgedaniel@gmail.com</t>
  </si>
  <si>
    <t>Price / Sales</t>
  </si>
  <si>
    <t>(+351) 935 907 954</t>
  </si>
  <si>
    <t>EV / EBITDA</t>
  </si>
  <si>
    <t>Maria Pilar Fortunato</t>
  </si>
  <si>
    <t>EV / EBIT</t>
  </si>
  <si>
    <t>pilarbarrocalfortunato@gmail.com</t>
  </si>
  <si>
    <t>Price / Earnings</t>
  </si>
  <si>
    <t>(+351) 914 350 356</t>
  </si>
  <si>
    <t>Price / Book</t>
  </si>
  <si>
    <t>Thor Cordeiro Alves Pinto</t>
  </si>
  <si>
    <t>thoropinto@gmail.com</t>
  </si>
  <si>
    <t>Year</t>
  </si>
  <si>
    <t>Net Sales</t>
  </si>
  <si>
    <t>EBIT Margin</t>
  </si>
  <si>
    <t>FCFF</t>
  </si>
  <si>
    <t>Net Capex</t>
  </si>
  <si>
    <t>Profitability Ratios</t>
  </si>
  <si>
    <t>(+351) 924 698 417</t>
  </si>
  <si>
    <t>Return on Assets</t>
  </si>
  <si>
    <t>Maria Rita Baltazar Moura</t>
  </si>
  <si>
    <t>Return on Equity</t>
  </si>
  <si>
    <t>mariaritabaltazarmoura@gmail.com</t>
  </si>
  <si>
    <t>Return on Total Capital</t>
  </si>
  <si>
    <t>(+351) 925 922 810</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</si>
  <si>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</si>
  <si>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</si>
  <si>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</si>
  <si>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</si>
  <si>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</si>
  <si>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</si>
  <si>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</si>
  <si>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</si>
  <si>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</si>
  <si>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</si>
  <si>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</si>
  <si>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</si>
  <si>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</si>
  <si>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</si>
  <si>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</si>
  <si>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 xml:space="preserve">Global leader in dedicated small satellite launches, with a proven track record in a rapidly expanding market.
Strong technological innovation and vertical integration, enabling cost reductions, faster production, and efficient mission delivery.
Strategic global launch sites and key partnerships that strengthen international market reach and customer access.
</t>
  </si>
  <si>
    <t xml:space="preserve">Reliance on Future Success of the Neutron Rocket.
High capital expenditures required for developing cutting-edge technologies and expanding capabilities.
Extreme operational complexity and inherent technical risks that could lead to launch delays or failures.
</t>
  </si>
  <si>
    <t>Quick Ratio</t>
  </si>
  <si>
    <t>Major Holders</t>
  </si>
  <si>
    <t>Current Ratio</t>
  </si>
  <si>
    <t>Vanguard Group Inc</t>
  </si>
  <si>
    <t>7.98%</t>
  </si>
  <si>
    <t>VK Services, LLC</t>
  </si>
  <si>
    <t>7.24%</t>
  </si>
  <si>
    <t>Opportunities</t>
  </si>
  <si>
    <t>Threats</t>
  </si>
  <si>
    <t>Cash Flow Ratios</t>
  </si>
  <si>
    <t>Blackrock Inc.</t>
  </si>
  <si>
    <t>6.95%</t>
  </si>
  <si>
    <t xml:space="preserve">Growing global demand for small satellites, fuelled by advancements in communication and Earth observation technologies.
Potential expansion into larger payloads through the development of new vehicles like the Neutron rocket.
Increasing opportunities to secure government and commercial contracts in a rapidly evolving space market.
</t>
  </si>
  <si>
    <t xml:space="preserve">Intense competition from larger, well-established companies such as SpaceX and Blue Origin.
Uncertainty in regulatory environments and geopolitical tensions that could impact international launches.
Risks of technical issues, supply chain disruptions, and potential launch failures that may damage the company’s reputation.
</t>
  </si>
  <si>
    <t>Cash Conversion Cycle</t>
  </si>
  <si>
    <t>State Street Corporation</t>
  </si>
  <si>
    <t>3.06%</t>
  </si>
  <si>
    <t>Net Income / Op Cash Flow</t>
  </si>
  <si>
    <t>Shaw D.E. &amp; Co., Inc.</t>
  </si>
  <si>
    <t>1.85%</t>
  </si>
  <si>
    <t>Chg in Cash / Op Cash Flow</t>
  </si>
  <si>
    <t>Geode Capital Management, LLC</t>
  </si>
  <si>
    <t>1.83%</t>
  </si>
  <si>
    <t>Deer Management Co. LLC</t>
  </si>
  <si>
    <t>1.80%</t>
  </si>
  <si>
    <t>Revenue by Region</t>
  </si>
  <si>
    <t>Revenue by Segment</t>
  </si>
  <si>
    <t>Leverage Ratios</t>
  </si>
  <si>
    <t>UBS Group AG</t>
  </si>
  <si>
    <t>1.04%</t>
  </si>
  <si>
    <t>Total Debt / Equity</t>
  </si>
  <si>
    <t>Morgan Stanley</t>
  </si>
  <si>
    <t>0.95%</t>
  </si>
  <si>
    <t>Total Debt / Capital</t>
  </si>
  <si>
    <t>Bank of America Corporation</t>
  </si>
  <si>
    <t>0.84%</t>
  </si>
  <si>
    <t>Total Liabilities / Total Assets</t>
  </si>
  <si>
    <t>Total Debt / EBITDA</t>
  </si>
  <si>
    <t>Board of Directors</t>
  </si>
  <si>
    <t>Total Debt / (EBITDA - Capex)</t>
  </si>
  <si>
    <r>
      <rPr>
        <sz val="11"/>
        <color rgb="FF000000"/>
        <rFont val="Arial"/>
        <family val="2"/>
      </rPr>
      <t xml:space="preserve">
</t>
    </r>
    <r>
      <rPr>
        <b/>
        <sz val="11"/>
        <color rgb="FF000000"/>
        <rFont val="Arial"/>
        <family val="2"/>
      </rPr>
      <t xml:space="preserve">Peter Beck </t>
    </r>
    <r>
      <rPr>
        <sz val="11"/>
        <color rgb="FF000000"/>
        <rFont val="Arial"/>
        <family val="2"/>
      </rPr>
      <t xml:space="preserve">(Founder, President and CEO, Chairman) [Non-Indep.], </t>
    </r>
    <r>
      <rPr>
        <b/>
        <sz val="11"/>
        <color rgb="FF000000"/>
        <rFont val="Arial"/>
        <family val="2"/>
      </rPr>
      <t>Merline Saintil</t>
    </r>
    <r>
      <rPr>
        <sz val="11"/>
        <color rgb="FF000000"/>
        <rFont val="Arial"/>
        <family val="2"/>
      </rPr>
      <t xml:space="preserve"> (Lead Independent Director) [Indep.], </t>
    </r>
    <r>
      <rPr>
        <b/>
        <sz val="11"/>
        <color rgb="FF000000"/>
        <rFont val="Arial"/>
        <family val="2"/>
      </rPr>
      <t>Nina Armagno</t>
    </r>
    <r>
      <rPr>
        <sz val="11"/>
        <color rgb="FF000000"/>
        <rFont val="Arial"/>
        <family val="2"/>
      </rPr>
      <t xml:space="preserve"> (Director, Retired Lieutenant General, U.S. Space Force) [Indep.], </t>
    </r>
    <r>
      <rPr>
        <b/>
        <sz val="11"/>
        <color rgb="FF000000"/>
        <rFont val="Arial"/>
        <family val="2"/>
      </rPr>
      <t xml:space="preserve">Edward Frank </t>
    </r>
    <r>
      <rPr>
        <sz val="11"/>
        <color rgb="FF000000"/>
        <rFont val="Arial"/>
        <family val="2"/>
      </rPr>
      <t xml:space="preserve">(Director, Technology Executive) [Indep.], </t>
    </r>
    <r>
      <rPr>
        <b/>
        <sz val="11"/>
        <color rgb="FF000000"/>
        <rFont val="Arial"/>
        <family val="2"/>
      </rPr>
      <t>Matt Ocko</t>
    </r>
    <r>
      <rPr>
        <sz val="11"/>
        <color rgb="FF000000"/>
        <rFont val="Arial"/>
        <family val="2"/>
      </rPr>
      <t xml:space="preserve"> (Director, Representative of DCVC) [Non-Indep.],
</t>
    </r>
    <r>
      <rPr>
        <b/>
        <sz val="11"/>
        <color rgb="FF000000"/>
        <rFont val="Arial"/>
        <family val="2"/>
      </rPr>
      <t>Jon A. Olson</t>
    </r>
    <r>
      <rPr>
        <sz val="11"/>
        <color rgb="FF000000"/>
        <rFont val="Arial"/>
        <family val="2"/>
      </rPr>
      <t xml:space="preserve"> (Director) [Indep.], </t>
    </r>
    <r>
      <rPr>
        <b/>
        <sz val="11"/>
        <color rgb="FF000000"/>
        <rFont val="Arial"/>
        <family val="2"/>
      </rPr>
      <t>Kenneth R. Possenriede</t>
    </r>
    <r>
      <rPr>
        <sz val="11"/>
        <color rgb="FF000000"/>
        <rFont val="Arial"/>
        <family val="2"/>
      </rPr>
      <t xml:space="preserve"> (Director, Former CFO of Lockheed Martin) [Indep.], </t>
    </r>
    <r>
      <rPr>
        <b/>
        <sz val="11"/>
        <color rgb="FF000000"/>
        <rFont val="Arial"/>
        <family val="2"/>
      </rPr>
      <t>Alex Slusky</t>
    </r>
    <r>
      <rPr>
        <sz val="11"/>
        <color rgb="FF000000"/>
        <rFont val="Arial"/>
        <family val="2"/>
      </rPr>
      <t xml:space="preserve"> (Director, Representative of Vector Capital) [Non-Indep.].
</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</si>
  <si>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</si>
  <si>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</si>
  <si>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</si>
  <si>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</si>
  <si>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</si>
  <si>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</si>
  <si>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</si>
  <si>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</si>
  <si>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</si>
  <si>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</si>
  <si>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</si>
  <si>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</si>
  <si>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</si>
  <si>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</si>
  <si>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</si>
  <si>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</si>
  <si>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</si>
  <si>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</si>
  <si>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</si>
  <si>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</si>
  <si>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</si>
  <si>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Extra Notes</t>
  </si>
  <si>
    <t>In Millions of USD</t>
  </si>
  <si>
    <t>2021 A (Rep)</t>
  </si>
  <si>
    <t>2022 A (Rep)</t>
  </si>
  <si>
    <t>2023 A (Rep)</t>
  </si>
  <si>
    <t>2024 A (Rep)</t>
  </si>
  <si>
    <t>2025 A (Fwd)</t>
  </si>
  <si>
    <t>2026 A (Fwd)</t>
  </si>
  <si>
    <t>12 Months Ending</t>
  </si>
  <si>
    <t>Field Expression</t>
  </si>
  <si>
    <t>Calcrt Field</t>
  </si>
  <si>
    <t>Segment Id</t>
  </si>
  <si>
    <t xml:space="preserve">  Revenue</t>
  </si>
  <si>
    <t>SALES_REV_TURN</t>
  </si>
  <si>
    <t>IS010</t>
  </si>
  <si>
    <t/>
  </si>
  <si>
    <t xml:space="preserve">    United States</t>
  </si>
  <si>
    <t>SEG0001085575 Segment</t>
  </si>
  <si>
    <t>United States</t>
  </si>
  <si>
    <t xml:space="preserve">      % of Total</t>
  </si>
  <si>
    <t>Japan</t>
  </si>
  <si>
    <t xml:space="preserve">    Japan</t>
  </si>
  <si>
    <t>SEG0001085569 Segment</t>
  </si>
  <si>
    <t>Germany</t>
  </si>
  <si>
    <t xml:space="preserve">Canada </t>
  </si>
  <si>
    <t xml:space="preserve">    Germany</t>
  </si>
  <si>
    <t>SEG0001085573 Segment</t>
  </si>
  <si>
    <t>Rest Of World</t>
  </si>
  <si>
    <t xml:space="preserve">    Rest Of World</t>
  </si>
  <si>
    <t>SEG0001085570 Segment</t>
  </si>
  <si>
    <t xml:space="preserve">    Canada</t>
  </si>
  <si>
    <t>SEG0001085571 Segment</t>
  </si>
  <si>
    <t xml:space="preserve">  </t>
  </si>
  <si>
    <t xml:space="preserve">  Percentage of Revenue</t>
  </si>
  <si>
    <t>IS_PERCENTAGE_OF_REVENUE</t>
  </si>
  <si>
    <t>IC214</t>
  </si>
  <si>
    <t xml:space="preserve">  Total Non-Current Assets</t>
  </si>
  <si>
    <t>BS_TOTAL_NON_CURRENT_ASSETS</t>
  </si>
  <si>
    <t>BM321</t>
  </si>
  <si>
    <t xml:space="preserve">    New Zealand</t>
  </si>
  <si>
    <t>SEG0001085568 Segment</t>
  </si>
  <si>
    <t>Source: Bloomberg</t>
  </si>
  <si>
    <t>Segments</t>
  </si>
  <si>
    <t>Regions</t>
  </si>
  <si>
    <t>Weight</t>
  </si>
  <si>
    <t>Total</t>
  </si>
  <si>
    <t>Launch Service</t>
  </si>
  <si>
    <t>Space System</t>
  </si>
  <si>
    <t>Categories</t>
  </si>
  <si>
    <t>Description</t>
  </si>
  <si>
    <t>Graphs</t>
  </si>
  <si>
    <t>Rocket Lab provides small satellite launch solutions using its Electron rocket for payloads up to 300 kg, with a focus on flexibility and reusability, and is developing the Neutron rocket for larger payloads.</t>
  </si>
  <si>
    <t>Rocket Lab offers integrated satellite solutions through its Photon platform, providing end-to-end services from satellite design and build to launch and operations, catering to both commercial and government clients.</t>
  </si>
  <si>
    <t>Products</t>
  </si>
  <si>
    <t>Product 3</t>
  </si>
  <si>
    <t>Product 4</t>
  </si>
  <si>
    <t>Product 5</t>
  </si>
  <si>
    <t>Company's Strategy / Extra Notes</t>
  </si>
  <si>
    <t>Industry Overview</t>
  </si>
  <si>
    <t>Sales Growth Forecast</t>
  </si>
  <si>
    <t>Sources</t>
  </si>
  <si>
    <t>Weighted Average</t>
  </si>
  <si>
    <t>Key Drivers</t>
  </si>
  <si>
    <t>Industry Trends</t>
  </si>
  <si>
    <t>Market Share</t>
  </si>
  <si>
    <t>Headquarters</t>
  </si>
  <si>
    <t>Revenues</t>
  </si>
  <si>
    <t>(in MM of USD)</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</si>
  <si>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</si>
  <si>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</si>
  <si>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</si>
  <si>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</si>
  <si>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</si>
  <si>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</si>
  <si>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</si>
  <si>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</si>
  <si>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</si>
  <si>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</si>
  <si>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</si>
  <si>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</si>
  <si>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</si>
  <si>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</si>
  <si>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</si>
  <si>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</si>
  <si>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</si>
  <si>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</si>
  <si>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</si>
  <si>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</si>
  <si>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</si>
  <si>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</si>
  <si>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</si>
  <si>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</si>
  <si>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</si>
  <si>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</si>
  <si>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</si>
  <si>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</si>
  <si>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</si>
  <si>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</si>
  <si>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</si>
  <si>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</si>
  <si>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</si>
  <si>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</si>
  <si>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</si>
  <si>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</si>
  <si>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</si>
  <si>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</si>
  <si>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</si>
  <si>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</si>
  <si>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</si>
  <si>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</si>
  <si>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</si>
  <si>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</si>
  <si>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</si>
  <si>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</si>
  <si>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</si>
  <si>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</si>
  <si>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</si>
  <si>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</si>
  <si>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</si>
  <si>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</si>
  <si>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</si>
  <si>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</si>
  <si>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</si>
  <si>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</si>
  <si>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</si>
  <si>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</si>
  <si>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</si>
  <si>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</si>
  <si>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</si>
  <si>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</si>
  <si>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</si>
  <si>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</si>
  <si>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</si>
  <si>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</si>
  <si>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</si>
  <si>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</si>
  <si>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</si>
  <si>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</si>
  <si>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</si>
  <si>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</si>
  <si>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</si>
  <si>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</si>
  <si>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</si>
  <si>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</si>
  <si>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</si>
  <si>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</si>
  <si>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</si>
  <si>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</si>
  <si>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</si>
  <si>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</si>
  <si>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</si>
  <si>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</si>
  <si>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</si>
  <si>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</si>
  <si>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</si>
  <si>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</si>
  <si>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</si>
  <si>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</si>
  <si>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</si>
  <si>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</si>
  <si>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</si>
  <si>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</si>
  <si>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</si>
  <si>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</si>
  <si>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</si>
  <si>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</si>
  <si>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1</t>
  </si>
  <si>
    <t>PEER 2</t>
  </si>
  <si>
    <t>PEER 3</t>
  </si>
  <si>
    <t>PEER 4</t>
  </si>
  <si>
    <t>PEER 5</t>
  </si>
  <si>
    <t>PEER 6</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</si>
  <si>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</si>
  <si>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</si>
  <si>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</si>
  <si>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</si>
  <si>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</si>
  <si>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</si>
  <si>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</si>
  <si>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</si>
  <si>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</si>
  <si>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</si>
  <si>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</si>
  <si>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</si>
  <si>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</si>
  <si>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</si>
  <si>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</si>
  <si>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</si>
  <si>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</si>
  <si>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</si>
  <si>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</si>
  <si>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</si>
  <si>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</si>
  <si>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</si>
  <si>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</si>
  <si>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</si>
  <si>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</si>
  <si>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</si>
  <si>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</si>
  <si>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</si>
  <si>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</si>
  <si>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</si>
  <si>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</si>
  <si>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</si>
  <si>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</si>
  <si>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</si>
  <si>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</si>
  <si>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Environmental, Social and Governance Analysis</t>
  </si>
  <si>
    <t>Author:</t>
  </si>
  <si>
    <t>Highlights</t>
  </si>
  <si>
    <t>Recent News</t>
  </si>
  <si>
    <t>Rocket Lab’s 2021 ESG report does not include any quantitative data on Scope 1 or Scope 2 greenhouse gas emissions. Furthermore, the report does not contain any stated commitment to monitor or disclose these emissions in future reports.</t>
  </si>
  <si>
    <t>Overview</t>
  </si>
  <si>
    <t>.</t>
  </si>
  <si>
    <t>Last Update</t>
  </si>
  <si>
    <t>The 2021 ESG report by Rocket Lab does not provide any data or discussion related to water consumption. There is no mention of water usage, monitoring, or reduction efforts.</t>
  </si>
  <si>
    <t>Latest year with data</t>
  </si>
  <si>
    <t>GICS Sector</t>
  </si>
  <si>
    <t>Industrials</t>
  </si>
  <si>
    <t>Rocket Lab’s 2021 ESG report does not include any quantitative data on energy consumption. While the company mentions environmental considerations in general, there are no metrics, breakdowns, or targets related to energy use.</t>
  </si>
  <si>
    <t>GICS Industry Group</t>
  </si>
  <si>
    <t>Aerospace &amp; Defense</t>
  </si>
  <si>
    <t>Final Review</t>
  </si>
  <si>
    <t>The 2021 ESG report mentions a general commitment to environmentally responsible operations and waste minimization, but does not include any quantitative data or specific strategies regarding waste management.</t>
  </si>
  <si>
    <t>ESG Scores</t>
  </si>
  <si>
    <t>GHG Scope 1 and 2 Emissions:</t>
  </si>
  <si>
    <t>Water, Waste, Energy Management:</t>
  </si>
  <si>
    <t>private</t>
  </si>
  <si>
    <t>D-</t>
  </si>
  <si>
    <t>N/A</t>
  </si>
  <si>
    <t>Industry ESG Overview:</t>
  </si>
  <si>
    <t>ENVIRONMENTAL</t>
  </si>
  <si>
    <t>Targets</t>
  </si>
  <si>
    <t>Improvements</t>
  </si>
  <si>
    <t>Comments</t>
  </si>
  <si>
    <t>GHG (or CO2) Scope 1 Emissions</t>
  </si>
  <si>
    <t>Water Consumption</t>
  </si>
  <si>
    <t>Energy Consumption</t>
  </si>
  <si>
    <t>Waste Management</t>
  </si>
  <si>
    <t>Other</t>
  </si>
  <si>
    <t>SOCIAL</t>
  </si>
  <si>
    <t>Important Sources:</t>
  </si>
  <si>
    <t>Annual Report</t>
  </si>
  <si>
    <t>Employee Turnover %</t>
  </si>
  <si>
    <t>​Rocket Lab has initiated measures to enhance employee retention and address workplace culture concerns:Employee Relations Initiatives:
Dedicated Management Role: The company has established positions such as the Employee Relations and Compliance Manager, responsible for developing and implementing employee recognition and engagement programs, aiming to improve workplace morale and retention. Policy Guidance and Support: Rocket Lab employs People &amp; Culture Business Partners who work closely with management and staff to provide policy guidance, enhance work relationships, and boost productivity and retention.</t>
  </si>
  <si>
    <t xml:space="preserve">Rocket Lab does not publicly disclose official employee turnover statistics in its ESG or financial reports. However, various employee reviews and third-party platforms provide insights into the company's workforce dynamics. Short Tenure Reports: Some employees have noted a high turnover rate, with average tenures ranging from 1 to 2 years. </t>
  </si>
  <si>
    <t>Sustainability Report</t>
  </si>
  <si>
    <t>Proxy Statement</t>
  </si>
  <si>
    <t>Salaries &amp; Compensation</t>
  </si>
  <si>
    <t>Rocket Lab's compensation practices have evolved positively, with noticeable increases in executive pay and competitive salaries for employees.</t>
  </si>
  <si>
    <t>While Rocket Lab's ESG disclosures, such as the 2021 ESG Impact Report, do not extensively cover compensation practices, the company demonstrates transparency in executive pay through its SEC filings. However, detailed information on company-wide compensation policies, pay equity initiatives, or benefits programs is limited. Rocket Lab's lower pay ratio reflects a more equitable compensation structure, aligning with its position as a growing company in the aerospace industry.​</t>
  </si>
  <si>
    <t>Reputation</t>
  </si>
  <si>
    <t>Rocket Lab is esteemed for its innovation and industry position, though it faces notable ESG risks that may impact its overall reputation.</t>
  </si>
  <si>
    <t>Discrimination Events</t>
  </si>
  <si>
    <t xml:space="preserve">Some of Rocket Lab's job postings, particularly for U.S.-based positions, specify that applicants must be U.S. citizens as defined by the International Traffic in Arms Regulations. This requirement could potentially exclude certain individuals, such as refugees or asylees, who are legally authorized to work in the U.S. </t>
  </si>
  <si>
    <t>Work Safety</t>
  </si>
  <si>
    <t xml:space="preserve">Rocket Lab has established formal health and safety policies, systems, and processes to ensure a safe working environment. </t>
  </si>
  <si>
    <t>Damage to consumer health</t>
  </si>
  <si>
    <t>Pension Plan</t>
  </si>
  <si>
    <t>Supply chain</t>
  </si>
  <si>
    <t>Rocket Lab briefly mentions its supply chain in the context of logistics and operations, but there are no publicly disclosed ESG policies, ethical sourcing standards, or supplier audits.</t>
  </si>
  <si>
    <t>Community involvement</t>
  </si>
  <si>
    <t>The company supports STEM initiatives, scholarships for women and gender minorities, and community engagement in education. These efforts are mentioned but not quantified or reported in detail.</t>
  </si>
  <si>
    <t>Public Sector</t>
  </si>
  <si>
    <t>Rocket Lab has clear partnerships with public agencies like NASA, DARPA, and the NRO. It collaborates with regulatory authorities for launch operations but does not elaborate on public policy or governance strategies.</t>
  </si>
  <si>
    <t>Litigation</t>
  </si>
  <si>
    <t>There are no major public lawsuits related to ESG, environmental violations, labor disputes, or discrimination. No litigation disclosures appear in recent SEC filings.</t>
  </si>
  <si>
    <t>GOVERNANCE</t>
  </si>
  <si>
    <t>Diversity (Gender, Age, Industry, Region)</t>
  </si>
  <si>
    <t xml:space="preserve">Rocket Lab’s board of directors reflects a low/moderate level of diversity, with both male and female directors, and professionals with experience across aerospace, technology, and finance sectors. However, there is room for improvement in terms of age diversity and regional representation. While the company operates in New Zealand and the United States, its board is predominantly composed of individuals with experience in the U.S. and Western regions. </t>
  </si>
  <si>
    <t>% Independence</t>
  </si>
  <si>
    <t>Rocket Lab's board of directors comprises 9 members, with 8 identified as independent directors, resulting in an independence ratio of approximately 89%.</t>
  </si>
  <si>
    <t>Average time as independent directors</t>
  </si>
  <si>
    <t>2.4 years</t>
  </si>
  <si>
    <t>Departures of C-level executives</t>
  </si>
  <si>
    <t>Rocket Lab has experienced notable executive changes in recent years: Dr. Sven Strohband: A founding board member since 2013, Dr. Strohband did not seek re-election at the 2024 Annual Meeting after serving for over a decade</t>
  </si>
  <si>
    <t>CEO/Chairman duality</t>
  </si>
  <si>
    <t>Peter Beck holds both roles as CEO and Chairman</t>
  </si>
  <si>
    <t>Transparency when reporting</t>
  </si>
  <si>
    <t xml:space="preserve">While Rocket Lab demonstrates strong transparency in governance and social practices, it falls short in providing clear, measurable environmental disclosures. </t>
  </si>
  <si>
    <t>Time taken to report</t>
  </si>
  <si>
    <t>Rocket Lab's financial reports are on time and regular (9 days to report, on average), but their ESG reporting has significant gaps, with the latest filling being from 2021.</t>
  </si>
  <si>
    <t>CEO or Chairman in other boards?</t>
  </si>
  <si>
    <t>Peter Beck, CEO and Chairman of Rocket Lab, does not serve on any other boards</t>
  </si>
  <si>
    <t>Audit / Consulting</t>
  </si>
  <si>
    <t>Audit related fees represent 0% of total, Deloitte &amp; Touche LLP has been serving as Rocket Lab's independent registered public accounting firm since August 30, 2021.</t>
  </si>
  <si>
    <t>ESG-compensation related</t>
  </si>
  <si>
    <t>Management compensation schemes</t>
  </si>
  <si>
    <t>Rocket Lab's management compensation includes elements linked to the company's stock performance ( through RSUs and stock-based compensation)</t>
  </si>
  <si>
    <t>ESG Inputs</t>
  </si>
  <si>
    <t>x</t>
  </si>
  <si>
    <t>Total GHG Scope 1 Emissions</t>
  </si>
  <si>
    <t xml:space="preserve"> </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</si>
  <si>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</si>
  <si>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</si>
  <si>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</si>
  <si>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</si>
  <si>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</si>
  <si>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</si>
  <si>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</si>
  <si>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</si>
  <si>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</si>
  <si>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</si>
  <si>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</si>
  <si>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</si>
  <si>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</si>
  <si>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</si>
  <si>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</si>
  <si>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</si>
  <si>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</si>
  <si>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EBIT</t>
  </si>
  <si>
    <t>WACC</t>
  </si>
  <si>
    <t>EBITDAR&amp;D</t>
  </si>
  <si>
    <t>EBITDAR&amp;D Exit Multiple</t>
  </si>
  <si>
    <t>Operating Assumptions</t>
  </si>
  <si>
    <t>Space Industry</t>
  </si>
  <si>
    <t xml:space="preserve">NASA Budget </t>
  </si>
  <si>
    <t>Government Revenue</t>
  </si>
  <si>
    <t>% of growth</t>
  </si>
  <si>
    <t>Commercial Revenue</t>
  </si>
  <si>
    <t>In millions of USD</t>
  </si>
  <si>
    <t>Revenue (Sales)</t>
  </si>
  <si>
    <t>% of revenue</t>
  </si>
  <si>
    <t>SG&amp;A (Selling, General &amp; Administrative)</t>
  </si>
  <si>
    <t>&lt;&lt;</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</si>
  <si>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</si>
  <si>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</si>
  <si>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</si>
  <si>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</si>
  <si>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</si>
  <si>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</si>
  <si>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</si>
  <si>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</si>
  <si>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</si>
  <si>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</si>
  <si>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</si>
  <si>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</si>
  <si>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</si>
  <si>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</si>
  <si>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</si>
  <si>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</si>
  <si>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</si>
  <si>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</si>
  <si>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</si>
  <si>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</si>
  <si>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</si>
  <si>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</si>
  <si>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</si>
  <si>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</si>
  <si>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</si>
  <si>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</si>
  <si>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</si>
  <si>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</si>
  <si>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</si>
  <si>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</si>
  <si>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</si>
  <si>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</si>
  <si>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</si>
  <si>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</si>
  <si>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</si>
  <si>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</si>
  <si>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</si>
  <si>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</si>
  <si>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</si>
  <si>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</si>
  <si>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</si>
  <si>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</si>
  <si>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</si>
  <si>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</si>
  <si>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</si>
  <si>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</si>
  <si>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</si>
  <si>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</si>
  <si>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</si>
  <si>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</si>
  <si>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</si>
  <si>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</si>
  <si>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</si>
  <si>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</si>
  <si>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</si>
  <si>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Present Value of FCFF</t>
  </si>
  <si>
    <t>Sensitivity to the Period</t>
  </si>
  <si>
    <t>Period</t>
  </si>
  <si>
    <t>Terminal Value</t>
  </si>
  <si>
    <t>Present Value of Terminal Value</t>
  </si>
  <si>
    <t xml:space="preserve">au </t>
  </si>
  <si>
    <t>esquece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</si>
  <si>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</si>
  <si>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</si>
  <si>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</si>
  <si>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</si>
  <si>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</si>
  <si>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</si>
  <si>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</si>
  <si>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</si>
  <si>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</si>
  <si>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</si>
  <si>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</si>
  <si>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</si>
  <si>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</si>
  <si>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</si>
  <si>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</si>
  <si>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</si>
  <si>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</si>
  <si>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</si>
  <si>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</si>
  <si>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</si>
  <si>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</si>
  <si>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</si>
  <si>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</si>
  <si>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</si>
  <si>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COGS</t>
  </si>
  <si>
    <t>In the Q4 2024 earnings presentation, it was stated that operating expenses for Q1 2025 are expected to be between $93 and $95 million, with projected revenue between $117 and $123 million. Based on that, I calculated an operating expense ratio of 79.48%. Additionally, since they mentioned that the Neutron rocket will include reusable components, I assumed COGS would converge toward 60%, as reusability could reduce production costs.</t>
  </si>
  <si>
    <t>SG&amp;A</t>
  </si>
  <si>
    <t>First, I looked at the number of employees for each year and divided it by the SG&amp;A to estimate how much each employee contributes to SG&amp;A expenses. Then, I created a forecast: a 2% decrease in the first three years, followed by a 1% drop, and finally a 0.5% decrease in the later years. I based this on the observation that the number of employees doesn’t increase proportionally with revenue growth.</t>
  </si>
  <si>
    <t>R&amp;D</t>
  </si>
  <si>
    <t>After significant increases in 2023 (+83%) and 2024 (+46%), R&amp;D is expected to peak in 2025 as Neutron nears launch. From 2026 onward, spending will gradually stabilize, with a consistent +5% growth from 2028, following the aerospace industry pattern post-launch phase</t>
  </si>
  <si>
    <t>Depreciation</t>
  </si>
  <si>
    <t>In the early stages, the company invested more than it depreciated, but that level of growth is unsustainable. As the company matures, reinvestment gradually decreases, converging toward 1.3x Depreciation &amp; Amortization.</t>
  </si>
  <si>
    <t>Sensitivity Analysis</t>
  </si>
  <si>
    <t>Stock Price (in USD)</t>
  </si>
  <si>
    <t>TGR</t>
  </si>
  <si>
    <t>Notes</t>
  </si>
  <si>
    <t>Inputs</t>
  </si>
  <si>
    <t>in millions of USD</t>
  </si>
  <si>
    <t>tax</t>
  </si>
  <si>
    <t>ebit</t>
  </si>
  <si>
    <t>interest</t>
  </si>
  <si>
    <t>ebt</t>
  </si>
  <si>
    <t>EPS diluted</t>
  </si>
  <si>
    <t>Basic Weighted Average Shares</t>
  </si>
  <si>
    <t>209,9</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</si>
  <si>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</si>
  <si>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</si>
  <si>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</si>
  <si>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</si>
  <si>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</si>
  <si>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</si>
  <si>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</si>
  <si>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</si>
  <si>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</si>
  <si>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</si>
  <si>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</si>
  <si>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</si>
  <si>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</si>
  <si>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</si>
  <si>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</si>
  <si>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</si>
  <si>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</si>
  <si>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</si>
  <si>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</si>
  <si>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Inventories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</si>
  <si>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</si>
  <si>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</si>
  <si>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</si>
  <si>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</si>
  <si>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</si>
  <si>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</si>
  <si>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</si>
  <si>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</si>
  <si>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</si>
  <si>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</si>
  <si>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</si>
  <si>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</si>
  <si>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</si>
  <si>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</si>
  <si>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</si>
  <si>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</si>
  <si>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</si>
  <si>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</si>
  <si>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</si>
  <si>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</si>
  <si>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</si>
  <si>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</si>
  <si>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</si>
  <si>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</si>
  <si>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</si>
  <si>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</si>
  <si>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</si>
  <si>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</si>
  <si>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</si>
  <si>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</si>
  <si>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</si>
  <si>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</si>
  <si>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10 years</t>
  </si>
  <si>
    <t>after 10 years</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</si>
  <si>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</si>
  <si>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</si>
  <si>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</si>
  <si>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</si>
  <si>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</si>
  <si>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</si>
  <si>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</si>
  <si>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</si>
  <si>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</si>
  <si>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</si>
  <si>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</si>
  <si>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</si>
  <si>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</si>
  <si>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</si>
  <si>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</si>
  <si>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</si>
  <si>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</si>
  <si>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</si>
  <si>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</si>
  <si>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</si>
  <si>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</si>
  <si>
    <t>In Millions of USD except Per Share</t>
  </si>
  <si>
    <t>FY 2021</t>
  </si>
  <si>
    <t>FY 2022</t>
  </si>
  <si>
    <t>FY 2023</t>
  </si>
  <si>
    <t>FY 2024</t>
  </si>
  <si>
    <t>Last 12M</t>
  </si>
  <si>
    <t>Cash from Operating Activities</t>
  </si>
  <si>
    <t xml:space="preserve">  + Net Income</t>
  </si>
  <si>
    <t xml:space="preserve">  + Depreciation &amp; Amortization</t>
  </si>
  <si>
    <t xml:space="preserve">  + Non-Cash Items</t>
  </si>
  <si>
    <t xml:space="preserve">    + Stock-Based Compensation</t>
  </si>
  <si>
    <t xml:space="preserve">    + Deferred Income Taxes</t>
  </si>
  <si>
    <t>—</t>
  </si>
  <si>
    <t xml:space="preserve">    + Other Non-Cash Adj</t>
  </si>
  <si>
    <t xml:space="preserve">  + Chg in Non-Cash Work Cap</t>
  </si>
  <si>
    <t xml:space="preserve">    + (Inc) Dec in Accts Receiv</t>
  </si>
  <si>
    <t xml:space="preserve">    + (Inc) Dec in Inventories</t>
  </si>
  <si>
    <t xml:space="preserve">    + Inc (Dec) in Accts Payable</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</si>
  <si>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</si>
  <si>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</si>
  <si>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</si>
  <si>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</si>
  <si>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</si>
  <si>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</si>
  <si>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</si>
  <si>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</si>
  <si>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</si>
  <si>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</si>
  <si>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</si>
  <si>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</si>
  <si>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</si>
  <si>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100,1</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</si>
  <si>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</si>
  <si>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</si>
  <si>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</si>
  <si>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</si>
  <si>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</si>
  <si>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</si>
  <si>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</si>
  <si>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</si>
  <si>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</si>
  <si>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</si>
  <si>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</si>
  <si>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</si>
  <si>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</si>
  <si>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</si>
  <si>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</si>
  <si>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</si>
  <si>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Cash Paid for Taxes</t>
  </si>
  <si>
    <t>Cash Paid for Interest</t>
  </si>
  <si>
    <t>Reference Items</t>
  </si>
  <si>
    <t>Trailing 12M EBITDA Margin</t>
  </si>
  <si>
    <t>Free Cash Flow</t>
  </si>
  <si>
    <t>Free Cash Flow to Equity</t>
  </si>
  <si>
    <t>Free Cash Flow per Basic Share</t>
  </si>
  <si>
    <t>Rocket Lab USA Inc (RKLB US) - BBG GAAP</t>
  </si>
  <si>
    <t>FY 2025 Est</t>
  </si>
  <si>
    <t>FY 2026 Est</t>
  </si>
  <si>
    <t xml:space="preserve">    + Sales &amp; Services Revenue</t>
  </si>
  <si>
    <t xml:space="preserve">  - Cost of Revenue</t>
  </si>
  <si>
    <t xml:space="preserve">    + Cost of Goods &amp; Services</t>
  </si>
  <si>
    <t xml:space="preserve">    + Depreciation &amp; Amortization</t>
  </si>
  <si>
    <t xml:space="preserve">  + Other Operating Income</t>
  </si>
  <si>
    <t>11,5</t>
  </si>
  <si>
    <t xml:space="preserve">  - Operating Expenses</t>
  </si>
  <si>
    <t xml:space="preserve">    + Selling, General &amp; Admin</t>
  </si>
  <si>
    <t xml:space="preserve">    + Research &amp; Development</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</si>
  <si>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</si>
  <si>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</si>
  <si>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</si>
  <si>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</si>
  <si>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</si>
  <si>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</si>
  <si>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Foreign Exch (Gain) Loss</t>
  </si>
  <si>
    <t xml:space="preserve">    + Other Non-Op (Income) Loss</t>
  </si>
  <si>
    <t>Pretax Income</t>
  </si>
  <si>
    <t xml:space="preserve">  - Income Tax Expense (Benefit)</t>
  </si>
  <si>
    <t xml:space="preserve">    + Current Income Tax</t>
  </si>
  <si>
    <t xml:space="preserve">    + Deferred Income Tax</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</si>
  <si>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</si>
  <si>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</si>
  <si>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</si>
  <si>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</si>
  <si>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</si>
  <si>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</si>
  <si>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</si>
  <si>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</si>
  <si>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</si>
  <si>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</si>
  <si>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</si>
  <si>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</si>
  <si>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</si>
  <si>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</si>
  <si>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</si>
  <si>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</si>
  <si>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</si>
  <si>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</si>
  <si>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</si>
  <si>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</si>
  <si>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</si>
  <si>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Accounting Standard</t>
  </si>
  <si>
    <t>US GAAP</t>
  </si>
  <si>
    <t>EBITDA Margin (T12M)</t>
  </si>
  <si>
    <t>EBITA</t>
  </si>
  <si>
    <t>Gross Margin</t>
  </si>
  <si>
    <t>Sales per Employee</t>
  </si>
  <si>
    <t>Dividends per Share</t>
  </si>
  <si>
    <t>Total Cash Common Dividends</t>
  </si>
  <si>
    <t>Rental Expense</t>
  </si>
  <si>
    <t>Right click to show data transparency (not supported for all values)</t>
  </si>
  <si>
    <t>FY 2020</t>
  </si>
  <si>
    <t>12/31/2020</t>
  </si>
  <si>
    <t>12/31/2021</t>
  </si>
  <si>
    <t>12/31/2022</t>
  </si>
  <si>
    <t>12/31/2023</t>
  </si>
  <si>
    <t>12/31/2024</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</si>
  <si>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</si>
  <si>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</si>
  <si>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</si>
  <si>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</si>
  <si>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</si>
  <si>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</si>
  <si>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Unbilled Revenues</t>
  </si>
  <si>
    <t xml:space="preserve">  + Inventories</t>
  </si>
  <si>
    <t xml:space="preserve">    + Raw Materials</t>
  </si>
  <si>
    <t xml:space="preserve">    + Work In Process</t>
  </si>
  <si>
    <t xml:space="preserve">    + Finished Goods</t>
  </si>
  <si>
    <t xml:space="preserve">    + Other Inventory</t>
  </si>
  <si>
    <t xml:space="preserve">  + Other ST Assets</t>
  </si>
  <si>
    <t xml:space="preserve">    + Prepaid Expenses</t>
  </si>
  <si>
    <t xml:space="preserve">    + Derivative &amp; Hedging Assets</t>
  </si>
  <si>
    <t xml:space="preserve">    + Assets Held-for-Sale</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</si>
  <si>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</si>
  <si>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</si>
  <si>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</si>
  <si>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</si>
  <si>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</si>
  <si>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</si>
  <si>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</si>
  <si>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Other LT Assets</t>
  </si>
  <si>
    <t xml:space="preserve">    + Total Intangible Assets</t>
  </si>
  <si>
    <t xml:space="preserve">    + Goodwill</t>
  </si>
  <si>
    <t xml:space="preserve">    + Other Intangible Assets</t>
  </si>
  <si>
    <t xml:space="preserve">    + Deferred Tax Assets</t>
  </si>
  <si>
    <t xml:space="preserve">    + Misc LT Assets</t>
  </si>
  <si>
    <t>Total Noncurrent Assets</t>
  </si>
  <si>
    <t>Liabilities &amp; Shareholders' Equity</t>
  </si>
  <si>
    <t xml:space="preserve">  + Payables &amp; Accruals</t>
  </si>
  <si>
    <t xml:space="preserve">    + Accounts Payable</t>
  </si>
  <si>
    <t xml:space="preserve">    + Other Payables &amp; Accruals</t>
  </si>
  <si>
    <t xml:space="preserve">  + ST Debt</t>
  </si>
  <si>
    <t xml:space="preserve">    + ST Borrowings</t>
  </si>
  <si>
    <t xml:space="preserve">    + ST Lease Liabilities</t>
  </si>
  <si>
    <t xml:space="preserve">      + ST Finance Leases</t>
  </si>
  <si>
    <t xml:space="preserve">      + ST Operating Leases</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</si>
  <si>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</si>
  <si>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</si>
  <si>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</si>
  <si>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</si>
  <si>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</si>
  <si>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</si>
  <si>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</si>
  <si>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</si>
  <si>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</si>
  <si>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LT Operating Leases</t>
  </si>
  <si>
    <t xml:space="preserve">  + Other LT Liabilities</t>
  </si>
  <si>
    <t xml:space="preserve">    + Accrued Liabilities</t>
  </si>
  <si>
    <t xml:space="preserve">    + Deferred Compensation</t>
  </si>
  <si>
    <t xml:space="preserve">    + Deferred Tax Liabilities</t>
  </si>
  <si>
    <t xml:space="preserve">    + Misc LT Liabilities</t>
  </si>
  <si>
    <t>Total Noncurrent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</si>
  <si>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</si>
  <si>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</si>
  <si>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</si>
  <si>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</si>
  <si>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</si>
  <si>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</si>
  <si>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</si>
  <si>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</si>
  <si>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</si>
  <si>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</si>
  <si>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</si>
  <si>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</si>
  <si>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Number of Treasury Shares</t>
  </si>
  <si>
    <t>Pension Obligations</t>
  </si>
  <si>
    <t>Future Minimum Operating Lease Obligations</t>
  </si>
  <si>
    <t>Capital Leases - Total</t>
  </si>
  <si>
    <t>Options Outstanding at Period End</t>
  </si>
  <si>
    <t>Net Debt to Equity</t>
  </si>
  <si>
    <t>Tangible Common Equity Ratio</t>
  </si>
  <si>
    <t>Number of Employees</t>
  </si>
  <si>
    <t xml:space="preserve">    Launch Service</t>
  </si>
  <si>
    <t>SEG0001085572 Segment</t>
  </si>
  <si>
    <t xml:space="preserve">    Space System</t>
  </si>
  <si>
    <t>SEG0001085574 Segment</t>
  </si>
  <si>
    <t xml:space="preserve">  Cost of Revenue</t>
  </si>
  <si>
    <t>IS_COGS_TO_FE_AND_PP_AND_G</t>
  </si>
  <si>
    <t>IS021</t>
  </si>
  <si>
    <t xml:space="preserve">  Gross Profit - Company Basis</t>
  </si>
  <si>
    <t>CB_IS_GROSS_PROFIT</t>
  </si>
  <si>
    <t>IC399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</si>
</sst>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00\ &quot;€&quot;_-;\-* #,##0.00\ &quot;€&quot;_-;_-* &quot;-&quot;??\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 numFmtId="181" formatCode="#,##0.0;\-#,##0.0"/>
    <numFmt numFmtId="182" formatCode="_([$$-409]* #,##0_);_([$$-409]* \(#,##0\);_([$$-409]* &quot;-&quot;_);_(@_)"/>
    <numFmt numFmtId="183" formatCode="_-[$$-409]* #,##0.00_ ;_-[$$-409]* \-#,##0.00\ ;_-[$$-409]* &quot;-&quot;??_ ;_-@_ "/>
  </numFmts>
  <fonts count="86">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sz val="10"/>
      <color indexed="63"/>
      <name val="Arial"/>
      <family val="2"/>
    </font>
    <font>
      <sz val="10"/>
      <color indexed="8"/>
      <name val="Arial"/>
      <family val="2"/>
    </font>
    <font>
      <i/>
      <sz val="10"/>
      <color indexed="8"/>
      <name val="Arial"/>
      <family val="2"/>
    </font>
    <font>
      <b/>
      <sz val="11"/>
      <color rgb="FFFFFFFF"/>
      <name val="Calibri"/>
      <family val="2"/>
    </font>
    <font>
      <b/>
      <sz val="16"/>
      <color rgb="FFFFFFFF"/>
      <name val="Arial"/>
      <family val="2"/>
    </font>
    <font>
      <sz val="10"/>
      <name val="Calibri"/>
      <family val="2"/>
    </font>
    <font>
      <b/>
      <sz val="10"/>
      <color rgb="FFFFFFFF"/>
      <name val="Arial"/>
      <family val="2"/>
    </font>
    <font>
      <b/>
      <sz val="10"/>
      <color rgb="FF000000"/>
      <name val="Arial"/>
      <family val="2"/>
    </font>
    <font>
      <sz val="10"/>
      <color rgb="FF333333"/>
      <name val="Arial"/>
      <family val="2"/>
    </font>
    <font>
      <sz val="10"/>
      <color rgb="FF000000"/>
      <name val="Arial"/>
      <family val="2"/>
    </font>
    <font>
      <i/>
      <sz val="10"/>
      <color rgb="FF333333"/>
      <name val="Arial"/>
      <family val="2"/>
    </font>
    <font>
      <i/>
      <sz val="10"/>
      <color rgb="FF000000"/>
      <name val="Arial"/>
      <family val="2"/>
    </font>
  </fonts>
  <fills count="24">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
      <patternFill patternType="solid">
        <fgColor rgb="FFF2F2F2"/>
        <bgColor indexed="64"/>
      </patternFill>
    </fill>
    <fill>
      <patternFill patternType="solid">
        <fgColor rgb="FF4F81BD"/>
        <bgColor rgb="FF000000"/>
      </patternFill>
    </fill>
    <fill>
      <patternFill patternType="solid">
        <fgColor rgb="FFFFFFFF"/>
        <bgColor rgb="FF000000"/>
      </patternFill>
    </fill>
    <fill>
      <patternFill patternType="solid">
        <fgColor rgb="FFD8D8D8"/>
        <bgColor rgb="FF000000"/>
      </patternFill>
    </fill>
    <fill>
      <patternFill patternType="solid">
        <fgColor rgb="FFF2F2F2"/>
        <bgColor rgb="FF000000"/>
      </patternFill>
    </fill>
    <fill>
      <patternFill patternType="solid">
        <fgColor theme="9" tint="0.39997558519241921"/>
        <bgColor indexed="64"/>
      </patternFill>
    </fill>
    <fill>
      <patternFill patternType="solid">
        <fgColor theme="9"/>
        <bgColor indexed="64"/>
      </patternFill>
    </fill>
    <fill>
      <patternFill patternType="solid">
        <fgColor theme="2" tint="-9.9978637043366805E-2"/>
        <bgColor indexed="64"/>
      </patternFill>
    </fill>
  </fills>
  <borders count="92">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dotted">
        <color rgb="FF000000"/>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rgb="FF000000"/>
      </bottom>
      <diagonal/>
    </border>
    <border>
      <left style="thin">
        <color rgb="FFC00000"/>
      </left>
      <right style="thin">
        <color rgb="FFC00000"/>
      </right>
      <top style="thin">
        <color rgb="FFC00000"/>
      </top>
      <bottom style="thin">
        <color rgb="FFC00000"/>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right/>
      <top style="dotted">
        <color rgb="FF000000"/>
      </top>
      <bottom style="hair">
        <color indexed="64"/>
      </bottom>
      <diagonal/>
    </border>
    <border>
      <left/>
      <right/>
      <top style="hair">
        <color indexed="64"/>
      </top>
      <bottom style="hair">
        <color indexed="64"/>
      </bottom>
      <diagonal/>
    </border>
  </borders>
  <cellStyleXfs count="19">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45" fillId="12" borderId="44">
      <alignment horizontal="right"/>
    </xf>
    <xf numFmtId="0" fontId="73" fillId="12" borderId="0"/>
    <xf numFmtId="0" fontId="45" fillId="12" borderId="81">
      <alignment horizontal="left"/>
    </xf>
    <xf numFmtId="0" fontId="45" fillId="12" borderId="44">
      <alignment horizontal="left"/>
    </xf>
    <xf numFmtId="0" fontId="74" fillId="15" borderId="82"/>
    <xf numFmtId="4" fontId="75" fillId="15" borderId="45"/>
    <xf numFmtId="4" fontId="75" fillId="15" borderId="45">
      <alignment horizontal="right"/>
    </xf>
    <xf numFmtId="0" fontId="76" fillId="16" borderId="47" applyNumberFormat="0" applyAlignment="0" applyProtection="0"/>
  </cellStyleXfs>
  <cellXfs count="960">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43"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37" fontId="0" fillId="3" borderId="0" xfId="0" applyNumberFormat="1" applyFill="1" applyAlignment="1">
      <alignment horizontal="center" vertic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6" fontId="6" fillId="2" borderId="0" xfId="0" applyNumberFormat="1" applyFont="1" applyFill="1"/>
    <xf numFmtId="0" fontId="13" fillId="11" borderId="4" xfId="0" applyFont="1" applyFill="1" applyBorder="1"/>
    <xf numFmtId="37" fontId="0" fillId="3" borderId="17" xfId="0" applyNumberFormat="1" applyFill="1" applyBorder="1"/>
    <xf numFmtId="1" fontId="0" fillId="0" borderId="0" xfId="2" applyNumberFormat="1" applyFont="1" applyAlignment="1">
      <alignment horizontal="right"/>
    </xf>
    <xf numFmtId="170" fontId="0" fillId="0" borderId="0" xfId="2" applyNumberFormat="1" applyFont="1" applyFill="1"/>
    <xf numFmtId="170" fontId="0" fillId="0" borderId="0" xfId="2" applyNumberFormat="1" applyFont="1" applyBorder="1"/>
    <xf numFmtId="170" fontId="0" fillId="0" borderId="4" xfId="2" applyNumberFormat="1" applyFont="1" applyFill="1" applyBorder="1"/>
    <xf numFmtId="170" fontId="0" fillId="3" borderId="0" xfId="2" applyNumberFormat="1" applyFont="1" applyFill="1"/>
    <xf numFmtId="170"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43"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37" fillId="0" borderId="26" xfId="0" applyNumberFormat="1" applyFont="1" applyBorder="1"/>
    <xf numFmtId="3" fontId="12" fillId="0" borderId="0" xfId="0" applyNumberFormat="1" applyFont="1"/>
    <xf numFmtId="170" fontId="35" fillId="5" borderId="0" xfId="0" applyNumberFormat="1" applyFont="1" applyFill="1"/>
    <xf numFmtId="3" fontId="13" fillId="0" borderId="0" xfId="0" applyNumberFormat="1" applyFont="1"/>
    <xf numFmtId="3" fontId="12" fillId="0" borderId="26" xfId="0" applyNumberFormat="1" applyFont="1" applyBorder="1"/>
    <xf numFmtId="0" fontId="40" fillId="0" borderId="0" xfId="0" applyFont="1"/>
    <xf numFmtId="0" fontId="13" fillId="0" borderId="26" xfId="0" applyFont="1" applyBorder="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1" xfId="0" applyFont="1" applyBorder="1"/>
    <xf numFmtId="0" fontId="13" fillId="0" borderId="32" xfId="0" applyFont="1" applyBorder="1"/>
    <xf numFmtId="172" fontId="13" fillId="0" borderId="32"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4" xfId="0" applyFont="1" applyBorder="1"/>
    <xf numFmtId="0" fontId="13" fillId="0" borderId="35" xfId="0" applyFont="1" applyBorder="1"/>
    <xf numFmtId="172" fontId="13" fillId="0" borderId="35" xfId="0" applyNumberFormat="1" applyFont="1" applyBorder="1"/>
    <xf numFmtId="172" fontId="13" fillId="0" borderId="36" xfId="0" applyNumberFormat="1" applyFont="1" applyBorder="1"/>
    <xf numFmtId="0" fontId="13" fillId="0" borderId="37" xfId="0" applyFont="1" applyBorder="1"/>
    <xf numFmtId="0" fontId="13" fillId="0" borderId="7" xfId="0" applyFont="1" applyBorder="1"/>
    <xf numFmtId="0" fontId="13" fillId="0" borderId="38" xfId="0" applyFont="1" applyBorder="1"/>
    <xf numFmtId="172" fontId="13" fillId="0" borderId="7" xfId="0" applyNumberFormat="1" applyFont="1" applyBorder="1"/>
    <xf numFmtId="172" fontId="13" fillId="0" borderId="39"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43"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40" xfId="0" applyFont="1" applyBorder="1"/>
    <xf numFmtId="0" fontId="13" fillId="0" borderId="41" xfId="0" applyFont="1" applyBorder="1"/>
    <xf numFmtId="0" fontId="13" fillId="0" borderId="42" xfId="0" applyFont="1" applyBorder="1"/>
    <xf numFmtId="172" fontId="13" fillId="0" borderId="41"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2"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8" xfId="0" applyFont="1" applyBorder="1"/>
    <xf numFmtId="10" fontId="3" fillId="0" borderId="48" xfId="2" applyNumberFormat="1" applyFont="1" applyBorder="1" applyAlignment="1">
      <alignment horizontal="center"/>
    </xf>
    <xf numFmtId="37" fontId="43" fillId="0" borderId="19" xfId="0" applyNumberFormat="1" applyFont="1" applyBorder="1" applyAlignment="1">
      <alignment horizontal="right"/>
    </xf>
    <xf numFmtId="0" fontId="0" fillId="0" borderId="48" xfId="0" applyBorder="1"/>
    <xf numFmtId="37" fontId="43" fillId="3" borderId="48"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37" fontId="48" fillId="3" borderId="0" xfId="0" applyNumberFormat="1" applyFont="1" applyFill="1" applyAlignment="1">
      <alignment horizontal="right"/>
    </xf>
    <xf numFmtId="0" fontId="13" fillId="0" borderId="0" xfId="0" applyFont="1" applyAlignment="1">
      <alignment horizontal="left" indent="1"/>
    </xf>
    <xf numFmtId="0" fontId="49" fillId="0" borderId="0" xfId="0" applyFont="1"/>
    <xf numFmtId="170" fontId="49" fillId="0" borderId="0" xfId="2" applyNumberFormat="1" applyFont="1" applyFill="1"/>
    <xf numFmtId="170" fontId="49" fillId="0" borderId="0" xfId="1" applyNumberFormat="1" applyFont="1" applyFill="1"/>
    <xf numFmtId="170" fontId="49" fillId="4" borderId="0" xfId="1" applyNumberFormat="1" applyFont="1" applyFill="1"/>
    <xf numFmtId="170" fontId="49" fillId="0" borderId="26"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49" fillId="0" borderId="0" xfId="0" applyFont="1" applyAlignment="1">
      <alignment horizontal="left" indent="2"/>
    </xf>
    <xf numFmtId="172" fontId="51" fillId="0" borderId="0" xfId="1" applyNumberFormat="1" applyFont="1" applyFill="1"/>
    <xf numFmtId="172" fontId="39" fillId="0" borderId="0" xfId="1" applyNumberFormat="1" applyFont="1" applyFill="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77" fontId="49" fillId="0" borderId="0" xfId="0" applyNumberFormat="1" applyFont="1"/>
    <xf numFmtId="177" fontId="49" fillId="0" borderId="17" xfId="0" applyNumberFormat="1" applyFont="1" applyBorder="1"/>
    <xf numFmtId="177" fontId="48" fillId="5" borderId="0" xfId="0" applyNumberFormat="1" applyFont="1" applyFill="1"/>
    <xf numFmtId="170" fontId="50" fillId="0" borderId="17" xfId="2" applyNumberFormat="1" applyFont="1" applyFill="1" applyBorder="1"/>
    <xf numFmtId="172" fontId="51" fillId="0" borderId="0" xfId="1" applyNumberFormat="1" applyFont="1" applyFill="1" applyAlignment="1">
      <alignment horizontal="right"/>
    </xf>
    <xf numFmtId="172" fontId="51" fillId="0" borderId="26" xfId="1" applyNumberFormat="1" applyFont="1" applyBorder="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172" fontId="51" fillId="0" borderId="26" xfId="1" applyNumberFormat="1" applyFont="1" applyFill="1" applyBorder="1" applyAlignment="1">
      <alignment horizontal="right"/>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3" xfId="0" applyNumberFormat="1" applyFont="1" applyBorder="1"/>
    <xf numFmtId="172" fontId="13" fillId="0" borderId="49" xfId="0" applyNumberFormat="1" applyFont="1" applyBorder="1"/>
    <xf numFmtId="172" fontId="13" fillId="0" borderId="50"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37" fillId="0" borderId="51" xfId="1" applyNumberFormat="1" applyFont="1" applyBorder="1"/>
    <xf numFmtId="172" fontId="13" fillId="0" borderId="22" xfId="0" applyNumberFormat="1" applyFont="1" applyBorder="1"/>
    <xf numFmtId="172" fontId="44" fillId="0" borderId="0" xfId="1" applyNumberFormat="1" applyFont="1" applyBorder="1"/>
    <xf numFmtId="172" fontId="44" fillId="0" borderId="26" xfId="1" applyNumberFormat="1" applyFont="1" applyBorder="1"/>
    <xf numFmtId="172" fontId="44" fillId="0" borderId="22" xfId="1" applyNumberFormat="1" applyFont="1" applyFill="1" applyBorder="1"/>
    <xf numFmtId="172" fontId="44" fillId="0" borderId="51"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Border="1"/>
    <xf numFmtId="37" fontId="46" fillId="0" borderId="26"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37" fillId="0" borderId="23"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6" xfId="5" applyFont="1" applyFill="1" applyBorder="1" applyAlignment="1">
      <alignment horizontal="center" vertical="center" wrapText="1"/>
    </xf>
    <xf numFmtId="0" fontId="56" fillId="2" borderId="0" xfId="5" applyFont="1" applyFill="1" applyAlignment="1">
      <alignment horizontal="center" vertical="center" wrapText="1"/>
    </xf>
    <xf numFmtId="0" fontId="56" fillId="2" borderId="26" xfId="5" applyFont="1" applyFill="1" applyBorder="1" applyAlignment="1">
      <alignment horizontal="center" vertical="center" wrapText="1"/>
    </xf>
    <xf numFmtId="0" fontId="57" fillId="5" borderId="21" xfId="5" applyFont="1" applyFill="1" applyBorder="1"/>
    <xf numFmtId="0" fontId="57" fillId="5" borderId="56" xfId="5" applyFont="1" applyFill="1" applyBorder="1"/>
    <xf numFmtId="0" fontId="57" fillId="5" borderId="0" xfId="5" applyFont="1" applyFill="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43" fontId="41" fillId="0" borderId="0" xfId="0" applyNumberFormat="1" applyFont="1"/>
    <xf numFmtId="0" fontId="31" fillId="0" borderId="0" xfId="0" applyFont="1"/>
    <xf numFmtId="165" fontId="16" fillId="0" borderId="38"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5" xfId="5" applyFont="1" applyBorder="1"/>
    <xf numFmtId="0" fontId="5" fillId="0" borderId="55" xfId="5" applyFont="1" applyBorder="1"/>
    <xf numFmtId="0" fontId="4" fillId="5" borderId="54" xfId="5" applyFont="1" applyFill="1" applyBorder="1"/>
    <xf numFmtId="0" fontId="4" fillId="0" borderId="54"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0" fontId="32" fillId="0" borderId="0" xfId="5" applyFont="1"/>
    <xf numFmtId="173"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4" fontId="32" fillId="0" borderId="0" xfId="5" applyNumberFormat="1" applyFont="1"/>
    <xf numFmtId="170"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7"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6"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6" xfId="8" applyNumberFormat="1" applyFont="1" applyBorder="1" applyAlignment="1">
      <alignment horizontal="center" wrapText="1"/>
    </xf>
    <xf numFmtId="37" fontId="7" fillId="0" borderId="26" xfId="8" applyNumberFormat="1" applyFont="1" applyBorder="1" applyAlignment="1">
      <alignment horizontal="center" wrapText="1"/>
    </xf>
    <xf numFmtId="37" fontId="7" fillId="0" borderId="0" xfId="5" applyNumberFormat="1" applyFont="1" applyAlignment="1">
      <alignment horizontal="center"/>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6"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6"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6"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6" xfId="5" applyFont="1" applyFill="1" applyBorder="1"/>
    <xf numFmtId="0" fontId="10" fillId="5" borderId="26" xfId="5" applyFont="1" applyFill="1" applyBorder="1"/>
    <xf numFmtId="0" fontId="10" fillId="0" borderId="56" xfId="5" applyFont="1" applyBorder="1"/>
    <xf numFmtId="37" fontId="28" fillId="0" borderId="56" xfId="8" applyNumberFormat="1" applyFont="1" applyBorder="1" applyAlignment="1">
      <alignment horizontal="center"/>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8" xfId="0" applyNumberFormat="1" applyFont="1" applyBorder="1"/>
    <xf numFmtId="0" fontId="4" fillId="2" borderId="59" xfId="5" applyFont="1" applyFill="1" applyBorder="1" applyAlignment="1">
      <alignment horizontal="center"/>
    </xf>
    <xf numFmtId="0" fontId="4" fillId="5" borderId="61" xfId="5" applyFont="1" applyFill="1" applyBorder="1"/>
    <xf numFmtId="170" fontId="29" fillId="0" borderId="0" xfId="5" applyNumberFormat="1" applyFont="1" applyAlignment="1">
      <alignment horizontal="center" vertical="center"/>
    </xf>
    <xf numFmtId="170" fontId="29" fillId="0" borderId="59" xfId="5" applyNumberFormat="1" applyFont="1" applyBorder="1" applyAlignment="1">
      <alignment horizontal="center" vertical="center"/>
    </xf>
    <xf numFmtId="0" fontId="29" fillId="0" borderId="59" xfId="5" applyFont="1" applyBorder="1"/>
    <xf numFmtId="170" fontId="10" fillId="0" borderId="0" xfId="5" applyNumberFormat="1" applyFont="1" applyAlignment="1">
      <alignment horizontal="center" vertical="center"/>
    </xf>
    <xf numFmtId="170" fontId="10" fillId="0" borderId="59"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9"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9" xfId="5" applyNumberFormat="1" applyFont="1" applyFill="1" applyBorder="1" applyAlignment="1">
      <alignment horizontal="center" vertical="center"/>
    </xf>
    <xf numFmtId="0" fontId="4" fillId="2" borderId="62" xfId="5" applyFont="1" applyFill="1" applyBorder="1" applyAlignment="1">
      <alignment horizontal="center"/>
    </xf>
    <xf numFmtId="0" fontId="4" fillId="5" borderId="64" xfId="5" applyFont="1" applyFill="1" applyBorder="1"/>
    <xf numFmtId="170" fontId="29" fillId="4" borderId="62" xfId="5" applyNumberFormat="1" applyFont="1" applyFill="1" applyBorder="1" applyAlignment="1">
      <alignment horizontal="center" vertical="center"/>
    </xf>
    <xf numFmtId="170" fontId="29" fillId="4" borderId="59" xfId="5" applyNumberFormat="1" applyFont="1" applyFill="1" applyBorder="1" applyAlignment="1">
      <alignment horizontal="center" vertical="center"/>
    </xf>
    <xf numFmtId="173" fontId="10" fillId="4" borderId="62" xfId="5" applyNumberFormat="1" applyFont="1" applyFill="1" applyBorder="1"/>
    <xf numFmtId="173" fontId="10" fillId="4" borderId="59" xfId="5" applyNumberFormat="1" applyFont="1" applyFill="1" applyBorder="1"/>
    <xf numFmtId="170" fontId="10" fillId="0" borderId="62" xfId="5" applyNumberFormat="1" applyFont="1" applyBorder="1" applyAlignment="1">
      <alignment horizontal="center" vertical="center"/>
    </xf>
    <xf numFmtId="170" fontId="29" fillId="5" borderId="62" xfId="5" applyNumberFormat="1" applyFont="1" applyFill="1" applyBorder="1" applyAlignment="1">
      <alignment horizontal="center" vertical="center"/>
    </xf>
    <xf numFmtId="170" fontId="10" fillId="5" borderId="62" xfId="5" applyNumberFormat="1" applyFont="1" applyFill="1" applyBorder="1" applyAlignment="1">
      <alignment horizontal="center" vertical="center"/>
    </xf>
    <xf numFmtId="170" fontId="29" fillId="0" borderId="62" xfId="5" applyNumberFormat="1" applyFont="1" applyBorder="1" applyAlignment="1">
      <alignment horizontal="center" vertical="center"/>
    </xf>
    <xf numFmtId="173" fontId="10" fillId="0" borderId="62" xfId="5" applyNumberFormat="1" applyFont="1" applyBorder="1"/>
    <xf numFmtId="173" fontId="10" fillId="0" borderId="59" xfId="5" applyNumberFormat="1" applyFont="1" applyBorder="1"/>
    <xf numFmtId="170" fontId="10" fillId="0" borderId="62" xfId="2" applyNumberFormat="1" applyFont="1" applyBorder="1" applyAlignment="1">
      <alignment horizontal="center" vertical="center"/>
    </xf>
    <xf numFmtId="9" fontId="29" fillId="5" borderId="62" xfId="2" applyFont="1" applyFill="1" applyBorder="1" applyAlignment="1">
      <alignment horizontal="center" vertical="center"/>
    </xf>
    <xf numFmtId="9" fontId="29" fillId="5" borderId="59" xfId="2" applyFont="1" applyFill="1" applyBorder="1" applyAlignment="1">
      <alignment horizontal="center" vertical="center"/>
    </xf>
    <xf numFmtId="0" fontId="4" fillId="2" borderId="59" xfId="5" applyFont="1" applyFill="1" applyBorder="1"/>
    <xf numFmtId="2" fontId="10" fillId="0" borderId="62" xfId="5" applyNumberFormat="1" applyFont="1" applyBorder="1" applyAlignment="1">
      <alignment horizontal="center" vertical="center"/>
    </xf>
    <xf numFmtId="2" fontId="10" fillId="0" borderId="59" xfId="5" applyNumberFormat="1" applyFont="1" applyBorder="1" applyAlignment="1">
      <alignment horizontal="center" vertical="center"/>
    </xf>
    <xf numFmtId="2" fontId="29" fillId="5" borderId="62" xfId="2" applyNumberFormat="1" applyFont="1" applyFill="1" applyBorder="1" applyAlignment="1">
      <alignment horizontal="center" vertical="center"/>
    </xf>
    <xf numFmtId="2" fontId="29" fillId="5" borderId="59" xfId="2" applyNumberFormat="1" applyFont="1" applyFill="1" applyBorder="1" applyAlignment="1">
      <alignment horizontal="center" vertical="center"/>
    </xf>
    <xf numFmtId="2" fontId="10" fillId="5" borderId="59" xfId="5" applyNumberFormat="1" applyFont="1" applyFill="1" applyBorder="1" applyAlignment="1">
      <alignment horizontal="center" vertical="center"/>
    </xf>
    <xf numFmtId="0" fontId="4" fillId="2" borderId="62" xfId="5" applyFont="1" applyFill="1" applyBorder="1"/>
    <xf numFmtId="4" fontId="10" fillId="0" borderId="62" xfId="5" applyNumberFormat="1" applyFont="1" applyBorder="1" applyAlignment="1">
      <alignment horizontal="center" vertical="center"/>
    </xf>
    <xf numFmtId="2" fontId="10" fillId="0" borderId="59" xfId="2" applyNumberFormat="1" applyFont="1" applyBorder="1" applyAlignment="1">
      <alignment horizontal="center" vertical="center"/>
    </xf>
    <xf numFmtId="4" fontId="10" fillId="0" borderId="62" xfId="5" applyNumberFormat="1" applyFont="1" applyBorder="1" applyAlignment="1">
      <alignment horizontal="center"/>
    </xf>
    <xf numFmtId="2" fontId="10" fillId="0" borderId="59"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5" xfId="5" applyFont="1" applyFill="1" applyBorder="1"/>
    <xf numFmtId="2" fontId="10" fillId="0" borderId="65"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62" xfId="5" applyNumberFormat="1" applyFont="1" applyBorder="1" applyAlignment="1">
      <alignment horizontal="center" vertical="center"/>
    </xf>
    <xf numFmtId="2" fontId="29" fillId="0" borderId="59" xfId="5" applyNumberFormat="1" applyFont="1" applyBorder="1" applyAlignment="1">
      <alignment horizontal="center" vertical="center"/>
    </xf>
    <xf numFmtId="4" fontId="29" fillId="0" borderId="62" xfId="5" applyNumberFormat="1" applyFont="1" applyBorder="1" applyAlignment="1">
      <alignment horizontal="center" vertical="center"/>
    </xf>
    <xf numFmtId="2" fontId="29" fillId="0" borderId="59"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5" xfId="5" applyFont="1" applyBorder="1" applyAlignment="1">
      <alignment vertical="center"/>
    </xf>
    <xf numFmtId="0" fontId="32" fillId="0" borderId="55" xfId="5" applyFont="1" applyBorder="1" applyAlignment="1">
      <alignment vertical="center"/>
    </xf>
    <xf numFmtId="170" fontId="10" fillId="0" borderId="55" xfId="5" applyNumberFormat="1" applyFont="1" applyBorder="1" applyAlignment="1">
      <alignment horizontal="center" vertical="center"/>
    </xf>
    <xf numFmtId="170" fontId="10" fillId="0" borderId="60" xfId="5" applyNumberFormat="1" applyFont="1" applyBorder="1" applyAlignment="1">
      <alignment horizontal="center" vertical="center"/>
    </xf>
    <xf numFmtId="170" fontId="10" fillId="0" borderId="63" xfId="5" applyNumberFormat="1" applyFont="1" applyBorder="1" applyAlignment="1">
      <alignment horizontal="center" vertical="center"/>
    </xf>
    <xf numFmtId="170" fontId="10" fillId="0" borderId="63" xfId="2" applyNumberFormat="1" applyFont="1" applyBorder="1" applyAlignment="1">
      <alignment horizontal="center" vertical="center"/>
    </xf>
    <xf numFmtId="2" fontId="10" fillId="0" borderId="63" xfId="5" applyNumberFormat="1" applyFont="1" applyBorder="1" applyAlignment="1">
      <alignment horizontal="center" vertical="center"/>
    </xf>
    <xf numFmtId="2" fontId="10" fillId="0" borderId="60" xfId="5" applyNumberFormat="1" applyFont="1" applyBorder="1" applyAlignment="1">
      <alignment horizontal="center" vertical="center"/>
    </xf>
    <xf numFmtId="4" fontId="10" fillId="0" borderId="63" xfId="5" applyNumberFormat="1" applyFont="1" applyBorder="1" applyAlignment="1">
      <alignment horizontal="center" vertical="center"/>
    </xf>
    <xf numFmtId="2" fontId="10" fillId="0" borderId="60" xfId="2" applyNumberFormat="1" applyFont="1" applyBorder="1" applyAlignment="1">
      <alignment horizontal="center" vertical="center"/>
    </xf>
    <xf numFmtId="2" fontId="10" fillId="0" borderId="55" xfId="2" applyNumberFormat="1" applyFont="1" applyBorder="1" applyAlignment="1">
      <alignment horizontal="center" vertical="center"/>
    </xf>
    <xf numFmtId="4" fontId="10" fillId="0" borderId="55" xfId="5" applyNumberFormat="1" applyFont="1" applyBorder="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60" fillId="0" borderId="0" xfId="0" applyFont="1"/>
    <xf numFmtId="0" fontId="61" fillId="0" borderId="0" xfId="0" applyFont="1"/>
    <xf numFmtId="0" fontId="60" fillId="5" borderId="0" xfId="0" applyFont="1" applyFill="1"/>
    <xf numFmtId="0" fontId="62" fillId="0" borderId="0" xfId="0" applyFont="1" applyAlignment="1">
      <alignment horizontal="left" indent="2"/>
    </xf>
    <xf numFmtId="0" fontId="60" fillId="2" borderId="0" xfId="0" applyFont="1" applyFill="1"/>
    <xf numFmtId="0" fontId="61" fillId="2" borderId="0" xfId="0" applyFont="1" applyFill="1"/>
    <xf numFmtId="0" fontId="61" fillId="5" borderId="0" xfId="0" applyFont="1" applyFill="1"/>
    <xf numFmtId="0" fontId="63" fillId="0" borderId="0" xfId="0" applyFont="1"/>
    <xf numFmtId="0" fontId="64"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6"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3" xfId="0" applyNumberFormat="1" applyFont="1" applyBorder="1" applyAlignment="1">
      <alignment horizontal="right"/>
    </xf>
    <xf numFmtId="170" fontId="11" fillId="0" borderId="6" xfId="2" applyNumberFormat="1" applyFont="1" applyBorder="1" applyAlignment="1">
      <alignment horizontal="right"/>
    </xf>
    <xf numFmtId="3" fontId="11" fillId="0" borderId="53"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6"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7" xfId="0" applyFont="1" applyFill="1" applyBorder="1"/>
    <xf numFmtId="0" fontId="17" fillId="5" borderId="68"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3" fillId="5" borderId="28" xfId="2" applyNumberFormat="1" applyFont="1" applyFill="1" applyBorder="1"/>
    <xf numFmtId="170" fontId="12" fillId="5" borderId="29" xfId="2" applyNumberFormat="1" applyFont="1" applyFill="1" applyBorder="1"/>
    <xf numFmtId="170" fontId="12" fillId="5" borderId="30" xfId="2" applyNumberFormat="1" applyFont="1" applyFill="1" applyBorder="1"/>
    <xf numFmtId="170" fontId="13" fillId="5" borderId="29" xfId="2" applyNumberFormat="1" applyFont="1" applyFill="1" applyBorder="1"/>
    <xf numFmtId="170" fontId="13" fillId="5" borderId="30"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5" fillId="0" borderId="0" xfId="0" applyFont="1" applyAlignment="1">
      <alignment horizontal="left" vertical="top" indent="1"/>
    </xf>
    <xf numFmtId="0" fontId="8" fillId="0" borderId="0" xfId="5" applyFont="1"/>
    <xf numFmtId="171" fontId="11" fillId="0" borderId="52"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60"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7" fillId="0" borderId="0" xfId="3" applyFont="1" applyBorder="1" applyAlignment="1"/>
    <xf numFmtId="49" fontId="59" fillId="0" borderId="0" xfId="0" applyNumberFormat="1" applyFont="1"/>
    <xf numFmtId="0" fontId="0" fillId="0" borderId="47" xfId="0" applyBorder="1"/>
    <xf numFmtId="0" fontId="0" fillId="0" borderId="43" xfId="0" applyBorder="1"/>
    <xf numFmtId="0" fontId="0" fillId="0" borderId="13" xfId="0" applyBorder="1"/>
    <xf numFmtId="0" fontId="0" fillId="0" borderId="15" xfId="0" applyBorder="1"/>
    <xf numFmtId="172" fontId="13" fillId="0" borderId="74" xfId="0" applyNumberFormat="1" applyFont="1" applyBorder="1"/>
    <xf numFmtId="172" fontId="13" fillId="0" borderId="75" xfId="0" applyNumberFormat="1" applyFont="1" applyBorder="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6"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9" fontId="0" fillId="3" borderId="0" xfId="2"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6" xfId="5" applyFont="1" applyFill="1" applyBorder="1"/>
    <xf numFmtId="0" fontId="10" fillId="5" borderId="17" xfId="5" applyFont="1" applyFill="1" applyBorder="1"/>
    <xf numFmtId="37" fontId="32" fillId="3" borderId="45" xfId="8" applyNumberFormat="1" applyFont="1" applyFill="1" applyBorder="1" applyAlignment="1">
      <alignment horizontal="center" wrapText="1"/>
    </xf>
    <xf numFmtId="0" fontId="10" fillId="2" borderId="45" xfId="5" applyFont="1" applyFill="1" applyBorder="1"/>
    <xf numFmtId="0" fontId="10" fillId="5" borderId="45" xfId="5" applyFont="1" applyFill="1" applyBorder="1"/>
    <xf numFmtId="0" fontId="56" fillId="2" borderId="17" xfId="5" applyFont="1" applyFill="1" applyBorder="1" applyAlignment="1">
      <alignment horizontal="center" vertical="center" wrapText="1"/>
    </xf>
    <xf numFmtId="0" fontId="57" fillId="5" borderId="17" xfId="5" applyFont="1" applyFill="1" applyBorder="1"/>
    <xf numFmtId="37" fontId="32" fillId="3" borderId="77"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5" xfId="5" applyFont="1" applyFill="1" applyBorder="1" applyAlignment="1">
      <alignment horizontal="center" vertical="center" wrapText="1"/>
    </xf>
    <xf numFmtId="0" fontId="57" fillId="5" borderId="45" xfId="5" applyFont="1" applyFill="1" applyBorder="1"/>
    <xf numFmtId="37" fontId="32" fillId="3" borderId="78" xfId="8" applyNumberFormat="1" applyFont="1" applyFill="1" applyBorder="1" applyAlignment="1">
      <alignment horizontal="center"/>
    </xf>
    <xf numFmtId="37" fontId="32" fillId="3" borderId="45" xfId="8" applyNumberFormat="1" applyFont="1" applyFill="1" applyBorder="1" applyAlignment="1">
      <alignment horizontal="center"/>
    </xf>
    <xf numFmtId="37" fontId="2" fillId="4" borderId="45" xfId="8" applyNumberFormat="1" applyFont="1" applyFill="1" applyBorder="1" applyAlignment="1">
      <alignment horizontal="center" wrapText="1"/>
    </xf>
    <xf numFmtId="39" fontId="32" fillId="3" borderId="45" xfId="8" applyNumberFormat="1" applyFont="1" applyFill="1" applyBorder="1" applyAlignment="1">
      <alignment horizontal="center" wrapText="1"/>
    </xf>
    <xf numFmtId="1" fontId="28" fillId="0" borderId="45" xfId="8" applyNumberFormat="1" applyFont="1" applyBorder="1" applyAlignment="1">
      <alignment horizontal="center" wrapText="1"/>
    </xf>
    <xf numFmtId="37" fontId="7" fillId="0" borderId="45" xfId="8" applyNumberFormat="1" applyFont="1" applyBorder="1" applyAlignment="1">
      <alignment horizontal="center"/>
    </xf>
    <xf numFmtId="37" fontId="7" fillId="3" borderId="45"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68" fillId="13" borderId="0" xfId="0" applyFont="1" applyFill="1"/>
    <xf numFmtId="0" fontId="69" fillId="13" borderId="0" xfId="0" applyFont="1" applyFill="1"/>
    <xf numFmtId="0" fontId="69"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70" fillId="0" borderId="0" xfId="0" applyFont="1"/>
    <xf numFmtId="0" fontId="71" fillId="0" borderId="9" xfId="0" applyFont="1" applyBorder="1"/>
    <xf numFmtId="0" fontId="0" fillId="0" borderId="79"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2"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180" fontId="6" fillId="2" borderId="0" xfId="0" applyNumberFormat="1" applyFont="1" applyFill="1" applyAlignment="1">
      <alignment horizontal="right"/>
    </xf>
    <xf numFmtId="9" fontId="3" fillId="7"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0" fontId="65" fillId="0" borderId="8" xfId="0" applyFont="1" applyBorder="1" applyAlignment="1">
      <alignment horizontal="left" vertical="top" indent="1"/>
    </xf>
    <xf numFmtId="0" fontId="45" fillId="12" borderId="81" xfId="13">
      <alignment horizontal="left"/>
    </xf>
    <xf numFmtId="0" fontId="45" fillId="12" borderId="44" xfId="14">
      <alignment horizontal="left"/>
    </xf>
    <xf numFmtId="0" fontId="74" fillId="15" borderId="82" xfId="15"/>
    <xf numFmtId="4" fontId="75" fillId="15" borderId="45" xfId="16"/>
    <xf numFmtId="4" fontId="75" fillId="15" borderId="45" xfId="17">
      <alignment horizontal="right"/>
    </xf>
    <xf numFmtId="0" fontId="76" fillId="16" borderId="47" xfId="18"/>
    <xf numFmtId="0" fontId="9" fillId="0" borderId="0" xfId="3" applyAlignment="1">
      <alignment horizontal="left" indent="1"/>
    </xf>
    <xf numFmtId="0" fontId="77" fillId="17" borderId="0" xfId="0" applyFont="1" applyFill="1" applyAlignment="1">
      <alignment wrapText="1"/>
    </xf>
    <xf numFmtId="0" fontId="77" fillId="17" borderId="0" xfId="0" applyFont="1" applyFill="1"/>
    <xf numFmtId="0" fontId="78" fillId="17" borderId="43" xfId="0" applyFont="1" applyFill="1" applyBorder="1" applyAlignment="1">
      <alignment wrapText="1" readingOrder="1"/>
    </xf>
    <xf numFmtId="0" fontId="78" fillId="17" borderId="0" xfId="0" applyFont="1" applyFill="1" applyAlignment="1">
      <alignment wrapText="1" readingOrder="1"/>
    </xf>
    <xf numFmtId="0" fontId="78" fillId="17" borderId="0" xfId="0" applyFont="1" applyFill="1" applyAlignment="1">
      <alignment readingOrder="1"/>
    </xf>
    <xf numFmtId="0" fontId="78" fillId="17" borderId="43" xfId="0" applyFont="1" applyFill="1" applyBorder="1" applyAlignment="1">
      <alignment readingOrder="1"/>
    </xf>
    <xf numFmtId="0" fontId="79" fillId="18" borderId="0" xfId="0" applyFont="1" applyFill="1" applyAlignment="1">
      <alignment wrapText="1"/>
    </xf>
    <xf numFmtId="0" fontId="79" fillId="18" borderId="0" xfId="0" applyFont="1" applyFill="1"/>
    <xf numFmtId="0" fontId="80" fillId="17" borderId="81" xfId="0" applyFont="1" applyFill="1" applyBorder="1" applyAlignment="1">
      <alignment wrapText="1"/>
    </xf>
    <xf numFmtId="0" fontId="80" fillId="17" borderId="83" xfId="0" applyFont="1" applyFill="1" applyBorder="1" applyAlignment="1">
      <alignment wrapText="1"/>
    </xf>
    <xf numFmtId="0" fontId="80" fillId="17" borderId="83" xfId="0" applyFont="1" applyFill="1" applyBorder="1"/>
    <xf numFmtId="0" fontId="80" fillId="17" borderId="44" xfId="0" applyFont="1" applyFill="1" applyBorder="1" applyAlignment="1">
      <alignment wrapText="1"/>
    </xf>
    <xf numFmtId="14" fontId="80" fillId="17" borderId="84" xfId="0" applyNumberFormat="1" applyFont="1" applyFill="1" applyBorder="1" applyAlignment="1">
      <alignment wrapText="1"/>
    </xf>
    <xf numFmtId="14" fontId="80" fillId="17" borderId="84" xfId="0" applyNumberFormat="1" applyFont="1" applyFill="1" applyBorder="1"/>
    <xf numFmtId="0" fontId="81" fillId="18" borderId="82" xfId="0" applyFont="1" applyFill="1" applyBorder="1" applyAlignment="1">
      <alignment wrapText="1"/>
    </xf>
    <xf numFmtId="0" fontId="81" fillId="18" borderId="45" xfId="0" applyFont="1" applyFill="1" applyBorder="1" applyAlignment="1">
      <alignment wrapText="1"/>
    </xf>
    <xf numFmtId="0" fontId="81" fillId="18" borderId="17" xfId="0" applyFont="1" applyFill="1" applyBorder="1"/>
    <xf numFmtId="0" fontId="81" fillId="19" borderId="17" xfId="0" applyFont="1" applyFill="1" applyBorder="1"/>
    <xf numFmtId="0" fontId="82" fillId="18" borderId="82" xfId="0" applyFont="1" applyFill="1" applyBorder="1" applyAlignment="1">
      <alignment wrapText="1"/>
    </xf>
    <xf numFmtId="0" fontId="83" fillId="18" borderId="45" xfId="0" applyFont="1" applyFill="1" applyBorder="1" applyAlignment="1">
      <alignment wrapText="1"/>
    </xf>
    <xf numFmtId="0" fontId="83" fillId="18" borderId="17" xfId="0" applyFont="1" applyFill="1" applyBorder="1"/>
    <xf numFmtId="0" fontId="83" fillId="19" borderId="17" xfId="0" applyFont="1" applyFill="1" applyBorder="1"/>
    <xf numFmtId="0" fontId="84" fillId="18" borderId="82" xfId="0" applyFont="1" applyFill="1" applyBorder="1" applyAlignment="1">
      <alignment wrapText="1"/>
    </xf>
    <xf numFmtId="0" fontId="85" fillId="18" borderId="45" xfId="0" applyFont="1" applyFill="1" applyBorder="1" applyAlignment="1">
      <alignment wrapText="1"/>
    </xf>
    <xf numFmtId="0" fontId="85" fillId="18" borderId="17" xfId="0" applyFont="1" applyFill="1" applyBorder="1"/>
    <xf numFmtId="0" fontId="85" fillId="19" borderId="17" xfId="0" applyFont="1" applyFill="1" applyBorder="1"/>
    <xf numFmtId="0" fontId="81" fillId="18" borderId="17" xfId="0" applyFont="1" applyFill="1" applyBorder="1" applyAlignment="1">
      <alignment wrapText="1"/>
    </xf>
    <xf numFmtId="4" fontId="83" fillId="18" borderId="17" xfId="0" applyNumberFormat="1" applyFont="1" applyFill="1" applyBorder="1"/>
    <xf numFmtId="4" fontId="83" fillId="19" borderId="17" xfId="0" applyNumberFormat="1" applyFont="1" applyFill="1" applyBorder="1"/>
    <xf numFmtId="0" fontId="85" fillId="20" borderId="47" xfId="0" applyFont="1" applyFill="1" applyBorder="1" applyAlignment="1">
      <alignment wrapText="1"/>
    </xf>
    <xf numFmtId="0" fontId="85" fillId="20" borderId="0" xfId="0" applyFont="1" applyFill="1"/>
    <xf numFmtId="0" fontId="85" fillId="20" borderId="47" xfId="0" applyFont="1" applyFill="1" applyBorder="1"/>
    <xf numFmtId="0" fontId="0" fillId="0" borderId="85" xfId="0" applyBorder="1"/>
    <xf numFmtId="37" fontId="28" fillId="3" borderId="8" xfId="0" applyNumberFormat="1" applyFont="1" applyFill="1" applyBorder="1" applyAlignment="1">
      <alignment horizontal="right"/>
    </xf>
    <xf numFmtId="181" fontId="28" fillId="3" borderId="0" xfId="0" applyNumberFormat="1" applyFont="1" applyFill="1" applyAlignment="1">
      <alignment horizontal="right"/>
    </xf>
    <xf numFmtId="181" fontId="3" fillId="4" borderId="0" xfId="0" applyNumberFormat="1" applyFont="1" applyFill="1" applyAlignment="1">
      <alignment horizontal="right"/>
    </xf>
    <xf numFmtId="181" fontId="3" fillId="0" borderId="0" xfId="0" applyNumberFormat="1" applyFont="1" applyAlignment="1">
      <alignment horizontal="right"/>
    </xf>
    <xf numFmtId="181" fontId="0" fillId="0" borderId="0" xfId="0" applyNumberFormat="1" applyAlignment="1">
      <alignment horizontal="right"/>
    </xf>
    <xf numFmtId="181" fontId="8" fillId="4" borderId="0" xfId="0" applyNumberFormat="1" applyFont="1" applyFill="1" applyAlignment="1">
      <alignment horizontal="right"/>
    </xf>
    <xf numFmtId="181" fontId="43" fillId="3" borderId="0" xfId="0" applyNumberFormat="1" applyFont="1" applyFill="1" applyAlignment="1">
      <alignment horizontal="right"/>
    </xf>
    <xf numFmtId="0" fontId="80" fillId="17" borderId="84" xfId="0" applyFont="1" applyFill="1" applyBorder="1" applyAlignment="1">
      <alignment wrapText="1"/>
    </xf>
    <xf numFmtId="0" fontId="80" fillId="17" borderId="84" xfId="0" applyFont="1" applyFill="1" applyBorder="1"/>
    <xf numFmtId="0" fontId="0" fillId="18" borderId="17" xfId="0" applyFill="1" applyBorder="1"/>
    <xf numFmtId="4" fontId="81" fillId="18" borderId="17" xfId="0" applyNumberFormat="1" applyFont="1" applyFill="1" applyBorder="1"/>
    <xf numFmtId="4" fontId="0" fillId="3" borderId="24" xfId="2" applyNumberFormat="1" applyFont="1" applyFill="1" applyBorder="1"/>
    <xf numFmtId="170" fontId="13" fillId="0" borderId="26" xfId="2" applyNumberFormat="1" applyFont="1" applyBorder="1"/>
    <xf numFmtId="170" fontId="49" fillId="0" borderId="17" xfId="2" applyNumberFormat="1" applyFont="1" applyBorder="1"/>
    <xf numFmtId="170" fontId="13" fillId="0" borderId="17" xfId="2" applyNumberFormat="1" applyFont="1" applyBorder="1"/>
    <xf numFmtId="170" fontId="49" fillId="0" borderId="17" xfId="1" applyNumberFormat="1" applyFont="1" applyBorder="1"/>
    <xf numFmtId="0" fontId="49" fillId="4" borderId="0" xfId="0" applyFont="1" applyFill="1"/>
    <xf numFmtId="0" fontId="13" fillId="4" borderId="8" xfId="0" applyFont="1" applyFill="1" applyBorder="1"/>
    <xf numFmtId="0" fontId="49" fillId="4" borderId="0" xfId="0" applyFont="1" applyFill="1" applyAlignment="1">
      <alignment horizontal="left"/>
    </xf>
    <xf numFmtId="0" fontId="13" fillId="4" borderId="0" xfId="0" applyFont="1" applyFill="1" applyAlignment="1">
      <alignment horizontal="left" indent="1"/>
    </xf>
    <xf numFmtId="0" fontId="49" fillId="4" borderId="0" xfId="0" applyFont="1" applyFill="1" applyAlignment="1">
      <alignment horizontal="left" indent="1"/>
    </xf>
    <xf numFmtId="0" fontId="36" fillId="4" borderId="0" xfId="0" applyFont="1" applyFill="1" applyAlignment="1">
      <alignment horizontal="left" indent="1"/>
    </xf>
    <xf numFmtId="0" fontId="36" fillId="4" borderId="0" xfId="0" applyFont="1" applyFill="1"/>
    <xf numFmtId="0" fontId="42" fillId="4" borderId="0" xfId="0" applyFont="1" applyFill="1" applyAlignment="1">
      <alignment horizontal="left" indent="2"/>
    </xf>
    <xf numFmtId="0" fontId="49" fillId="4" borderId="0" xfId="0" applyFont="1" applyFill="1" applyAlignment="1">
      <alignment horizontal="left" indent="2"/>
    </xf>
    <xf numFmtId="9" fontId="37" fillId="0" borderId="0" xfId="2" applyFont="1"/>
    <xf numFmtId="9" fontId="37" fillId="0" borderId="26" xfId="2" applyFont="1" applyBorder="1"/>
    <xf numFmtId="170" fontId="37" fillId="0" borderId="0" xfId="2" applyNumberFormat="1" applyFont="1"/>
    <xf numFmtId="0" fontId="13" fillId="4" borderId="22" xfId="0" applyFont="1" applyFill="1" applyBorder="1"/>
    <xf numFmtId="170" fontId="49" fillId="0" borderId="0" xfId="2" applyNumberFormat="1" applyFont="1" applyBorder="1"/>
    <xf numFmtId="0" fontId="25" fillId="4" borderId="0" xfId="0" applyFont="1" applyFill="1"/>
    <xf numFmtId="0" fontId="13" fillId="4" borderId="0" xfId="0" applyFont="1" applyFill="1" applyAlignment="1">
      <alignment horizontal="left" indent="2"/>
    </xf>
    <xf numFmtId="0" fontId="25" fillId="4" borderId="0" xfId="0" applyFont="1" applyFill="1" applyAlignment="1">
      <alignment horizontal="left" indent="1"/>
    </xf>
    <xf numFmtId="0" fontId="14" fillId="0" borderId="0" xfId="5" applyAlignment="1">
      <alignment horizontal="right" vertical="center"/>
    </xf>
    <xf numFmtId="0" fontId="19" fillId="9" borderId="0" xfId="5" applyFont="1" applyFill="1" applyAlignment="1">
      <alignment horizontal="center" vertical="center"/>
    </xf>
    <xf numFmtId="1" fontId="3" fillId="9" borderId="11" xfId="0" applyNumberFormat="1" applyFont="1" applyFill="1" applyBorder="1"/>
    <xf numFmtId="0" fontId="3" fillId="4" borderId="0" xfId="0" applyFont="1" applyFill="1" applyAlignment="1">
      <alignment horizontal="right"/>
    </xf>
    <xf numFmtId="0" fontId="3" fillId="9" borderId="0" xfId="0" applyFont="1" applyFill="1" applyAlignment="1">
      <alignment horizontal="right"/>
    </xf>
    <xf numFmtId="0" fontId="3" fillId="0" borderId="0" xfId="0" applyFont="1" applyAlignment="1">
      <alignment horizontal="left" vertical="center"/>
    </xf>
    <xf numFmtId="183" fontId="0" fillId="0" borderId="0" xfId="0" applyNumberFormat="1"/>
    <xf numFmtId="182" fontId="0" fillId="0" borderId="0" xfId="0" applyNumberFormat="1"/>
    <xf numFmtId="10" fontId="3" fillId="0" borderId="0" xfId="0" applyNumberFormat="1" applyFont="1"/>
    <xf numFmtId="2" fontId="35" fillId="5" borderId="25" xfId="0" applyNumberFormat="1" applyFont="1" applyFill="1" applyBorder="1" applyAlignment="1">
      <alignment horizontal="center"/>
    </xf>
    <xf numFmtId="2" fontId="36" fillId="5" borderId="25" xfId="0" applyNumberFormat="1" applyFont="1" applyFill="1" applyBorder="1" applyAlignment="1">
      <alignment horizontal="center"/>
    </xf>
    <xf numFmtId="2" fontId="12" fillId="5" borderId="25" xfId="2" applyNumberFormat="1" applyFont="1" applyFill="1" applyBorder="1" applyAlignment="1">
      <alignment horizontal="center"/>
    </xf>
    <xf numFmtId="172" fontId="35" fillId="0" borderId="0" xfId="1" applyNumberFormat="1" applyFont="1" applyFill="1"/>
    <xf numFmtId="166" fontId="6" fillId="4" borderId="0" xfId="0" applyNumberFormat="1" applyFont="1" applyFill="1"/>
    <xf numFmtId="0" fontId="63" fillId="0" borderId="0" xfId="0" applyFont="1" applyAlignment="1">
      <alignment vertical="top"/>
    </xf>
    <xf numFmtId="172" fontId="31" fillId="0" borderId="0" xfId="1" applyNumberFormat="1" applyFont="1"/>
    <xf numFmtId="172" fontId="39" fillId="0" borderId="0" xfId="1" applyNumberFormat="1" applyFont="1"/>
    <xf numFmtId="172" fontId="12" fillId="0" borderId="0" xfId="1" applyNumberFormat="1" applyFont="1"/>
    <xf numFmtId="170" fontId="13" fillId="5" borderId="90" xfId="2" applyNumberFormat="1" applyFont="1" applyFill="1" applyBorder="1"/>
    <xf numFmtId="170" fontId="12" fillId="5" borderId="91" xfId="2" applyNumberFormat="1" applyFont="1" applyFill="1" applyBorder="1"/>
    <xf numFmtId="170" fontId="13" fillId="5" borderId="91" xfId="2" applyNumberFormat="1" applyFont="1" applyFill="1" applyBorder="1"/>
    <xf numFmtId="166" fontId="6" fillId="2" borderId="82" xfId="0" applyNumberFormat="1" applyFont="1" applyFill="1" applyBorder="1"/>
    <xf numFmtId="0" fontId="12" fillId="0" borderId="82" xfId="0" applyFont="1" applyBorder="1"/>
    <xf numFmtId="3" fontId="12" fillId="0" borderId="82" xfId="0" applyNumberFormat="1" applyFont="1" applyBorder="1"/>
    <xf numFmtId="170" fontId="37" fillId="0" borderId="82" xfId="2" applyNumberFormat="1" applyFont="1" applyBorder="1"/>
    <xf numFmtId="0" fontId="13" fillId="0" borderId="82" xfId="0" applyFont="1" applyBorder="1"/>
    <xf numFmtId="172" fontId="12" fillId="0" borderId="82" xfId="1" applyNumberFormat="1" applyFont="1" applyBorder="1"/>
    <xf numFmtId="170" fontId="49" fillId="4" borderId="82" xfId="1" applyNumberFormat="1" applyFont="1" applyFill="1" applyBorder="1"/>
    <xf numFmtId="170" fontId="48" fillId="5" borderId="82" xfId="2" applyNumberFormat="1" applyFont="1" applyFill="1" applyBorder="1"/>
    <xf numFmtId="170" fontId="49" fillId="0" borderId="82" xfId="2" applyNumberFormat="1" applyFont="1" applyBorder="1"/>
    <xf numFmtId="0" fontId="13" fillId="4" borderId="82" xfId="0" applyFont="1" applyFill="1" applyBorder="1"/>
    <xf numFmtId="172" fontId="36" fillId="0" borderId="82" xfId="1" applyNumberFormat="1" applyFont="1" applyBorder="1"/>
    <xf numFmtId="170" fontId="13" fillId="0" borderId="82" xfId="2" applyNumberFormat="1" applyFont="1" applyBorder="1"/>
    <xf numFmtId="172" fontId="39" fillId="0" borderId="82" xfId="1" applyNumberFormat="1" applyFont="1" applyBorder="1"/>
    <xf numFmtId="37" fontId="12" fillId="0" borderId="82" xfId="1" applyNumberFormat="1" applyFont="1" applyBorder="1" applyAlignment="1">
      <alignment wrapText="1"/>
    </xf>
    <xf numFmtId="0" fontId="0" fillId="0" borderId="82" xfId="0" applyBorder="1"/>
    <xf numFmtId="170" fontId="32" fillId="5" borderId="82" xfId="2" applyNumberFormat="1" applyFont="1" applyFill="1" applyBorder="1"/>
    <xf numFmtId="0" fontId="50" fillId="0" borderId="82" xfId="0" applyFont="1" applyBorder="1"/>
    <xf numFmtId="0" fontId="49" fillId="0" borderId="82" xfId="0" applyFont="1" applyBorder="1"/>
    <xf numFmtId="172" fontId="13" fillId="0" borderId="82" xfId="0" applyNumberFormat="1" applyFont="1" applyBorder="1"/>
    <xf numFmtId="177" fontId="48" fillId="5" borderId="82" xfId="0" applyNumberFormat="1" applyFont="1" applyFill="1" applyBorder="1"/>
    <xf numFmtId="170" fontId="35" fillId="5" borderId="82" xfId="0" applyNumberFormat="1" applyFont="1" applyFill="1" applyBorder="1"/>
    <xf numFmtId="172" fontId="42" fillId="0" borderId="82" xfId="0" applyNumberFormat="1" applyFont="1" applyBorder="1"/>
    <xf numFmtId="170" fontId="48" fillId="5" borderId="82" xfId="0" applyNumberFormat="1" applyFont="1" applyFill="1" applyBorder="1"/>
    <xf numFmtId="172" fontId="42" fillId="0" borderId="82" xfId="0" applyNumberFormat="1" applyFont="1" applyBorder="1" applyAlignment="1">
      <alignment horizontal="right"/>
    </xf>
    <xf numFmtId="0" fontId="25" fillId="0" borderId="82" xfId="0" applyFont="1" applyBorder="1"/>
    <xf numFmtId="170" fontId="49" fillId="0" borderId="82" xfId="0" applyNumberFormat="1" applyFont="1" applyBorder="1"/>
    <xf numFmtId="172" fontId="31" fillId="0" borderId="82" xfId="1" applyNumberFormat="1" applyFont="1" applyBorder="1"/>
    <xf numFmtId="172" fontId="35" fillId="5" borderId="82" xfId="0" applyNumberFormat="1" applyFont="1" applyFill="1" applyBorder="1"/>
    <xf numFmtId="172" fontId="41" fillId="0" borderId="82" xfId="0" applyNumberFormat="1" applyFont="1" applyBorder="1"/>
    <xf numFmtId="9" fontId="48" fillId="5" borderId="82" xfId="0" applyNumberFormat="1" applyFont="1" applyFill="1" applyBorder="1"/>
    <xf numFmtId="172" fontId="13" fillId="0" borderId="82" xfId="1" applyNumberFormat="1" applyFont="1" applyBorder="1"/>
    <xf numFmtId="2" fontId="13" fillId="0" borderId="82" xfId="0" applyNumberFormat="1" applyFont="1" applyBorder="1"/>
    <xf numFmtId="0" fontId="20" fillId="0" borderId="82" xfId="0" applyFont="1" applyBorder="1"/>
    <xf numFmtId="172" fontId="20" fillId="0" borderId="82" xfId="0" applyNumberFormat="1" applyFont="1" applyBorder="1"/>
    <xf numFmtId="10" fontId="41" fillId="0" borderId="82" xfId="0" applyNumberFormat="1" applyFont="1" applyBorder="1"/>
    <xf numFmtId="43" fontId="41" fillId="0" borderId="82" xfId="0" applyNumberFormat="1" applyFont="1" applyBorder="1"/>
    <xf numFmtId="0" fontId="13" fillId="11" borderId="82" xfId="0" applyFont="1" applyFill="1" applyBorder="1"/>
    <xf numFmtId="37" fontId="13" fillId="0" borderId="82" xfId="0" applyNumberFormat="1" applyFont="1" applyBorder="1"/>
    <xf numFmtId="9" fontId="35" fillId="0" borderId="82" xfId="0" applyNumberFormat="1" applyFont="1" applyBorder="1"/>
    <xf numFmtId="172" fontId="13" fillId="0" borderId="82" xfId="0" applyNumberFormat="1" applyFont="1" applyBorder="1" applyAlignment="1">
      <alignment horizontal="left"/>
    </xf>
    <xf numFmtId="176" fontId="13" fillId="0" borderId="82" xfId="0" applyNumberFormat="1" applyFont="1" applyBorder="1"/>
    <xf numFmtId="9" fontId="13" fillId="0" borderId="82" xfId="0" applyNumberFormat="1" applyFont="1" applyBorder="1"/>
    <xf numFmtId="9" fontId="41" fillId="0" borderId="82" xfId="0" applyNumberFormat="1" applyFont="1" applyBorder="1"/>
    <xf numFmtId="170" fontId="13" fillId="5" borderId="82" xfId="2" applyNumberFormat="1" applyFont="1" applyFill="1" applyBorder="1"/>
    <xf numFmtId="170" fontId="12" fillId="5" borderId="82" xfId="2" applyNumberFormat="1" applyFont="1" applyFill="1" applyBorder="1"/>
    <xf numFmtId="0" fontId="6" fillId="2" borderId="0" xfId="0" applyFont="1" applyFill="1" applyAlignment="1">
      <alignment horizontal="left"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66" fillId="0" borderId="70" xfId="0" applyFont="1" applyBorder="1" applyAlignment="1">
      <alignment horizontal="left" vertical="center" wrapText="1"/>
    </xf>
    <xf numFmtId="0" fontId="66" fillId="0" borderId="71" xfId="0" applyFont="1" applyBorder="1" applyAlignment="1">
      <alignment horizontal="left" vertical="center" wrapText="1"/>
    </xf>
    <xf numFmtId="0" fontId="66" fillId="0" borderId="0" xfId="0" applyFont="1" applyAlignment="1">
      <alignment horizontal="left" vertical="center" wrapText="1"/>
    </xf>
    <xf numFmtId="0" fontId="66" fillId="0" borderId="69" xfId="0" applyFont="1" applyBorder="1" applyAlignment="1">
      <alignment horizontal="left" vertical="center" wrapText="1"/>
    </xf>
    <xf numFmtId="0" fontId="33" fillId="0" borderId="72" xfId="0" applyFont="1" applyBorder="1" applyAlignment="1">
      <alignment horizontal="left" vertical="center" wrapText="1"/>
    </xf>
    <xf numFmtId="0" fontId="66" fillId="0" borderId="73" xfId="0" applyFont="1" applyBorder="1" applyAlignment="1">
      <alignment horizontal="left" vertical="center"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80" xfId="0" applyFont="1" applyBorder="1" applyAlignment="1">
      <alignment horizontal="center"/>
    </xf>
    <xf numFmtId="0" fontId="2" fillId="0" borderId="0" xfId="0" applyFont="1" applyAlignment="1">
      <alignment horizontal="center"/>
    </xf>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left" vertical="center" wrapText="1"/>
    </xf>
    <xf numFmtId="0" fontId="6" fillId="2" borderId="0" xfId="0" applyFont="1" applyFill="1" applyAlignment="1">
      <alignment horizontal="center"/>
    </xf>
    <xf numFmtId="0" fontId="4" fillId="2" borderId="0" xfId="5" applyFont="1" applyFill="1" applyAlignment="1">
      <alignment horizontal="center" wrapText="1"/>
    </xf>
    <xf numFmtId="0" fontId="4" fillId="2" borderId="0" xfId="5" applyFont="1" applyFill="1" applyAlignment="1">
      <alignment horizontal="center"/>
    </xf>
    <xf numFmtId="0" fontId="4" fillId="2" borderId="59" xfId="5" applyFont="1" applyFill="1" applyBorder="1" applyAlignment="1">
      <alignment horizontal="center"/>
    </xf>
    <xf numFmtId="0" fontId="4" fillId="2" borderId="63" xfId="5" applyFont="1" applyFill="1" applyBorder="1" applyAlignment="1">
      <alignment horizontal="center"/>
    </xf>
    <xf numFmtId="0" fontId="4" fillId="2" borderId="60" xfId="5" applyFont="1" applyFill="1" applyBorder="1" applyAlignment="1">
      <alignment horizontal="center"/>
    </xf>
    <xf numFmtId="0" fontId="4" fillId="2" borderId="55" xfId="5" applyFont="1" applyFill="1" applyBorder="1" applyAlignment="1">
      <alignment horizontal="center"/>
    </xf>
    <xf numFmtId="0" fontId="0" fillId="0" borderId="11" xfId="0" applyBorder="1"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23" borderId="0" xfId="5" applyFill="1" applyAlignment="1">
      <alignment horizontal="center" vertical="center"/>
    </xf>
    <xf numFmtId="0" fontId="14" fillId="23" borderId="0" xfId="5" applyFill="1" applyAlignment="1">
      <alignment horizontal="center" vertical="center" wrapText="1"/>
    </xf>
    <xf numFmtId="0" fontId="14" fillId="7" borderId="0" xfId="5" applyFill="1" applyAlignment="1">
      <alignment horizontal="center" vertical="center"/>
    </xf>
    <xf numFmtId="0" fontId="14" fillId="0" borderId="0" xfId="5" applyAlignment="1">
      <alignment horizontal="left" vertical="center" wrapText="1"/>
    </xf>
    <xf numFmtId="0" fontId="14" fillId="6" borderId="12" xfId="5" applyFill="1" applyBorder="1" applyAlignment="1">
      <alignment horizontal="center" vertical="center"/>
    </xf>
    <xf numFmtId="0" fontId="14" fillId="6" borderId="0" xfId="5" applyFill="1" applyAlignment="1">
      <alignment horizontal="center" vertical="center"/>
    </xf>
    <xf numFmtId="0" fontId="14" fillId="23" borderId="12" xfId="5" applyFill="1" applyBorder="1" applyAlignment="1">
      <alignment horizontal="center" vertical="center" wrapText="1"/>
    </xf>
    <xf numFmtId="0" fontId="14" fillId="0" borderId="12" xfId="5" applyBorder="1" applyAlignment="1">
      <alignment horizontal="left" vertical="center" wrapText="1"/>
    </xf>
    <xf numFmtId="0" fontId="14" fillId="9" borderId="0" xfId="5" applyFill="1" applyAlignment="1">
      <alignment horizontal="center" vertical="center"/>
    </xf>
    <xf numFmtId="0" fontId="14" fillId="21" borderId="0" xfId="5" applyFill="1" applyAlignment="1">
      <alignment horizontal="center" vertical="center"/>
    </xf>
    <xf numFmtId="0" fontId="14" fillId="23" borderId="0" xfId="5" applyFill="1" applyAlignment="1">
      <alignment horizontal="left" vertical="center" wrapText="1"/>
    </xf>
    <xf numFmtId="0" fontId="14" fillId="22" borderId="0" xfId="5" applyFill="1" applyAlignment="1">
      <alignment horizontal="center" vertical="center"/>
    </xf>
    <xf numFmtId="0" fontId="14" fillId="0" borderId="0" xfId="5" applyAlignment="1">
      <alignment horizontal="left" vertical="center"/>
    </xf>
    <xf numFmtId="0" fontId="14" fillId="4" borderId="12" xfId="5" applyFill="1" applyBorder="1" applyAlignment="1">
      <alignment horizontal="left" vertical="center" wrapText="1"/>
    </xf>
    <xf numFmtId="0" fontId="14" fillId="4" borderId="0" xfId="5" applyFill="1" applyAlignment="1">
      <alignment horizontal="left" vertical="center" wrapText="1"/>
    </xf>
    <xf numFmtId="0" fontId="58" fillId="9" borderId="0" xfId="5" applyFont="1" applyFill="1" applyAlignment="1">
      <alignment horizontal="center" vertical="center"/>
    </xf>
    <xf numFmtId="0" fontId="14" fillId="0" borderId="0" xfId="5" applyAlignment="1">
      <alignment vertical="center"/>
    </xf>
    <xf numFmtId="0" fontId="3" fillId="0" borderId="86" xfId="0" applyFont="1" applyBorder="1" applyAlignment="1">
      <alignment horizontal="center" vertical="center"/>
    </xf>
    <xf numFmtId="0" fontId="0" fillId="0" borderId="87"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3" fillId="0" borderId="0" xfId="0" applyFont="1" applyAlignment="1">
      <alignment horizontal="left" vertical="center"/>
    </xf>
    <xf numFmtId="0" fontId="0" fillId="0" borderId="86" xfId="0" applyBorder="1" applyAlignment="1">
      <alignment horizontal="left" vertical="center" wrapText="1"/>
    </xf>
    <xf numFmtId="0" fontId="0" fillId="0" borderId="87" xfId="0" applyBorder="1" applyAlignment="1">
      <alignment horizontal="left" vertical="center" wrapText="1"/>
    </xf>
    <xf numFmtId="0" fontId="0" fillId="0" borderId="88" xfId="0" applyBorder="1" applyAlignment="1">
      <alignment horizontal="left" vertical="center" wrapText="1"/>
    </xf>
    <xf numFmtId="0" fontId="0" fillId="0" borderId="89" xfId="0" applyBorder="1" applyAlignment="1">
      <alignment horizontal="left" vertical="center" wrapText="1"/>
    </xf>
    <xf numFmtId="0" fontId="33" fillId="0" borderId="70" xfId="0" applyFont="1" applyBorder="1" applyAlignment="1">
      <alignment wrapText="1"/>
    </xf>
    <xf numFmtId="0" fontId="33" fillId="0" borderId="70" xfId="0" applyFont="1" applyBorder="1" applyAlignment="1"/>
    <xf numFmtId="0" fontId="33" fillId="0" borderId="71" xfId="0" applyFont="1" applyBorder="1" applyAlignment="1"/>
    <xf numFmtId="0" fontId="66" fillId="0" borderId="72" xfId="0" applyFont="1" applyBorder="1" applyAlignment="1">
      <alignment wrapText="1"/>
    </xf>
    <xf numFmtId="0" fontId="66" fillId="0" borderId="70" xfId="0" applyFont="1" applyBorder="1" applyAlignment="1">
      <alignment wrapText="1"/>
    </xf>
    <xf numFmtId="0" fontId="33" fillId="0" borderId="0" xfId="0" applyFont="1" applyAlignment="1"/>
    <xf numFmtId="0" fontId="33" fillId="0" borderId="69" xfId="0" applyFont="1" applyBorder="1" applyAlignment="1"/>
    <xf numFmtId="0" fontId="66" fillId="0" borderId="73" xfId="0" applyFont="1" applyBorder="1" applyAlignment="1">
      <alignment wrapText="1"/>
    </xf>
    <xf numFmtId="0" fontId="66" fillId="0" borderId="0" xfId="0" applyFont="1" applyAlignment="1">
      <alignment wrapText="1"/>
    </xf>
  </cellXfs>
  <cellStyles count="19">
    <cellStyle name="blp_column_header" xfId="12" xr:uid="{00000000-0005-0000-0000-000000000000}"/>
    <cellStyle name="Currency 2" xfId="9" xr:uid="{00000000-0005-0000-0000-000002000000}"/>
    <cellStyle name="fa_column_header_bottom" xfId="11" xr:uid="{00000000-0005-0000-0000-000003000000}"/>
    <cellStyle name="fa_column_header_bottom_left" xfId="14" xr:uid="{8D5685CC-A688-4AB1-BEE5-039D64C31F9F}"/>
    <cellStyle name="fa_column_header_top_left" xfId="13" xr:uid="{F86FBEFA-CE02-40CB-9571-6B54E3646F53}"/>
    <cellStyle name="fa_data_standard" xfId="16" xr:uid="{7D7F602F-63B3-47AB-83D5-40C66046808A}"/>
    <cellStyle name="fa_data_standard_2_grouped" xfId="17" xr:uid="{6368DF0A-D792-4893-9850-A670E7A2C191}"/>
    <cellStyle name="fa_footer_italic" xfId="18" xr:uid="{0A5DE919-D8C5-4808-A431-B7DBF1C38017}"/>
    <cellStyle name="fa_row_header_standard" xfId="15" xr:uid="{14CA65A1-5C3B-4FB7-9237-0CFD40D19FBB}"/>
    <cellStyle name="Hiperligação" xfId="3" builtinId="8"/>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7827080005605301E-2"/>
          <c:y val="1.2444568999010804E-2"/>
          <c:w val="0.81827696383999604"/>
          <c:h val="0.77530987711723032"/>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058-4611-999B-36A98E9EC690}"/>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058-4611-999B-36A98E9EC690}"/>
              </c:ext>
            </c:extLst>
          </c:dPt>
          <c:dPt>
            <c:idx val="2"/>
            <c:bubble3D val="0"/>
            <c:spPr>
              <a:solidFill>
                <a:srgbClr val="7B1314"/>
              </a:solidFill>
              <a:ln w="19050">
                <a:solidFill>
                  <a:schemeClr val="lt1"/>
                </a:solidFill>
              </a:ln>
              <a:effectLst/>
            </c:spPr>
            <c:extLst>
              <c:ext xmlns:c16="http://schemas.microsoft.com/office/drawing/2014/chart" uri="{C3380CC4-5D6E-409C-BE32-E72D297353CC}">
                <c16:uniqueId val="{00000005-B058-4611-999B-36A98E9EC690}"/>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B058-4611-999B-36A98E9EC690}"/>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B058-4611-999B-36A98E9EC690}"/>
              </c:ext>
            </c:extLst>
          </c:dPt>
          <c:cat>
            <c:strLit>
              <c:ptCount val="5"/>
              <c:pt idx="0">
                <c:v>United States</c:v>
              </c:pt>
              <c:pt idx="1">
                <c:v>Canada and Europe</c:v>
              </c:pt>
              <c:pt idx="2">
                <c:v>-</c:v>
              </c:pt>
              <c:pt idx="3">
                <c:v>-</c:v>
              </c:pt>
              <c:pt idx="4">
                <c:v>-</c:v>
              </c:pt>
            </c:strLit>
          </c:cat>
          <c:val>
            <c:numLit>
              <c:formatCode>0.0%</c:formatCode>
              <c:ptCount val="5"/>
              <c:pt idx="0">
                <c:v>0.98213508695932328</c:v>
              </c:pt>
              <c:pt idx="1">
                <c:v>1.7864913040676774E-2</c:v>
              </c:pt>
              <c:pt idx="2" formatCode="General">
                <c:v>0</c:v>
              </c:pt>
              <c:pt idx="3" formatCode="General">
                <c:v>0</c:v>
              </c:pt>
              <c:pt idx="4" formatCode="General">
                <c:v>0</c:v>
              </c:pt>
            </c:numLit>
          </c:val>
          <c:extLst>
            <c:ext xmlns:c16="http://schemas.microsoft.com/office/drawing/2014/chart" uri="{C3380CC4-5D6E-409C-BE32-E72D297353CC}">
              <c16:uniqueId val="{0000000A-B058-4611-999B-36A98E9EC69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84039414564704851"/>
          <c:w val="0.96682457589059367"/>
          <c:h val="0.1596061868739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8383734549246683"/>
          <c:y val="2.8277260805995564E-2"/>
          <c:w val="0.60998885134394543"/>
          <c:h val="0.73875878730872724"/>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DDB5-499A-B104-6F6375BDBB19}"/>
              </c:ext>
            </c:extLst>
          </c:dPt>
          <c:dPt>
            <c:idx val="1"/>
            <c:bubble3D val="0"/>
            <c:spPr>
              <a:solidFill>
                <a:srgbClr val="FFA3A3"/>
              </a:solidFill>
              <a:ln w="19050">
                <a:solidFill>
                  <a:schemeClr val="lt1"/>
                </a:solidFill>
              </a:ln>
              <a:effectLst/>
            </c:spPr>
            <c:extLst>
              <c:ext xmlns:c16="http://schemas.microsoft.com/office/drawing/2014/chart" uri="{C3380CC4-5D6E-409C-BE32-E72D297353CC}">
                <c16:uniqueId val="{00000003-DDB5-499A-B104-6F6375BDBB19}"/>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DB5-499A-B104-6F6375BDBB19}"/>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DDB5-499A-B104-6F6375BDBB19}"/>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DDB5-499A-B104-6F6375BDBB19}"/>
              </c:ext>
            </c:extLst>
          </c:dPt>
          <c:cat>
            <c:strLit>
              <c:ptCount val="5"/>
              <c:pt idx="0">
                <c:v>Food and beverage</c:v>
              </c:pt>
              <c:pt idx="1">
                <c:v>Delivery service</c:v>
              </c:pt>
              <c:pt idx="2">
                <c:v>International/Royalties</c:v>
              </c:pt>
              <c:pt idx="3">
                <c:v>-</c:v>
              </c:pt>
              <c:pt idx="4">
                <c:v>-</c:v>
              </c:pt>
            </c:strLit>
          </c:cat>
          <c:val>
            <c:numLit>
              <c:formatCode>0.0%</c:formatCode>
              <c:ptCount val="5"/>
              <c:pt idx="0">
                <c:v>0.97627660532623162</c:v>
              </c:pt>
              <c:pt idx="1">
                <c:v>5.8584816330917505E-3</c:v>
              </c:pt>
              <c:pt idx="2">
                <c:v>1.7864913040676774E-2</c:v>
              </c:pt>
              <c:pt idx="3" formatCode="General">
                <c:v>0</c:v>
              </c:pt>
              <c:pt idx="4" formatCode="General">
                <c:v>0</c:v>
              </c:pt>
            </c:numLit>
          </c:val>
          <c:extLst>
            <c:ext xmlns:c16="http://schemas.microsoft.com/office/drawing/2014/chart" uri="{C3380CC4-5D6E-409C-BE32-E72D297353CC}">
              <c16:uniqueId val="{0000000A-DDB5-499A-B104-6F6375BDBB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78547588479925956"/>
          <c:w val="1"/>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Inputs!$B$107</c:f>
              <c:strCache>
                <c:ptCount val="1"/>
                <c:pt idx="0">
                  <c:v>Fixed</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Inputs!$H$107:$Q$107</c:f>
              <c:numCache>
                <c:formatCode>General</c:formatCode>
                <c:ptCount val="10"/>
                <c:pt idx="4">
                  <c:v>355</c:v>
                </c:pt>
              </c:numCache>
            </c:numRef>
          </c:val>
          <c:extLst>
            <c:ext xmlns:c16="http://schemas.microsoft.com/office/drawing/2014/chart" uri="{C3380CC4-5D6E-409C-BE32-E72D297353CC}">
              <c16:uniqueId val="{00000000-C818-4D7E-86F0-AA705E8DA356}"/>
            </c:ext>
          </c:extLst>
        </c:ser>
        <c:ser>
          <c:idx val="1"/>
          <c:order val="1"/>
          <c:tx>
            <c:strRef>
              <c:f>Inputs!$B$107</c:f>
              <c:strCache>
                <c:ptCount val="1"/>
                <c:pt idx="0">
                  <c:v>Fixed</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General</c:formatCode>
                <c:ptCount val="10"/>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5"/>
                <c:pt idx="0">
                  <c:v>United States</c:v>
                </c:pt>
                <c:pt idx="1">
                  <c:v>Japan</c:v>
                </c:pt>
                <c:pt idx="2">
                  <c:v>Germany</c:v>
                </c:pt>
                <c:pt idx="3">
                  <c:v>Canada </c:v>
                </c:pt>
                <c:pt idx="4">
                  <c:v>Rest Of World</c:v>
                </c:pt>
              </c:strCache>
            </c:strRef>
          </c:cat>
          <c:val>
            <c:numRef>
              <c:f>Segments!$D$6:$D$10</c:f>
              <c:numCache>
                <c:formatCode>0.0%</c:formatCode>
                <c:ptCount val="5"/>
                <c:pt idx="0">
                  <c:v>0.61512468650708141</c:v>
                </c:pt>
                <c:pt idx="1">
                  <c:v>7.034162131430903E-2</c:v>
                </c:pt>
                <c:pt idx="2">
                  <c:v>0</c:v>
                </c:pt>
                <c:pt idx="3">
                  <c:v>0.23930456152255541</c:v>
                </c:pt>
                <c:pt idx="4">
                  <c:v>7.5229130656054133E-2</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cat>
            <c:strRef>
              <c:f>Segments!$B$17:$B$21</c:f>
              <c:strCache>
                <c:ptCount val="2"/>
                <c:pt idx="0">
                  <c:v>Launch Service</c:v>
                </c:pt>
                <c:pt idx="1">
                  <c:v>Space System</c:v>
                </c:pt>
              </c:strCache>
            </c:strRef>
          </c:cat>
          <c:val>
            <c:numRef>
              <c:f>Segments!$D$17:$D$21</c:f>
              <c:numCache>
                <c:formatCode>0.0%</c:formatCode>
                <c:ptCount val="2"/>
                <c:pt idx="0">
                  <c:v>0.28741856061474413</c:v>
                </c:pt>
                <c:pt idx="1">
                  <c:v>0.71258143938525587</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0</c:v>
                </c:pt>
                <c:pt idx="1">
                  <c:v>0</c:v>
                </c:pt>
                <c:pt idx="2">
                  <c:v>0</c:v>
                </c:pt>
                <c:pt idx="3">
                  <c:v>0</c:v>
                </c:pt>
                <c:pt idx="4">
                  <c:v>0</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#CAMPO!</c:v>
                </c:pt>
                <c:pt idx="1">
                  <c:v>#CAMPO!</c:v>
                </c:pt>
                <c:pt idx="2">
                  <c:v>#CAMPO!</c:v>
                </c:pt>
                <c:pt idx="3">
                  <c:v>#CAMPO!</c:v>
                </c:pt>
                <c:pt idx="4">
                  <c:v>#CAMPO!</c:v>
                </c:pt>
                <c:pt idx="5">
                  <c:v>#CAMPO!</c:v>
                </c:pt>
                <c:pt idx="6">
                  <c:v>#CAMPO!</c:v>
                </c:pt>
                <c:pt idx="7">
                  <c:v>#CAMPO!</c:v>
                </c:pt>
                <c:pt idx="8">
                  <c:v>#CAMPO!</c:v>
                </c:pt>
                <c:pt idx="9">
                  <c:v>#CAMPO!</c:v>
                </c:pt>
                <c:pt idx="10">
                  <c:v>#CAMPO!</c:v>
                </c:pt>
                <c:pt idx="11">
                  <c:v>Others</c:v>
                </c:pt>
              </c:strCache>
            </c:strRef>
          </c:cat>
          <c:val>
            <c:numRef>
              <c:f>Industry!$I$28:$I$39</c:f>
              <c:numCache>
                <c:formatCode>0%</c:formatCode>
                <c:ptCount val="12"/>
                <c:pt idx="0">
                  <c:v>0</c:v>
                </c:pt>
                <c:pt idx="1">
                  <c:v>0</c:v>
                </c:pt>
                <c:pt idx="2">
                  <c:v>0</c:v>
                </c:pt>
                <c:pt idx="3">
                  <c:v>0</c:v>
                </c:pt>
                <c:pt idx="4">
                  <c:v>0</c:v>
                </c:pt>
                <c:pt idx="5">
                  <c:v>0</c:v>
                </c:pt>
                <c:pt idx="6">
                  <c:v>0</c:v>
                </c:pt>
                <c:pt idx="7">
                  <c:v>0</c:v>
                </c:pt>
                <c:pt idx="8">
                  <c:v>0</c:v>
                </c:pt>
                <c:pt idx="9" formatCode="0.00%">
                  <c:v>0</c:v>
                </c:pt>
                <c:pt idx="10" formatCode="0.00%">
                  <c:v>0</c:v>
                </c:pt>
                <c:pt idx="11">
                  <c:v>0</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formatIdx="0">
          <cx:dataId val="0"/>
          <cx:layoutPr>
            <cx:geography cultureLanguage="en-US" cultureRegion="QA" attribution="Powered by Bing">
              <cx:geoCache provider="{E9337A44-BEBE-4D9F-B70C-5C5E7DAFC167}">
                <cx:binary>7HpXk904suZfUeh5qSbhOTE9ERfkceWrpJJ7QZSkEkjCkCBB++s3q2VGrenpmbt3N+7GxtZLxSFo
kgkgP5P868flLx/t40P/bHHWD3/5uPz6vIqx+8svvwwfq0f3MLxw9ce+HdrP8cXH1v3Sfv5cf3z8
5VP/MNde/4LSjPzysXro4+Py/G9/hbvpx/ai/fgQ69bfjo/9evc4jDYOfzL2h0PPPrajj0+Xa7jT
r8/PHroH//zZo491XF+t3eOvz393xvNnv/x8n3945jMLYcXxE1yL2QtGSUYpR/mXv+fPbOv11+EM
8xc5Z5Qh+u2ZVw8OrvuXYfwWxMOnT/3jMDz7+v/7Zb+L+PvRemiLLy9btE+xnd389jK//D6Zf/vr
Twfg9X468kO+f87Fvxr6Od33vo6Pn569jA/xcfiWgv8Nac9f0BRTTjBPf/vDv0t7kucv0kxghnPy
ZVbIt2d/Sf+/HdYfT8NPl/80HT+N/jwt9y//+6fl8Ni7B79+S8p/fUJo9iLNs1xwln5JOP/dhGTp
CyxSkXIhvsxX9u3RX+bj34jnj2fi+4U/zcH34z9nv9z992e/ePAPnx6+ZeC/nnyGXlCOc8FS+iW7
6HfJT3IoUqnIUkHR9/EvBfBL9v91PH+c/G/X/ZT7b4d/Tn3xH/+3pP7Z/8/9b8D6D5X//ygWAILH
Z9efn71pe/vpX83An0HSPx/7DtXlQ3zY/YbxPyDWn49+g7qfLv0zqvBlE50+/fo8Q1DRvjOHp1t8
ve7LDjv1D+HbG38//fFhiL8+J+IFQ5hC7cw5geqJxfNnM2QKuIV4wXPMSJphxjPBgUL4to8VjPCn
csqY+DaYP382tOPTEALko4IykVNCGOccf6dTN61ddeu/Z+Hr72d+dDdt7ePw63OWsufPui/nPcXJ
ERUMqgbDRDxV9zSH0tJ9fLgDzganZ/+Dx5FaNaW+DFVSb0XfD+yoPW1xsfl4qlRtj6pVQ15qHgiT
3dLP1ZFuuqnueT5Pi0yXila3PAvOvEqhRsWyFb7vDhlkBRV6aDsq02GI3ZWLad7suV+1PqTzsOh9
HuqKnVWeOn7GtgFXTJqhx+H9GBxZ71TbdWNBkya3Z403CXlNVjsMVnqhI5GRuUwcKltl79LFKVO0
Zky3feyTlEnFZqsuRz2SedfnaA6l7u2CZTfaNJWjGZob0Q+2ln0dfCPzaBO7010/rveVg5OkWraN
yTR3LZyz2qh3OZ7V54YxHHYMs7E9TOkaGSmmyXThko6cmNsQu4XcI0VGt1tDiJFJ1tZtkpYckXk+
o1pVq3Qd46RokKeNHMd1IuU8cs0P+bpmr2psEyWnivu6RMaMV8nmfdip0YyVxMtaCYi5Wq8Hu95b
Q1sme+ObB9Et03XWNNNa+tFgL03s8VwInrSfiJqTczuQRhTN1rG2yPBEaaloiuoy+HZypWB86oqe
1lm1HwKjFJJRN10ns60l3UFXZEt2M7zoPQmZ3SSa2vxysg4NJ9MYE3edSEb92To+olexS8Wwx1F0
olhHq5ZdEI4HqaahHospcK8lV/l0OWtMzJ5G0q9y0QaWk9ajC9LkDh5NvMbVzg59GopFD11zotHr
+14vyVZ0eYbdTmO0bbJTk+BFkgzqruIxHYvABZt2IrfikzI8RTvcdL4phxbH6iKsyN9VTdxswQNW
j4tY19duVX3chTGJ27HJ8zUUvVsyVxKTtMOOUIcqGBXvdJomR2z71B2UF6w/yxO+8APTDJYYGqec
yXVaTLP3RsADHO7nfc2Wais9X3R2EksS0hKrblvKMdssLLEw5f1+9lbcrTPjl3jpulDmLXJrgXVH
KjmuTTtKPw9DJZGr7LWt1obJTYXwbuydGMvMry2SlJjeyYa6EA8Lj2IrNNHpKIdZIX65gkZby1aJ
3p06N3UPKOW0KXCm42dRj40uKTVLV7htUG9YXLmSYsHd/VbRcSgU7bKksFOcr5qmz5XsMmsqOaxE
XZJMC3pb98pURVJFimQnmlXJNWiBpUNrQ6SpJvGQZ3qsSoWXmct2auun7c6Gl2li+2Y3q57kpY2w
yPYTittaNBiqx+U8zsMkTatqU7ouoaFoWEvu84ajYYeF6nUx9Hno5Thgh/f9kAhTjvO6fFQorXRZ
9XQeZFhIvPH1GD+YzOWfOhL4WqTpNF8GWAoRsmtYLbtEZ62k04bemIYpJLVBa1UMvFvfsTpwKnVS
M1jUFWM3Nq2mtpyZ4lo2W66gFtJuGKSxzTwWTYfH7OThzbqC9U1mJHVVqPc2mVOybxqIQOakc7lc
qrhd1eOcN0U9eoZlMpg0SpzrxZcUVYmWK2G9O7pWL0S2UMs/EhuiK0I2dr6o1WSbIg961mXbDQ4S
r3M/ygmqx5UlLYd5w6hX+zqp3V5XDH0I1LWbDDPBb3mbs0yKbUTn60x7LDcfhjuieJLICYrOKmmz
urbEDkph0aUIoZ1XIruzqGZlbUW8G9JhWgqN67k/NIuJ8KqIKytbkm3HUTU8l2tqw1TkqRBZQbfR
VqUlTr2lSLdKesgalsjgrCoIbgdd2EhgzeHZJCckNlyEept2qKmuPSBVjZxkmapqievqvltrfOK2
k9WGmitc8+kCpkvv1pjeGqrn64o3pTadlZ3V5m5h5Nw2IdwY4e8sGerr1fHSi+S87auXKsIi6Gt0
HtfuRs1hk/WQkIKJ6QavdOfTcMYM7bWcdZe6Aup/e3QV7roiZVk5dyHcKtqekT49VXqry3xwtZZ4
eA0YZyAAdce9aO7NOr/u9FLvUgiCpVVh+nH8pNPlkDn0OqX0pOqKy6Ey8CDFrjOlDianH+ZtfsVj
wop+WmFGFOqOE9tgy2bmcguN2pshOdRb86Fl5n7gbiySMZ4FNJDHLlv2KxSTy8hFcrbgIW7lmLrm
LdH1Ilk1rUWcBn1ic/UqwB0yo6iW2yoqXagmxVauHta7VOMYjlWPr8yMMtljVriUnAPsQZVrUTk5
ja7ROok9rh1TMluN3pGJ6lKhRdzmnqHjthkGuFIlxULTB843U6y8NY0c2rDXtT1Xc3sWJ+cKPNWS
DOu1rd2tjeYimdaYyLmn5tPY00uTuOZ802655R4QhYXFlHCjmzlZrpqxHl+5qWVl5tbkSNbmfu5r
fwnTPknBW3ahzICKCmrRQXitZRKEvzYpua18Xh8mylZ6yE1/QD7hx4SY++CsLRUH5K1tVZemGc8R
Ua965PJjIOZS5Yq8HKYpCFm57DYbkShmim+XPuTSidm/p6iHZ7sgblQCcLKxdC18BKh2qL+KIu9t
YfIaDyX1Pr6c5s5/pnxtL4hos4OZqnW/jim7jMnSXqf98Ak1Gp9C4st29VB31sQ4C1tvyItqCY9D
m10PqEHNzhPijilwx5esm600S2qlG7yXaz7WN41eJg2byk5Xbah42VXOALrGTktRzzemy02Jq+pV
v1Rv0i4mtxlQ1SJnqN/VdfdGjdMk7aw/WhvfpzgApWFgqb1MdNq+YgnFexUM/sQzdd+kbru3LjEy
TQnwlw1Ju86TnEk97TI3H/CUhyJU1hx1h99boBJyGcmnMTEF46kMQGR3da6Tl7yxgHqTZSVdxSiz
Rl10KDWnJa4QPwfOWrcXJsz0ym7eFQgvl0PWw26uaN4cuMH4FEl+SgwbZA7Y1Xq/ndaka0s78EbO
yO5Fxu3NyDT6RLG9U/P2dkXV53pMptskmddXiJrmvY4hU+Opok2GipqGrYaX9x06hJYM/tS0KR3b
HRRUlAXYzl59UOnapTcoQ5O5RNk4CV2IaBb6Oeh2WxxUwZrgclYhwhyNZBju+ohYeoZcP0+4INWU
288qJMhyaVQ/xx0HqrB15dKmjfdXoRdV7vZ25hMHeDXJ0H6cRB+7etfGNVtcCZwAe3NFt2TESppQ
O3fWduu4aGmRy2iQQszO3DYVjuElrpdkeUed03zezQ54FD5j6zbVzaFyVZuRV71LMtTdCObSxVzo
tk69vxFIWDHcTCZHpnlQodfBlYOa1Oc0r3jtZMtbCGno2Pye6GaRoRr6rUALy0IpJsKWw4g7dtfk
M9DltDd2zzoxA5CziYr0qk+aBN83XnRvMUZduvOoytI3XV2RxP/OIvqdavoIL9rXuvrqQ3//+bfL
b+b2b17q348/Odl//3XdPfqXsX98jJcP3c9nPqna76f+XYg/acnvOv0nbfrFE/8nwvVPB/89VUvT
PxO1RetacPR/1LVPF3yVteQFxRynIEBzRLnIQDh+kbUEv0BgliOeMpQLmGhQzl91bZJlLzBjGYPh
nKYE56B5vwpbWCQvCEpBJud5ijA4v/Q/o2wJyOofhK0ATY0ZTWnGCYL4WA6R/yhse9hzaW2ATXV6
7IFlJ3Q9xkxsd+NWp3c4arpX80izHcnC9DH1qZHKdO4l8gONu6ZPtxNUhXfWetiVRPe6AroG7BW0
ctUW1cYqqBOTa2/U0LuqyGnFLz0AdVtsgsVF0kGPr2ZK1WubzXUlJxzt+6737qL1fTuWniQyGV2/
gbImyyXI/Xwrm051l9akUGwqTl6O1hAuQUOXtavuA1TUN8mM275IbUdHUA4ZO6SqWXTRzmJnxKze
1LT1H5e8Z0nxw9z/gVWAnhL2d6fgKaEUIwymOwOrMccIHOAfEwpVJVutW6msqc1ebe3Yn1EigHkG
M4vbdh2yT9HMdsc2sg3FHOclLYIawl2eOfNmNfn8eQt2O24qdpl0yjEvyVa/BABd5rL1ZDprKkvx
0cyb/hfB/97l+C12QhkBq4NnWU6eujU/xm6TTduweiqxX7rdnFN18GhddiypxS40dVr+ebKyp2T8
lKzfPfApoB9sFazSquKzpdIxIZMmvXZAywE4JR7J7Qqat+cUBO4iztIR75PKX9jNXlmLznq1vkFq
2g2iLxYzH/88MOiL/ENcYCMLAXuP5wLj38eF+mGZYcFT2SxKgYJ07VliFnX5v/CUDHEKvhJllP+0
VLpkCAPnYPzUCY0XfZ/1u4DH6V9MKv6DJDPA/TwFI4ykFP+0xTE2W00aUNy8EYmTdUuSCXSp0ufI
zup1NVYZkjUK65uU9enrnrLEy5GlzYPJ9NxKTk58nIgtsW5z0HBxq8rcOfOYIQuChGwq223jwqrd
Ipa2VIaI7sjVUlTddOxQPl5neHHNrrG6eznZwb8NHfhZK3X9UFAFflKN2l4GDwpWbmjwQ+Eze1rS
CVngLMt2wh6zSv6W/K+m6Ned+sXk+xFOfkSX/0fhCub/n1uw/9G7R18//IhWcP5XsIIGCcY4FSRL
GSEUAyR9BytCOKU5plDXchj6DlYEsCrNMiSw4IRmGQeE+4pV4NwKkpKnjhchBGOa/2egKkvTJ5f1
7+UCkBLkIUkRyTnYwDkTT9v2h3LRsyGuCR+bneh9vQerqyoJy6Zdt1W8AB9YFzQAZMmax3s8O3FA
jr0nmJRNbS4roLHFwl+7rTnptXuDV3Y2VPqct2tp+uwIPuCx7cJxnmsiV7yQ/UKU7LV3r4EeVuem
6U5m0HJwuSpw34Nkymv7HgR/vEr1sOd2u1WsUyXyGJ0tJrtMF/2QmRrtaN/KJFtGWVEwURe+fNBg
2kqS6LZIAgLpW7mXQUzHuhE57KXhdbLWuiDdPJ9AKaCbqs8GabftLkZ60JNuLmvixR1r3Hg7N1tT
pECEd8s0ZEfQUVEmrN8NKmmvx/bloNr7lHiJSZLeIqPBxAnNCAp1meSi8lkOtTtF07T7RoHI8j3L
74e0u9aqo/vcmatuxPG4Trrbbwu2H4Yp3QN5aU4THzfQcOBAZB5sZZfUp7lZ3wUgGuCc2qHY3HIx
oQycuWzYg7WT7209g+cmFPi5mx7Pe5ODKSnuBwKmKXcRfK7mfllRf3R4ym7RMDKwk3Uup7AUaE3u
BvWundZJ9gtw46kBGZHmvEzjeoobfwMF9RGDuVj4JEdANSgpQ+fLmc+yTeOBzvitd5MGTb29V2B+
FCBVKwk+Yi89HV+i2s+S+0G3cmn7e55SL2lic9DBMX2bMBwBmtL7XFynorpa41QyM7z1XX7XM3aW
Z2o+9kxfsDh0BRlIDyat6mXjmyKuaV+QuQ5yS+b4erIivxqG1O/TrXvvsjh/IC0ajj6x91PP75KY
V1tBm+3GNYC+rdgMAGRVyWwBCeASdIGGZS0xR5BHMNvipvgFCMZeKvCbd9onN5lqHn1uD2ZdQKU6
doZbN0gBtVuG3lyp1BZo9kvZmPFDk75u++Z1L4yXqBmnD5WfowQfMUpoYzBJwqyukVZg06Yu2Ztk
Ho58qabX07riM5Kn6y7Aktz3xtx1s0iKIKy+wd5VZTNxWoTU0GJks3qsLayYWi330MPFu7oBfwRj
uxTAS0Ox2YSVwm/oqOe+2nVErXfQyg1Sp27Za2t8ViimiUSibs7zsISPBnFzOWVoBwQJy3Fqikmd
eFjzSzuwGjapvd9wxgqoX09e2aHiOt5uy9i99QBVhSWpvecT+LOg0GBxQlugWK2AhUJd4bF2JU3G
u6kX0LbQ2pcrD+6WovVDTsx8KUjrzqZl8GWaNfUu6WLoCmqjjfuePTnW6zjbMvU8XILkBXmm0HA/
1qQqZo2qM86pf2Moym+GtAoZeKU9288gvGQz0PFjkiTuuFYLGJd9Q+3l0k7bLVTMpqyzCN0Bwrfm
PktUdm184FMJxjyK0oE/+bRg2HJnqma5jp7N5yBy/R0n2neSryKAyQw2cCXrWdfFqFjVy6UZtwO4
uXQ3Bz7f576CWjVwRd4nS1WfjV3oO2kmDxtp1FsOxkvvEOzMHj/UWug3Pe8s3mcraYGPxW2XrY0r
1sZUR5QYWPVELO40sCWfpG/TfJctQ/XajfAym+CZnKBZcMHsujKJFaS+bmp62Ygw3yxo2j4OmC9F
bZfxtNE6fmgCtJqMj2oGn8fnp6yFTTwmwXwgI8+KyPvtKlsS6AIxbepedhtTlz121X6jY77KBLHp
tc9gpw60h0zqTYEfRjYusdvIPuvaDMKct63EuM/O+3Fw5QTve0pDtdzibWF3S0j7c1LR+THkDLzg
nM/Vbu27p0aYX+953SWneUWLK3hsYVeJZuQFOFCf1qEKx5SPwPZwqvYum1FBEpEDtW3Cuc8SXjoo
xVeIJuIt9MDsLvFxPtTzk/XWzVR7YMngLyPr1EMIekXSETu9b2YmrhHS8RhMNtxqi+Z9RSd7UFDi
ChS0LvSYdfuKVfY+hbvvxi0bT4zOy9nWGXBEAVcPPSWLL5Y1Az9xdZE+urzJLsbK+PcRas0mXVbX
pbM03Cc+HwozISHRoFK4eS6ryq8y7Ty7iGIZLtWQVODN5CuFKu2ROK2ObUXebr2s0DgcKNj5hwpB
lw3MPFospHZgXbWkKsdEo13bbsNFayroWk0VO09bPr4RVb3dapqa21rph6iqbK/XCTxSCyLAL63f
L2NDyqFLst0SW/42mGr4sCZ180pjsZ7hEaHzHPT4riVzMHJd5m4/MtqdqmzUsPdr0x4DdCf2Q9fZ
m0SPYt9u03xFw3xPWR2PoPFp0XFF5cqIuwVKxMvYzDP0kQh0dB1UO9tN4cKMK7RGTcbLat74MfXb
WEIHKjmKiqO9Ni1+v4I0LLTewj6BDuAeJ+pNEHr9TFzmLkbkuh3u89tkcdM9TVgqh2HYL3jeZW18
pxKA7W7NK5iMvZr8cppUeurx9FLXeLfiUO3BjJ4kEx96H3dbbkujeGky/6Fd+BmQcSNrIPQkDkgS
lZVdx9sid81Qgs8NRmsA5p30SOyZpodqYm/1hBfZskldQvCFoOPbAax1RZaxzEe2HEWH7OM0bObO
I9W8jsvaQqOpHt4qxiFhib92K0sOscnwJdj66d5yUr8Ry5TfrU2E1nea013L5rwgdTVL2jbpGXCI
O5KbwszAt2qKD2zxu4wnU7k0/NqRau96UWywGUsz10i2Fdtbltwx1yu5BHJXJeTdmibxLdXNO5cs
2QW1oT7WQLS68Qh9gVLQYU+iHk9WqLLD0Ar062z30a3Q6qm60xT05wQsuaoCQA6egyU7aix9pWIJ
1nDBSHMk4MHvBzan0MgJoWCB1jtwr1/BN0gggxIOJMKonVl9MbtOyLCGRwH7Ns7hbnEvRz4fBWHv
8trvKoyv0slmcmF6x7d17wI9jPmnpV3v+t64XZhBxeVQ9MFeMQDk81UluqsRSNdYC7eb0+lmACQ1
zWT32g8SsPUQA9uBwAURPyJe1kTw89q6vUnXEfZufp9sW1Ygvn5OhzbuJmatDBNZSmT1Agy1qUtK
+DuB6EFMbOeBRZ9RMMKz2oEXi2BwftmBqLOSoy5cEYz2HV0+L2y9H1O6lQRlG3CjTkINOtCEDheM
OlXWEzSD/DSMR8RYDz0JlB9ojaBTSsfkbRqz+kD0DHAz6MPm2aFdabnlK6hNbbZjkm70TtT8vBvG
uRiIum2RFa2MOE0PcaarHMl0q+qsvdZU+DM6QLp8V7eyXqEL08dYuAoKuoBGLJ9LtIqs3WXBvtqS
tpJRtevLFcUJFvwI5K3SF5aDVZM02yFP689xMbTUaGKn6JtErrYVBZ89fPaxZGDTe7a90fkiihzz
8bJLm3GUG+gQzMR5njTiGHPNz+nkoLNgRNK+mfskSr24+UR7Yc8g9O048xGf2r7vD33vkwLWrrpP
VdYWk8359VhVsWiEac966LuWOVoSaEJMiewCTgrateSgbWyhnFbXPG3TI7MR3WR5Ml1ink+P0EYL
d8rT6i0BeNujmG7n1ukNWhlMgPOWpIBpfllfKWFDt0OTdtDqCHnBDbjP8FXGVCxYESDSS31F5kmc
DashBQG3Rg5gfxnJeDM9zl6Mh2b0i1RhuwlbMNDSRz67avModrzrmrNZqOy8xUoVHej/Is4pejOi
zVwgy5obDxwLmvYxXnUd7XYRHCLZ0bW55W3DJYIvQN5CCRDvR2Po+bICo4ePi8ZzESE9M8Jjsa7m
Afro0BdxiT8SHpKjDjM0XuMnp/1RMDUWY5e9Fp0/NFW94+iwbvUbaLmfie0zdDYLLNBncEhnGbuQ
yRF1Oz66iz6qI7SVLhWCQmyWuWhadYAPGaRJxKvopkdg28OpzaoM3JP5XU9Uve+beF2ZmxWavRkD
PjW168GF6mmbrqYpe9VMB2he+EKJTZxUbns59ICr02ymazY6oP/bVKAYbmycIt7pfAMXsdfzkXaL
ftvaOp7NbtO7qWnFzi70pq/BUIXPbQCWwWcrm6pNXk3KNgqAgelP4Pt2u/Gpw2nY1LbAwk0HCsbx
Ha43e1uPFbuuk+kV9a3Fsk9wRmSPMHxMgUg7SxfhKwhlQ/gw4nHY5R46vW09hLdDkqeLxK3yh25Y
6oMdxn4XoXH1iBw06QffKVgH6zxckARiMx1Vl0nXLPvG6PZ1Z7i9QKG9N2kTXyITljJkiUmk18tw
AZgIYKFbcTYOM+i/jOHfPvH4n+ycy5akOpa0n4haAoEQU/C7h8c9MiNywopTmQeEEBcJ0OXpf/Ou
/nt1DXrQ856ek5HpTqCtvc0+2wUGc5/mHmTMTODQNCn5FmYlMWo1XY5zPPGd4mQ8sNnyvx1PowNf
obPjazFxkrkyR53bYp9NsjvqutcPg5C2dNm0wsCxwzlf2vFHhPkWitSYv7mpXkoTtu0kt2U7LvAB
D52o69M89PlfkV+aazMQ/ZoAV4NPlsbXrZ9bfdky1R8Z6sY5Nh00XD/N59myT7olR05gMVNCTb7L
LJx6E2morkVnP+HPjq8LG8N+VSntMdgYYysbrxEm5i18h4YbvdMyp49tp9Cf09yjMsvtp0GlOETa
TGhTtvpQ196gjduGDT70spbRgmaynwR/GNF/YWK3k67ytv+5smK7n9D4K+LoY8uxgeMf1cKbSicp
xVBW2+5D4Yq7+LRfLy1X5HderyouybIWlwRX9FWFzMAu0E30uJF63Ne6Tv1egxi5KNffmM+nP8nc
/0kn3ZVBwwOV+J8V7fPhJma2XYweur2jCfOYDvW2g2rvD0Oio/ci7bu/RVfkFcmbcARpkX31o8Jl
EC39y9AD00iIEfsVYM9Hl6QbK9eMDZj0ug3HXMG8QH9GzLGYNyvKIqzsS8VhRgW0Q/fCarQVJeyZ
PZSjDU225dCbINtf4Pfb6+iW7EQ3an9NpEF5G4mXssKDWn61yfRHkjV5ni1tjmlazDdgUnLvGvQg
XaBgwoYpFXgRWntjPPM70GzfSRO+tqx+BmSAYhmN16U3O6/W/P9ET+RX7ohmCq3yf1Y9q/b7v1Db
//+n/6V5JvQfd1Kf8wzqJuEJgbL5L80zpv9Ic5YA96LgPcn9H/hPfw4/k2Ykx4+hQsSM3XXK/5Q8
83+kd/G0wH8rgDgSzv43kid+9N8Vz+T+sdK8wF+KWEEMR+nfFc8xsBUgIbvA25+jqeRxjTZBR20x
nTnmn4pL1FRSAi8CV0qLscVoBHc98AJy0QqkAIyDDMU7kLIsPTFmJnYQChfONeBeJtdx6ObXJA/B
VqwB0Hfo0jmr71JjtODakEpgGNI4ch8YkYqlAtcVJyiy0N7orpmaDOPX0jMvfcVWMV6zToO/O2dW
4jboaNDRzjGynVLR1GlS9bNcVDlBCitbPg7PrZj0cVBkheSWkqMRlLZHGyUQohqKI5sOHiLbrMpY
jaR5dDoayGOagZKwJT4VeRhYJD8DIEt1kv0Ss08+9O13s0xhF7llCzD/huSZJSkuKK+LUT9OObpS
3dcf69B69OOqzrXJyihkcfST4q/YyTzy9NWuKujHWaox+oTYWzNaNUXz2qnhbjnhg05oK4ZlnfsH
DKcqa6u6UfRp0C1vX0nkVzSzXR0P028nsu7PPEekyyq+SfTWMEfT5q1piyV7zSKdDl9To1HafGhp
NYG1+Q1COKa4mPX4VwsE7++l9ykwq36FH7zXU8+ewPiSk6mnDjoHrZU4GLTON66G0D3B43MGfFyS
PM1G1NEJNmyEBqAZYv/BR2L/dEksp5f+rv7IsllszvdJ00zvsyjqi448RFXP2Ymkm3gZgpUnC1UA
bZPHDWs64/aiTlr65q2CVFzmeQqJToi8GUTZTwUr0ipWWhW3Ym4LqL2DVYUhpRugFsxl2zsFbqNp
czBRIy0sJFsG3mCs/AIbCpgd5XraUJWnogUuiAE5LLt8qCc830ZlPWp52ud7B9WUX5fGtvEOTrnz
5wZJNLOfRsui6yoY7lpXM/6cAFhbL8F1XXth9TTX5Vwv67Yz7broQ83ztT/lWs7D2Yw2+wFGtalE
BPR0HJ05bgs0A8zEU77tycSmB69U+xgpZQ5LljIMuoVWjytt/ABBPUS3uo1yfdh6ijFC+07vx8zr
k4vH7aVpJ//UsTwDs+xd9MjNDAV/HOK8ciYZgG42ffMjjtCtJu0IyKQdcCT2xqvomG7rlGJc1/1b
MgJJKtulnc/TnKQvLsmn72Zo2FeNV0vfcWaYAqa30wimMATIEkMT+TL0I53OGbRZueNCtlFJaQEm
TBggMA/dKpefrM7ad+fn9JFLPGm9JXCnlzOoHqPmj2VF1+V+t7jfa6jS9ZK2uYrKeYlwmmyFczkv
2z9RFVK67mug3YAaXUdbaprdpNyK97O0RBZ9ciw0RNj4SGFduHzfxrYJvwD8GJtcW5OS5a0w3QY9
ry9aRqqpibok7Gunw6jOsjDDOv49aUu3biojqBstuGW1CvtA3AA+ICunkW962A/FYo0oXU9ooa41
X+d4wZgzO/DTNnZLetCDJrj4Ia6kh6mwkM1hE+Hhl2Eh8r0Gb8jjG7Ums/aHqlvuwRdxncM0zaa2
J0cxmAisJRjkBuP/ltQU2umwtR/jfQibyiEBLfidFo0ZfhQL0NWvANxUvnPYr+6wxuuob4VchL6x
2gSxLyTsHmChdh3WZw0p1pad7uCQghtQu0HHwIJruLTfK/jUBkV6zk+qEOlxoQ1UkJGoXy1+uWVW
YCy0ePq7NuunC9366I37wVVD2yuIclCBDsyhLvgkG2QJMGy+hWzWFy4Zf22Hudn5LbC9FhDSS8f5
Gh2LlQwQ/635ohTapdJJocuIQt7aLFQFAbKbI8cwxEeniv5H67P8qVk8jBWMocU+GQ1a/6XJSwVw
4zwgTvC0grarrE7kqWaY9DHF8TOZLIDQ2bvs1+ahnS4WZoJabdgRsKInDaL4oUA5j6DzBP8udda6
quhBpKguo7t6U70tk8Ql4BJNrsvUJ8Uhpbo7QmOIPzKpXgOBFzI2ar1MK/mbpVH8nk9AecqOgyUf
tKbnop2GHz0YcnX1eNbHmuZ/LbGc9a+2QSW+rB0wxt91D/76BnHBxXvZgdfC8JubH5Cu266SIy7b
LzCefBS7YUBktgXgDBjc6T5tfkthum9Yrkn0ydwqmwc9yIFDvOuieocDkuyoxStTmibBzF00wnII
ZGZ4cbmfjkKT3pfjyoZHJoMju3QAtAB/BOGRg8DMuZUxafitFwEuRSxRS2fll2OXGF9BBYHQ1BQd
/JpC+eclA5Cyp8NKip0zsivObO57JveAW4FeqFHBwmyzKhTbfOzpxH9layA7wNFwoQhO54syc/5Q
d5K9LjpACTWyaDRsx8H91UfUPggqp2+LUAKpVrHIQw0+cNqHzMs3d8/5wIxol++NEfzuT0OLawa8
uJAwABCdaR9r2dj8AF165sdaCH+lPUse1IRQctk1mHR9HrV/+5A2/mjCoHHo22VF6Of/uIF/tdBx
Bj/9f+6hb3g5ISL8GzrwHz/yr0YawNA/gDslBDkpEhf/DR7g+T+QUI4R4kL55nd9/b866Sz5R5wW
WZHHLIeff892/WcjDawAgCJBA4wbiN6b4P9NI53E8Z1d+m/sAP51tOUUbBPL8CkQ2vj3TrpeojGJ
Sa5ubdoicAW9npPKgarq7walsTcj1b2pZdOs7IrjC1Vth9evHdHx8CSaPrqxsOQPa2POn9jEgIKv
zNu/kjlW+bcsauhsslMp+5aTsXE5znQLh64xIVzM4Kf1ue8yORxkkeqdSTTcEcyq9ZHMHbF4e9sF
xRxedBw/e0mnpZI0MFO5LRLvvclo1cGGUO/3jJh9ZksCRC7CGPwK/YGRc96GXsD6leZlUX36Qw59
F118kXXjzzR0VDU77lZziqI6S7u9jBRgm1UVOYVEYsHf3+JGZ5gQZLocaldAHZ57xxwUEpgqzVsw
aY7aZXH6frMp4g9JFyPNYHu6UgSW1u3a161V+3qL+xW9+bAMN9Ordby6DTE5XF4WQ/IpWJqzqwKE
GiAEjGr5VBYu7iN6YdGeE52N5tTEU2J+y4JOzbmF3QXPC07qryZMkGSliOxTPFJBKj4Ckf0I+Tzu
FMmyqUr45P/JUmuOa2buIYHFDlXA9P9uyZLPB66aaEfSvj/PLXThijfZhGsGE9KQVB3CX+1OZnUT
/QGwvfmyH1C6doNcoBU0CiWlFMEm01AywTOOl0LPxSGYLjw2y1pDVsEcSR/YZiExVK6NBdlPJvMO
bqVnKyRO4Rm0tyjoTR/GIYw1Ci0+6YuiwEYu8BH6bSfnJMIF2/E9tWP+ijc5CgfZN/PynuROpvPe
wyZc35Ti0h9XnosCaqv1o37O+NSMjwuul/vLsmwT4gQtBR0dl0UDYXDERzZ2eew5ghA/ZxRmzCNz
XSw7GBAJhzfF2oKcEMrj/PfWgOM6I2zjfHbA1AJferOe9oe4A8p9YJHK8t1W+MW+qoUvDyHebPoV
402gP+1EZLvfYBKvyWFzSKrB2I1FhmZskwn9SO1K5GU0i2K7ooZAjSjRUKszAmu2fc5jRQPefqkj
u0fmLpvRQjWxA8iD0aoMk7Pr27IqMp78wDcMdqypEZzY0khUlgSXnwrACxg6HGakvcsSYcqFDEKc
6tWg19hctzWyvA+n8afmKxTYegXZNlcxvrnfud6A6y+bpE+7G4Gd7NQ+cg33apeweMIIQTobMSjC
XYqETgrXVOc72OtdgJgmVwMyHWQ2SgG4ApMVP4uNFNaVzkrh/+StG7O/FsjCGjVizCQ0yk7LroGu
OW/oYESHLOiPCXmegleRL7gMZSoRn7q1gO0jXvVFnYyHCcbvslzEmshxhD6QM/R0Kyar7I0Fwd3R
eavpr4l6p0+0MAtMCmIoe69VPAM5jRfYsYsqNjAnUw7msxgoBLN+wiVc8bDUrzXJGl6mSGkqeGYE
xm1NUzVewapnQ4XWTsgL/Ia8eG6AteLZd3z6DZGW7wHkpNFJmjZSkNc7RIPMEOSMVF2avkOJ5zg9
g+gGjIwkc7i4Mfh/okXyKIyZ0PNx9Vii8Am3Kxp3ciPIgNl68p9MRKs4zk6Q+X0ePaZUKSnswnkd
0081bv1udrE7p7It9LWWan0wznQ3T40MDzbDL1V3M6IdWFwCX5ONW4wQFkSZCFpfLLbXILbxE0ZV
eKRICpcxLI9r1qfbk4FyAPMoSPKUKgHutjVurMQgHLoWzJxlO03jIYwi+mqgnHxJM9OzEDEtyrHX
OQVUxvhvoqTXsCkNZlrPu12KKebCbLyd4T8g8hJP9dMcELQAY7Y1P7jPm500fcxOkG3nvXBBvtjY
qj+S1+GzjgVdS5WlHiZ2NLrsvAbtGiRgOadPZk7gsKWtAzDjYbjySt2zQClMgL9kJMkncFYFLMfM
zS0RTvq3BJj1jcWNgYI7++nsIQ0VJQ4B8TDzVwn+R4qNL2duEdG4yKmO2K2OoN08MRApb0Bokv48
WkPwV2X09V82dGL9HgSBdns+TGo4+lEhaoMoI3smoX9HcBePBPDBO2mAnSOroQhev/auqnZZktmq
1ZH5aBK40SWbRbf89DBwfkB40use34FUcEpEDic9nW7zFPsvNfj5bHM5PzWEoy40FnhxE7evDtPG
pRdr8zCPCepPuo3XOR10/ZamW3T1TcCJZBEeSAMwxFaz2vqzrTGSHk3UScRthyxciafRF5GDfljX
tHiu4xUYYb/wm7WtvyCBMZSt6bsnFeOd5Eteq1L5WV+5IQHfwJgPTDSIkmkf3XiIWnBYWXJl6fIG
ZCzBS5bIO83D4x1C3PA0Z1xie7FqgncZ7bRNlPjNogmoIPTAYBr5onPTvUnbEeCL3XJOaVSgEmi0
zyOpgZGsrv9KPGxggJ94d8woLjWmrC8SDIVTGuxj4nqPOBmSzSqy/TkFXl7ZvBEX6AgAhmH8hBK5
WNBMeb+OOy+0vfuN+SsLYU2rmc3bzuaB3Q0rcqjzFXUDOlf3jSh1Cs5xnDEiKB0VpZhWvKE9Kd7I
CKGKuKkrZ3T/V1CM82kdfHdUS5Af8J3GqlY1O8i8Kx6RUsdruSbxd92BJ7JFMr/VEGFhviE785k0
sANxp8ePwFTkeZbontIlUMSDafFYzy3/bpj/I4H77WHc5C9Lk6bHNRbrdVJJfIIQVbxoUsjXWkDI
C1B/+3JLIvq0gZt77MXc7qahf55F6jHdFXTn41rsajRTAKm34bIOeXECSDZcUYwjgNK+PW5jSg7e
NzByEGa/djFkl7JDrO0KmVacXL7l7yaGswobgj24VOUvUVern4msh0uB1xLlEhGGMcjndIin/aSy
cECkN/3ZBBhIeKCgeswK5IAk8Tt4mUfv0h7HBiYDcgJ8uLECLekCtKuLJ9Dbc/qVQZxpa0+ODTRD
EKtddzIxiLBZr3EpSfNPOIvdO9cx/CFcq6dOdT3qrU8QQaI4ZO186RdBHibIZmtB1bMPVpxNjsQ1
YvCPOVUgkCKag+uqp6PJLVJ56wDm7742oYxBLIlnvBN0PGSCAk/Maxh4z2Mn9WO61s0fSOHdLzqu
42uu8nkPImFEdLP1D13tpqhEkMVBMYl43lVqbNXvIcT6x4yU75EgGIKHT56HFQcZ+VrzxhMRAQVF
+m0Z0gMD0HEitQDIhtVdOxVsXqmhUL9ooJbtxqgGSiCWtHtuoKwjUbeky8uEnvCB1iy7jmH1B1zW
zaHTQe+zudcZUtyIa1dTqwsMo204DwVweTuwD/S93fNiEJiQG1K8J+pqtIFmTv0VWxOSPeCC8Zb6
AKkeyUNZUdClMVzyjT4ui8NaAyfqshnzoYK4+XcUseUIkBH3TmN99rZ0pgVquEXR94q1GdcaDuuj
psiKVXOY1gPu11DBzR3/2fpVQqyCFt/Pev7Aa80r7TgSb16AA/ZxAd6srTEOwRa0Lk8eDevMHkop
MAjXjDdIkAwyV7Ecxy5t/iQtZgAhi66BE8yA5WBqObYT2jLMQ+gKMwVvoO3xf5EqONhW8KuZpPi5
GQuPHNHPw8jocHM4c9olKTTd1JyjNqoPRePvijXtVAm4w+3MYqHS9hgs7sBe9qvZ5vpgE7lefYoa
47Yt+eJ9sp0hNuHuYAMSe0k+/N0u5FF2qT8wXCw3NfTLrs21RwZ1VQc+G3eFy/e0pHH8OmUr6J1e
5mdVBP7JWvMxtDM/8HotADb3kEsCJ/UO4N7DiNbrjEBgfwCpNBxHaDMVi5BkbQNvjwUz21uczp+r
VJANE3T2q9EdVJMVBQd6JM6jHiA3Y7MGZi39CjOwP2UwhKvBSAwLfWce5xnp16qztd/B5B4r64rh
nGSMQJkv4IVO0FmXWrnP1S6/5qLtr5kEp9A2iuGQD1+LEy26wkCORT+yHiI6ctA76nKyW2iAPc02
/rA4FV9bIV6XLY4HaKQ1O8cSLzESsG+y4NP7ALL8rmXKT5TfX0OezcdGKFelDL1NFPPdDO6oYgtE
oZWZb7xg/oQAQNgz4J+vfpzy3djjWWtag8djtXyOCwS/1m1QNwTD0h2aAQ2gZXpD4IDvsNnCXzIg
ExXR9/lXpenfPW1IGWLXwhABeEP8kMKzNsAvoEC95i763NAPl6Dv+g5+f9Zdh76PTgv8ppMPzkMu
nzKMHAn8YDmp+tHaYevhSCD6zQGBXuJ+C12pAzyG3kOaAEWNUHG2NN8kd9ONT1aeB8PsnvbF/IYp
P64atBn319oqjEYUdlXrX5DybF7AIkRvC7YNHAP2sV0XYnr8YehoZYRaWvW1/gAJWXwXq51exIg5
ERMqRuQiwHrnPou+lkjJQ9djPYIhS/sGvFBWWC+4viHT/U8D3RhS5iQ3SAkz9luATQGX3IAILSdN
5FOvR/mCP+Re+zDlJxTX7hxaNXxg2N2+PPfkua7n7CrTie6HqFFPpmXdxY9oQiBiQhYgSh3N4NZH
QEzjlXbuZ4q54GcxivYXNGoJ7DzO9ziaebXhitk3zPSXQEP6Mo7r+xgvL7GWaWm3zoGudPM3cJJw
wTWznmIypV/Y1jDse1EgUrCN7seEw/Jz2hB6LAuNrq5t1/WK5uDHPMbxXmSmv6kOZVdjjv5GfPCo
uMdqgj6ab1uebkDBWHNlwY2ngWDQHngrLzTP/d6r7EW5DrmNAuqiw0KNA6D17GDoyD4xobib22LY
NdRQfVxQhy/Yv+JvS6vfQ7E0VcgS1M7GkEq4Djjk0l4di9KHBQTDeZUT1I5x5bu6r9fd1FAItECZ
ttjU+zYPHxPF9hnsXUlQpSAnCL08oWDbP0ED9yjjBoSRAIV6phOY4ykt+jJNs/icu+UZAEV8xOKb
7YdohdrH0/1SYQXo/HoxewHLAhzvML5jBcVLB4uyaoekOSeQ8stWGw5GiUJ6R9JqD5Q3vhWxnuEe
YK6PCIGDkOdgXbsuExjRfKGqNtZsLpdm1me+9v3RF/QxH7P7kZ1wjGPyPZO6OTVc+LLGbwKhgI2d
Oi30KSATvuvnlJ/W1g1n3OcrYAjjX0KRi5eaS32d4ZsdXUw1Go02u+DLDxdlYLRmdJrReCbv2WTo
viDrRcQyxzYDsr4Xy9BX3IroPRijXgkBV8plW5dZM6e/rPQAM6d+3omhjq5Rmpi8hGAsTiBmGyTk
a5BT+fRbh7i91tHg93E2gQ/DuPsHTAz8gHiUgJ4gEF56BMSXUqBp2415e99WBGfA4SxeEce06DbX
9BO7NKbvPsC7OnAojTvoNuYIG2B+1nrqHlF2keUHDBpBYxBpc8obiRAbhM+/SH632lyEHRgZvIy8
vodEQG8reBl6uxA00eAJxw7uKisqjK7DpSdm/ak6PVVwVNgzAPH42MeDPpIcoVhcyfU+okx+d7Q2
+zrYeyY8J+jlx+5KuItPQGtgdgu+lDOnw4g2GdY/OmAMjNnQP7SCbNfUMnKEmhVXYQ3RxcbdbfLp
htVhrH4qdLAwqQTyAaTpw5+MSSKwLgXP1wSHDM3afEFLaQ4mdNu+B8iFHR1LoZ6FEzESKO2a7Tuj
4dTT7Fu3U/zAbSEOs5swQ4+B8j2ypttRdPPw6bvY38i0ylOiSVRt3bw8Z24QN4/Y6cG4wWKhlh8O
6dSm6Juz7ZdPW1+U8ZgDNV+4f3I5ts4sWKICEKgd31OBMbGEEaJvfV6sANJE9jR76o+4QJIyXjf1
m2GvS10uStHdDET5C2tM3KvpsPQoT8KDcsGekxayDPbxJOsxVw0/iB7WBIImGbJLNL8xPfOdL4rt
EA3K7lkTcaQmrJ2RzcV+o31Ho+gFmil0MJh9L1gFI97aDZoPVOfsSJY0PC7tgEhKp0jYTYyG0pmG
vFgdlmuUENhta3APhWRT1edArZHDwO1cbCnan0bmh2XAbQgUDEtyMLcf3LQVlWJYClN0HfulF7fs
TAfTOZFYEwLuAyutoLRhAwsbYon5dKtBXsbrUfLFfsRC4vZoKI2SEoZovdNrW78w2DH7aGlh647F
XeaUGaiR0tCI/x4j1L+7tgttAoIOO5N6Balvse4Im6uQca7ArZHdlsXZnjlcXZDh3Xwy3Am3w/Ht
97wj/TFpMNaGRC3npmsbDEet3icwbcPB55v5iyl275/dGn9HZmnfgZWkAMNosB//4QalyciPzLv+
OscEnR9A165MtUMXDVoMW0ewKAWdgpq6qpn9t0UM4nG16DcTD+jCRNy98ZX0e5WG/s8YLRsQyDjF
x8jjX1hlC5gOCvNLyqbiYcMhRvra6/jIWZv9aEZM6l2b0ieCtM0NOSzsgGER5PE1hWAcExNVsg4U
uGurkUwE0zyM5oX3Y37AmhuAoVsGuI8BL8a+pF/Y+SKqSaDp2Boy/DQbsC/gimOlZoDDyxweZEow
n1DRQ2akv2XX2RNa2z/YQPUQdQiYQTX6J9frI/wx2Zch1/FzoMADOnZ3AJENP7SdJMAHgtxBdU4u
kgV9YHgfsZtpW8vOr6xCDAzSAv+BgPVpRYQBL9s2vaRivEziflH00Usy5dDL9PC+sWE3eCQXm+gL
C8LQOQEr+FLd/LtppYRYcd91FLrpkKSJevLxZLGwBE8cbQQCQBAzkSmhy1tkihorAkbeV7aWyQ1U
dXOIxgUjL5OYq5iaALvE/c/QiVOSoWgyClm8XSHqbKoVVTQK0LhyoDovfRZ/ewTWDxjMsyPK9ptL
oUdQprsdxLRbWGb0gcSQ6AxL80VsTGLyAXuMVX6fGkDpjxl06E4Txu6CeQsKBUqHjoJ4xv6+6aHB
XgJAepTt5zh9hYaO5QJxfJii6CPzWfZY35NhFqwRzpPYFcLxZwDe15ER9wjZhuNNwyzq1u0mc9P/
c0lRENd8cvu8g6KANA/GoHoV56nBRIp8IylTZ7f94nr1yjvJf8UxNlnZpEDnNo7m7KQzv4CKAg6t
kwSjdtbkZ2qGNyo1uwYvzZno2R5SDHunOowRJBSfYKGVLZ5ZE/dXlt/z9a3Mn4assDt0WOaVgLgv
wRHZV4RvmoMNPC7btFl+wMqVYFtC/9PKe5FF6A0pz9hCXctUTKtaIF9VigiHeE4QXyReIdw61fbY
TcYHRMWQtcSmkV88hsAKgh//4NJDbIiH6C8DSeCF5ZHeYYkKgB6kSC4jmcxzk6pwNI3vbhyo5XsD
av24EsoeTU0FVDTP4EYHIDyo5y1o7qJ7trxd92qZ9KnDePwOI2o8ThDsLgvNBXB7ZksYaNlZgbm9
1aN8sAyxAsehSKdjUFVMVP2gexsu64ZmcsDX+hN4/jfMGzBcfZ2bEk5TC4G2KfYuirpXN7aoa93K
DpGw9YfyA5Tabjb4HbT9UsVBYwNVgrwg0l1ZcTU9XTBLbDgJG5bLVAbpe+ylSjOsBsw8sj1YsTEj
vNchiexiUqFDxkaOtJsAw3LEOhOYNTeYYBBd1MAfsc4wafaTMKxqRvOVL3R8wUXS0Mpx5A45bpV9
6qAikc1B5jZr/kwoR3FAonooa3j+QBGmGyxyaHFkfUwT+YZ9XPVzZkDjQ5BAVqgYFyB1chSP0HVb
bABcxfsyeWQb+zygiEVCYqvcDEh4hbqOhRHiXWzL21r36mkUiETji6A/MnGNXrt3WyWbDOqmQlri
/zF3JtuNI2mWfpfeIw9gmLckwUmiJGp0+QZHgwvzYBgMBjx9fYyq6kx3z/bo6lXvMvKEgiRg4//f
+112/RkqZDY6F55kc8IK4u7RMXKDp091CnBG3GEQcN4ETDdctDDq7nMnW1ZqCCQG3UntjRHHK12X
ihPgiBq5CFNE1+NbXSAwXAk77Z4pTOX4AQAH3EIrUxDienVsW7bCVdjiSSugQe2LpepYyNpwswBb
2XTCxWZN8XcFjCQ/d7FqUMdxEtoHUpyb1po+ZFVPN7MKDapn3bdQcBlZma68gCf7d2zo04Hr3Uwx
kkOSH5Zn6dH3bd3mhHPMOiyFr+4Y6iXgO3vB2yuWdJrOig+ieNN1VZdFSz5hsaSggXeSzS9u2zNN
5eo+lwnn/7Bw7Ecu9p5zXVeN9zLnftxla5mouln3bJsWFDjtZmshlmH4qIaRioohJnowgZv7arv4
qA6/1XKs6cnOnSP3eVa2XLCczuojd8zEByCSkCbtAF/jzlFIGFdpLO47JxDdZqz8KdnqxsI6p12F
xRH33mCuaGVM+VaUI8UkrBf3/SDLZosau3lqOnZ4KpWN3Gg91+AFs3rb4HE6GrTBkgNk0WxYp7r3
5s2cptg5HAPeH711/hkoBAPmIgy6vOiXESDNqVuM4Eh1bDyzZFJfsALhrYxKYBI3Zflg4LL88N3w
rNrFf59pDkUinax1Vwd3HQNpZdVZUG56eh33KHPw1MVmPF9bzdLSC7d6+9EQyIa2S0yzoy07Z8Q3
Fjc/YK9MZ1O5zHrFjW06GLHvnrsicb7hWbPNw5i3+TnnAltQ9JmacuWVQRpgv2vUxSWTLkegODJ8
BJDRUdWBweS+2XggMKuMcQ8+M8QnuPZy2gqsv1xfIbHyEEcqaClbt1O0N306oAyS+P4ffLm43jb3
HVM9pWHfGQcszkn6MRjOyCXNYPS4DUa2GkD1FxYerGqew3NdbKFu1ZxkuyLmaLa3VF+/zmxeW68o
cm7Rg1vuwOPgrqgnNL203DNF5RQnSAaobMsDA/xnmN2mSCdqfqX4dCYW9MuS6HYhxtMYk2tgSPfG
5apw0MM0vnPkLdaL3V26zD3Gw6kYNoK9gUt30W0hb7a7ZpnMfS2d5dRkuXOxGUAOVPb8FbIRPFQI
zcQaWYH3FADEPxccqj9MIDqPyzQFL6bEXxAame+tpoJOblw7KS5Krzq29Ks/GrcdtnOOKG/ljfa0
myWtWlrvboWBopTXYAQCql6Syu8qoNR88tVkf6peVnslaU4VU/+C/JLF1JZHt5GYcXrkTo9YYFqk
ha3+ouppbvr+cryahHhFOPqWtH1zlXmW9WXkLpDgAjziHONBX2UJp11WaHNdpBw2RT5QEsZqfzRj
FewA7VZUUzj1QvyhRtSp5ozuVuxTw2tOErglVgxcupsKkcXGs5AtCE4Gp4xZeah866XUqfguPWG9
5x7jBzRr+qjV7N2EnRPu25Beiqxjb6OcOd7jIy8e/UItB3ozDxy7wVHMpT/t0CTwirMlODlGSBdr
VHNwZWd2sGf0+w9jPZhPXkJLMkCB9tLUM9tsVtvNZjRaHNlIxIMok3jjWKLMG1QzeIjo0b4EbV88
JugaT6bQCg+qak5Qqp5YkUDiyjo9jhX9WbTA3Fnx//j0DCGxcdMJBU2ZYUKwQXl68Vw8QuF4NCff
fzDK0V2jVryPpfmpZxifqyGj6GBRbT3W5jJyRXND2ouZFWEiiTcLJYo1c7dGFUIhTtJ1W8Flvuop
i26KwA/2vemlh6J0TW7ctvSAX+h5rVl0nzGkwk/2m48lESwZLI7YRpQn7rMBh57nUKqZfdvfQgxc
xsvR5jLpivJGNogBPA9fqZnYTK/E5rCfTAjd8eOnp86SIqKw9N7ZiccxNG+gFgQdyNBB0dydMew2
ldvvmV7QITPlrqvLIb5kIN6OYoGLG8RhlLb4vx3PPhf2OD6nZYlhEWlisEaO1H2GSosTVrbmHeGk
/TCxBCDfDK1HVQ/qC52C/pJhg54Ute2lxXePjldetWasrw3BNAsTcZ8I6y73R/cJrXjErmBy/LPL
QxGH70kDBzMQsr3K+A7Zrja69pZWlNwYLvoT27DRDE+LuM/zubvTpf6Yi/RN+TZFt1KE9X4pi0cA
Vc1W2b28o26ppi00sOwx7q3rJFho+jqtF1+FGorDSjqNvb1UYVeGT4s1Y//cd6IO1qnye7rBml6A
xp2HztzmBGI3UFyS/FuAnddaIxEZnoumpPLsFO4jQ2Nm33YKeB+ety8SVgypJF9JLf71iH6Mop8r
thAqnAj1SxiZ5oIoV1U2bBYZAvAU3MpPRHHYd7LKd8GAJ2u2zemNUW9sFk5oD3mjimgIUZykE38b
pDBD3IbjhzUOzpumZ7D37J7zldLIi31a5g+JUaQPtIqmR5ca/SHrwWJ0g+KEIGG2ADNu8mmlslq8
NLQS9nkZfjP72DsCjnauukY5qKOT9AenZeqxKVRJC/0v0x9z6OSmn41TlQ2wj2qprwEKxruh6DAu
MmevFx7GrTYSjPiocDyYo81cbPtM4aUtshxyTdFuGGW0q/pFPjBa4tdhaAx+3JDat93oDZTz4M5x
Wrwwy0eax/twEf7BksmCVdLx9oaHTr218+Ha87Ixe66GOT2aYMg2ftC5u6JN+qgPhXuyh6EDHIdJ
atfRbpk3mTRr61j4RepkHKinRK7ywlExFSf6PxslTAO2gUS5saVDUu9BZC3XpchxB1qG7tR2WDw7
e81NqtkX5oDOpt1QA9f4ghTtQUa3UDetprmU2MFUIoaT10v30W9Q5W2cdBnh2mDhdM1nBxNrcLb8
ObGvDY9NcZ/S3MVmFlZmwQ8VQzjrI1Bi13icMLIHp7FAdXTlVHasNrZRiiDqirQa3odZOAii46VM
zrRypykapOMMH7MTqgIZWAYU5NtiyDjvVlYQ1gieqHHmZr1C6b7y07ewNa3iKzUmI45o+tKHLbFL
u5xgjyPYzWo1w0ZYOQpLu2f0y00t9LI2gxy+BsXlB+oxWEwtpIVXZVfPNyZzfp8GfZce5rgK5Waw
UM/oEG6wJSt/G49usVEZiuHRdOKHQYg9wBFqiuhwXKu4zmmVf1FL6r773my/Yf/GtQEr1Cs2NWSb
H1Qo5s+lnazjYIbem7LswT9OVQN8oZm5bG1rQ+XOUTeSMTf3rviEXGms2yY0Ix9lFC2beEDMGReG
uavcaf7C50JhznFiluu5As3B0RqyABQFPD46cK0tcAp3VyVju3fZS3QE3NFlKxxpN9wPZiy+Au2p
Q2cVXH80Fu5VnnVzTIkCIWazWhzKbGe3XfRwlXjC9+C0g8Wab92sbZLNUOW5ENephkfwbYQAX0Dv
tQqdfSL6TKmmCS/vRvUIiqopbyuFPBtRnD37o7xrF2M28nVeOhd1fhnI0b8ZMu0XR1iQsJMSNPEc
sYNgGO8dWJ52jrzQdMt5jU4koeSfjvgveTBp1uzmRJcvfif6YDO0o+43vh9PN5S0p97gClW1831q
d8Pai5PvNBLUa90sAKDBKKMssEOqSPPG8mMazVEzO1XywuJYFi/YTjkKmk5f7kM9d9Vm4NrY7CcF
/YhjteEPyDTKBmIPu4qdwBMImk7d5lPZFY9oiOwhX2HOUMb/gyj7j1TR/zvs2/+H7NHwj5rs/53v
888Ijssf/Jci2/2HaaNcgV8Y0CemTPXf1kb3H8RZgB31fIAIjkVV9J+KbP7IuyRtmLYTWiii/5mp
4fj/gFUIes12bQq5lzCv/2au/oTbI7Lsv/75XzM1fqYS+pylBIRMhw/B7YTKm6/wryy3BWFUi68r
W8dznFx6n159ObQ5sQniyNEubpjQ1R+WrvvD//qnbP3ffPLPyNO/PpmnIgI0wVgrbOdCmfsXihxT
oMiNhFIirSbKYX5qmu/SG2KfmAQAv5tw8sLhMMIb/tFXY9X8pweXEfbvf/ivnk5+OY5lNLgQYQFb
URf/+fMHp2+xYV46jL7f0OhmxtvrwOubXdPr8An8MJZoJqXYGAVsjgwOaLMbetPZ/fk5/KKIv3wP
X1iBJ0y+DMPj8pz+5Tkos8G8/9eSky/ulWkX4CDscTrS2kOs8+fP+pksennmNiEtjggR4Du2J355
5u3UTosyegwxVeyoxyCegw1YlNw4DbbgmavG1f+5Jvwfn/PvA4yfJ5D9CDQwl5C0n38eBE89jCbi
GhIs8JuCInALrsgqrLgaGHoHQ85sb/ylN9///Fv/3XN1PI/f7ELwBXv4ywfXnj9zLyjWRh133g1K
4Dg/2pr0Bno51Mr+/Gm/j2bHBOp5YQgzmJzf3uKcVaMuLkz0snSvuJV+5s44jOx/IP+UVWyNGeVu
Xk51/Tfz6N88YFYQZi7wYH6o+8v4acfBDnAqIGDTCKTo/hdRwo62KZP8s+qskMQTxtWff+3lpf2L
i+MyjgCyCstzLrd8x/9l7ujFpHhmS3AkhIC9u1bDSM1Zqf7mY35/hbRXWDtd3+OPiR36+RWihEZ4
32p6FC7LAyfoFI14PS6fS51SMfzzb7owoH/5URfSM8YU12HtDX5dEHzDguEmxKUw6uTPvqoAWVaW
Oe4sFIp9pFvPKTZDmZJzkI82Ns5pGJBzzyhhItnUrombrp7k33yt358BiS+sknS4qQ4L65f5UwRg
NoZ4pk6SSnu+Mmkl4HcOi+kEViT8H69FbDjIoVmLoHs6v37YMpsXqTK14RDK2dUgzWznkmpDmcWZ
2tc/P+/fx9BlcwMkGrAyOFz7f365HitQzhxBYZWN4c5Gy5+tyNFJ2r8B7/4+M300nbYXWhZvFQHi
z58zxJZGRZ5Q10V+dMpno9xRq3I3KAvwu3tumHxwR6keK0pr+d989u/rrW8xfJ0AtTgrr/vLGjRA
saQ2xW9MfcHuRgF2XonFo6zicYssTmMr2Hr+x88VkYojcHL5we+TRloBMrzYo28oFn1nLGX5zMob
bP78Kb+tOp4Jowow+mXZE/zPn5/q6IM7XfjFNCUt4y5w8vgUy8A5FhmlZw16+MFi8t7++UMtKBA/
T1HWVp80JPsyUfnUX0DVTWcow8bKsg6wI4dXsZ0E+7LSiEl7FIB7o1zmZKeKoJzo1I0MqLmEsJPV
VU0dSS3hITeRzuyLMbeWv3nVf82Nn9ZEXrRHvCoyH0Fh59fzjN0U4TArA0YKDfEd1jdAQrnnotS0
hAo47fv51aDr9C6ukpBq3ILNHQcM03gpfmQ+BJS1q13ZgAnDXfHnB/fXJvDLl7uEXWIMvKxxlG5+
fl0IWZcA9xlWEysPXihcVN9xOFgecsEyOy95bZinrDQYmJwTOQbSOtMimqkSrLil2C8uorS9GBFL
b8JECbCZMddisFV4I/qy0wRZLC1LMi0xT2MpG5Wk4jahG+A1enozt3Xx2XQMpjVBPxjyZo0Eghyp
SrTr1iBdZ+W0M7EgZqLN0+Tp4IeqrFqDVvDynEaHLKlAiYB/T2Ai9iNs0uUxuUSCbJPL3OrMPMlX
bar5EuE43OvOymi3IX5EqQ9a1Jx0+eFbXNPMacJsGOiKGpnDM4npnSp91xSLARn4IoIXiYOiRGE+
GzfDgsPrNfdyfZOZth6iP7+YXxcnVnXO8YCUA/MCFgl+3UjLQqfkvtRr46ZU26qGuhM5m8Yb/2ZR
uOwWP88dyM/894XPcT+0LTdwflkHcz12QwgWYyWczEvfDGHgGbcgBPZryFqKS3WHflzVFr0vM2+H
TT7Yd3GGeIW+jOpXPWTma08n7o1XI6PbJF6Y3i39siVZ69rWwsCjhG9xNU20DdjT4vulqBa5sZl4
aZRWmMlIN0F9MlXU1OIYHcQ0ZN8XgYCapmvcrvsp86KG0Bc8Nq35NvXzvtEy/0agBg3IIC6mh8xR
aGY48ASrgKfZAzcXatVD88qpxEla2YGL5gmH0z6GLQztTATqOqPIuG6DxiPxieICeiBa1bQIxtg+
sh6Ah4TWAPHH9+tlXUKcMqN4CvwzGCZye0rMIVQ2vO2YXtotcWjIdmcUrbdL01lv0c9iSrKIR3ux
E0QECDyXN166BX0YxD9RhTjZdtzDHaRU7Dzd1igr9Wji1F3FC9hmpNlIXwd4apZqbRTffAu0c9Iz
POp05B+Z1dJsoM/255g8lnvp+MWDEGn1w+mhoq7CFH79yirdHn0sAK9dPCa3YwiEbtdRuEZO1vfh
V9daHYlYhuF+u6Aq53VjLQE9EJTJ6wEtJm5RX493ZhbLswWz9ACtJbuuZezSH7S3XhcGKBO1fcXD
N2/qGbxFC5dwhy6yt9eG5Q4dvlfpDHvTcn8gO/1u5OnMVZKosG8dI+o+NQgRaGDeoWzKUBiVk2W/
Dqa09lMYwGMq42e3nsRdZ1LJVYv4tCClQH4i4AUMpGFN62ZW85bgodBcJY4vTrBM86uqct178vWm
brWMiTcApKa8zYd1X5qkpmDdGBxNdyoYLQLG4vbDT72HLO8DzDlimnc0T5cLPp9IA8Ta1jOq4zrZ
xYkAoZi35lmguF/lWB42RtLa9KGXj27CFjO6NLZ7RUO8pfp675ftEJUwfXdxWKH24frW7KgKBxR3
fGYTq1bvrouRJ5jjJIh6wxiOpFwOFQFlxcWWmnX+o5XkjymclOTIpYVifmfaEBfoHe4E7fI8Woa5
fOn1sPAk4YKwYiQJ24jhAMsom/GuWijBUbI0N6NFCy8ZPX3kmk38Xpe9KjtFCZh3D7FdDvCCLo49
e5uay3OXu885N8cVT9VFeVMfZqwSEcqhFjpHaK3o3LbUKlFIl3JEXbZQzvsUebhIHCCDRRuXrIrb
tump/C5pQj5iYWfrxJ2WCGQwwO1Cd5FyEudMSd24xXZ915QD4DoAQ2sgXE/1pS/vh8lDKwd5RmaU
fabKqw5A767zoX+kvZ1svEowTN23Vi9vBVpxhA11ob5z2qGwx+amDfXegRz9lqNYZzw7zkEvolgr
Vd3rMLk15qa+MqVjvIBNuXW1jzwvyV6t5ZPexlOQhJ80qDWRKPNxNpMTixTJjyPiiqHfyYWsn9CT
daR75zXBC7AuXXFrGVguB1i1eb082f6goXNrapL6VF9Q3QidnxLDsnfgFb5G6JltIF5Dt3030+wp
hHC98ryGVLJRBus+0W9mCFcfAdz8wfnuXtvLY2AW5tboqX8I+HuYQEBRNzXUlLxPrlvGWIk+V3XW
vYwTOi5svNfALlad1aLAUBgju4awxNSzbktn5g0t2MXTPLnm+Akbt0QEm7We2EzNbJB56sD6rCgu
Ww59wpy65lF7qbkRwUQ0YtVgpQWDKVHe39RWmK98SeNqsFH5ToO9N0g9XdU2mN/J23HUQf7SuTLS
zJMxK8FjtcmDsJlDQd3cFrOJtnuqOAlnP2gFOQdObzgROkA6ECcs97Pg4NGucoixnwNMkW/uYNXH
mHl2jVwIU2VdQInO+OraCPdGq26LntBHZQj94BgUVS3U9+asrlDldVFH+2/H+jyuBTgf3S4HThOn
paeiHUpIZIvVbsopdCJSpa5Qk3+rixjwHWCATEMIpZkfYUpq1hRzwrXrarBb5JpGrQr6m9Ivn7Dp
NdUaEysvpvIJpVuMTd0DvRusLU23c8n5a0WVArW/O52LPPhIvBmOJESua3r0JJIa6Ucv0K8pSAb7
uvbnld9hS6uN3gUtWiSnvG0/BPBCSQv7GKI2ouVdfwUGiG0+O/viekgiYRmbUTA36ecQL/VVVyIo
D5C5PzjuAIYdAmjkiBScZWssYJQQlQy0UDZFUmyx1e44Ne/aScwYiQScSAw4wqKoMfZzdsoQPR26
S8nacvYgVh+qur0exva+7nX+TWt5zhIQ0kZKVqVogw8IpEnUpKV9WFQnqGfNeeRlMUYG2WE+1BCo
h+xmYXW+76RCAIcqE4P2zoMz6DT6ZEsJpaV1nlCNn+IgpLsrkztw5kdpuNeLVmeRAh0eR3UjnOKm
8NvHeFGcOKlaEMujvpoF+Coo92ssiX/BEIhBGF1CCtNmRQrDl9eH+OmRnttX2UWy7YoJ71rvrTDH
CuDe03WAQE1WDRpgofxD3AMeh8cDY50HuQJ0uHaq4dVHRrDxtbMzWHDkCgRTQRIFCnFQGCu6qfVT
OFQf3GxSVLL9hL4VHOWmo/DHWFyccZX4843s5+PQhaBfxvCVBRy+dUY8gspwzYOEaBGt5pxTjOTa
yoR5clA7YAp216QSQK6qGJSULmgsFaBo0ixuVjUtF7w19EtTGu3rOs63KswiIBs7/Ptr2wENTWT1
fYGiY926k7nu2uptMmA5FkuNJBcaLtUAtPegMxGspSDOU1ioCvgX5+j1NMWPXo1mA9MUMkgMHVUI
/GoCsQl297aIi3HvJo61yWkhb+ipvKjWy05kMvmY0eObpqniyKLAUFbFwSwfySXdxxepkWojWHtX
mZmeoEmhsO/YjWuotBMu55Us4EwMsR2pUn5mKv3w/OyA6B+kpLc8uiYNONgzPtrIrlijOuAvEF9t
O1FaCGWQIsjF27VptsNhm2/dTtwFdBBd80G6dKu07NGWGM/xhbGRj/TgHJSQ/tYMF4Xwst1Q0fgk
e/DYA9lbTGPXmfDlUGWHq941QFPOW+UHd1SVnxAzfuYYHt3BjagcRc5Ipl3jPyDavF16kF5LVbz6
BGpJe3pqgoylmx22b4j4Uo6zHURXbO2gvKN+Wm7RrqKeqpCTS3A71MDwJVpInFeha2Fqw7aGMpkD
OwGBhAasU5uGdqgZBShBdqkLRSOZugcp+6gzjHYbUE+75MZy4DGaZ3PAiehr87o0zHuR+DdORbkJ
JNUVkPM8Ks1iONI3RH+sQDI1ZXJloKDdNS4qKQviGE0mL/yeUe2J4ouznq3A3YAuuZtnAi+D+rrw
tLpBGPfh47OC0ZznGPk4kXOafgkqeecD+7wdgePRCyQm1SQy2q9QXggj29tzbDxl3EoekyB890Yk
15l/UKa8Dzzj0Y2N9dBTICQo9SvzA8U1FHuv8v3vpHd3q8xr0fD4F2SwvZyyQNRrwSbAEVu9Ul5/
G4fgAvHy28irg0cYAPigLAEVpEQvjP3yGFT2Y5EEDyksOcoa8lw33dlPdHNjoopeL83yHdXVsRta
0jk9AtdK27/XJYpbv4/jqEraO6IXynUf65IKqX/gkIaHBd55qDuXpoeLIxg4F6m4/rpvPLml3XLG
qP1e0LjHkZ/e0oblvIUYWa/A1H05VnmuenJ/NXWklem1z70pCNed28/Gns5WGzqHFjjak2HBeBTT
gBMmToDkWL0+qmm5HXwXS5JI1BYeewW/nEhZJBDyDTUbvOf2lLGBHeWCwM3m1rNhv8rMFbVAQkPr
bLnSmXrFJ+St64rWNDdBWFS2uPZDXHWbyqLHj/D3wyAm8jgA5IVjm93KIb6t++w4qXHEXJiHu7YZ
2HVgRUUGKrS11SFUtwKQQE2BmcUUmHtzmw42TA64KXn1LBfiTgLNcsbKAqPDRyKHI7Qkn2VF3WMD
SPOpqYwfi0tiKUFA6ckM5HxsfCm2VcZrRpZlRKU3JSdbya1ZxId0An9nwhFQNR/slXDVKkTGNcl0
u7o07vIAWVI/PydqeG7CDPb4nBx8v9uxmpF2g5S+1/Z1M/TnZoTUL1p5bS9xFLoz3JRLfpvbcsgp
qvR+DP3HJtcOacLdnTTdb3Md3oajvadTbB26gMdkBIHelOMUgSp6chYDe4g0r2TQnKcguZdWc1+N
M3rZJXs1QX/ZNfNucR0sEo1eNz1RbG54XBYdBbI9aZP40JYbDFv1Nh00a9TFATF2u0nriDrGoVwG
i42lr28CtxEWocH1fC06V0VShYesis8WgeZ01cFrmlN8CNtqa1fTc1VWuEVLK9IWl1pdIOKfrK+h
1Ze5e1Fhmb4X+aXfhoh3aaytuliY3FkbZSMDK6GkIJucJhTbU9eN68KdwicujGAGTXI21tIkFhZm
KLGuRGzkMUHINpCiGxeBdnHvZR3b9Dwgndu7RMyeZG8UZwzS8qtvFIsfiGWOjBJ53I3AkUk1Cyu5
cYzRcFSItFEuUMlxnw1Vaej16XQz2F4y7Czt6+c2zttbGMxmvDatzCi3mQs/OG5xpG9w4uPQbeyy
jAZXFMGGKRXIjdlPY9SO2P5VOhLR4Q7+o9cO6Z2gqrwZk/l2EfFjGMxnWFjmu9YXG1fwxnrXrvP5
3e6W28lHHZFJkR+9ZEYRaKV5fnE3m8Or5gExwnog8HHjceNNFbE31bhFbINHm8tCnkL+SB61Y5GD
zffWmuxXLs/lMt7hVj5TCK7Xc0e+dxW6tzol2341N/kJUH2BQDju43cXf8ptmrcRKPcCfjogjyXH
ZCWdd9kFflSJeDqUNIlZ25vJ4Y+w1pkGY3ftduwy3ZRgQs2TqPbI+cVffYVX/AWgHpgjiaWw8wVG
r/bZvyj3zRJ1dErk7XuOCoc7R2zBCM+XK5TqnPT99CUtXBiQVmeqfcVacjEMgP4LyoeqTb5hJBaM
uRYmZMFvcozG3vjlQAg4BrZlFTf1EFA4sLh4JjhKNqnqJkie9d7v1cGw5X022rcDeJhNqkV8RXv9
nSDnBmP1rB/S1qjU9ajH+o17WfIu6y5AMl7IrUamfJ+0gspuhkJnHgyXXsJ0T4FyMyfBMZ285Y7Q
L0LEumTeIcNkPcstblJ5ml+bdeI+MMHf+k7fZZzmb+sQTeEqCJsiymttPHERpuIa09h5mEH2HdgW
u1XHxvrYVtzxMPjkd74/zkd/CV8WszaOgeXfIV18QRGK8ROhI9bXcHk2vIqBwKENsVYfmE8l6At8
gUCgJqhmT+FCAcHLKvfBShJ+gkcA14pOJtJgCWzQ9SbEL2H6EQS+9+EqVz2PEEhWyJmfpWUG+NWr
8jZPYMcHrs5PZHUojhJ00VcZgQC5xDwVzuIq6NS41q3rriDURGZq0cTv9UeOFJDXQgdt6t7obJeb
zm3PE/K3tzal+sSM2Vaa2AxROOkV7ZE66mRbHVBEjoegKYEfqbiFreKqJxizcb5GgPZNWGh2JYfo
NUcpa+sQ+4mUQMCkITItgh0dZZSGVo6cxd6uvWCt9OypNWAjvJ/Lg6eydN0IuzguZq+2TEASWVzy
kXxQsasu6L9N8/SV2/UW+mIcYa5K10DNRZSl+FlL3Mz5blbSax6SjlCuTSW8Dl3nQsXKtpX55JCr
uBKiBXeB3eOVIslMQQVfEj5+17qC+AMmIBDUz7BNrNNhvJsxp3FF9MqDAkCCsMfEoiw7rbYKW84e
R72/0dVkEagkSuOACzu/6SqvPaL0NAhYS+fmAndAt4sn98En8+tU55jVKoHWzHbLV8Ah6Wvd5/jg
rH4iD6v1TSweyL8Ju7V/AA4E9mrZpNKNSda9hSF2u+u8j1Fb1jGC4rzrrY/2UmnmviRBKsQjBxXm
TuKstUjJGUeNB3105izIcZE4CJxC7TIqCkgkuCHH77Vj+OfGzOo6XI0A79393HVUKgyq1szvySWR
Z8jDt8VELc3lZEkv4IUggc5mpVnXHFSMjZMqNbXdo0VIifNjGCbF7B1GMmc8RJTdd5St3fTNDjv2
AquAyfoeCkBR1+YyeCTkkZeXRCZthee+Gv7qSsBFJIaB6bXKIdiZazYJepGkn1JIsUbT2kkZ2+6B
vcJruAJ5SfZg4gh5T6rEu5Nc+HEg/9VO6CT5eQeOp7PDgaLu96OJBvqM7yhWRySEPiHjQ09YKt6e
4QVGBIOqLjz+D600GkwCkejyUwjxjfwI4nfuoHyN8IfXvdCOPk7dXFY3tnT0XTmPebe1MWbtU6Xw
MkNgjblfUXeknt1Vs/leycpcVxVG5R+DMHrndlb4D6L8wqejVeaayUYmk6G3nW7Gi12tAwKhYf0a
Ec1LjArsXDiIfEWy+tHOYmx70FX5eobYcN3eWYtBRCwOTDbE98r3d7aYduHU3uupmL41OeXn0Pog
soFCYX/bFe1WdT1unaFluQktibI/ds9IuIkB6lPrirf9mnKqTdX4IyARJSr8aXnty2zjBFQj5wuM
qQBNgmXdpd4QzRM3n0HDjsFY0LOOiCndOvAvuGp+79KpS9YmiBBI5r215RaPhF7ZuHOT7jMLEdEb
03crGbwbUpVMDExE3KlE3vInzgMl8wKa++g+m1ab70dXvweDw9adEiYlOW1HXKHScVVK4R8bvivS
Vz/gFVOmjPrOrqnXFSoEsANHufHOU1kG/iYPgbUnuvPgozoKZkvdzpop4snKvh59s35PHGS0xAdl
yjnKfqpwVpWXduuWnDIMqHmfcaF3cGwEmzrF1YUV3eZ6wr1xRJctynDXNMHsXGcSh1ck28AN4Xdh
AwdmKD3/qs4MgoKaGoHplgET9FtbKSj05DEY7u1/MHdmvXEs15b+K4bfw51zRgDXF+iqrLlIFieR
4ktClKic5zl/fX8p2X0lHkG6F/3SgI+NY4msqqzMiNh7r/UtvyOLfW8AUXM3FsgMim/cIVc6Flnn
NCB4LA58vRHxKT3mJty+Le8buAGyMTQjTGFRcwTDtqhaA04aCsjgAWx6ap6TUWMpcHrBf0+sQhCK
NSJoPBP9ZMABBvOfpfx2OxJqFm5D2yo1VhcZyFVRE9V1JhhiMu8TE2LfCfMU4kctSmdymzI7KSsC
5pZloifkLXvpHSBlFwtRbnaFdcElHHDoGiBXwCxB7Cgn08SVckqD0BFib2hgwAE96S2+6tasQZZZ
NRWW4SYTNpOMLdFKmhvu4RnjXW+2YmMiVBg+dCpX5IPhsCcOKmyQ61MGpintjUui4YNERzYsM58P
VdtAVfPLRnn1wPQy4Nx5PYNpPzCL+6rc+YktlSKLA/ipqs3phsW7PUWWc8p7me6zUDk75AqL8oMU
rty0211mkEMSzqR7E1AC571SnI2wRh1COCerehm+TyNzrbWN1eZLJ2OxZWbuP/vA3/WlrRY+Zw2G
KVw/iJKo8mtU77SgOVv2dTud87oMOdRh5dnbjVmd8MPTCApTR11n4zTujUg2FF0qhrRj5/4GQyd8
EO5lTu5kcjUPy1gFOhWb9FhjDKQxLPPPFVEzGwh4Z8TCyesY6NOtAFh32zfREO0GyBVrmOnBYda0
+87I0fzYWrRFnkH0WpW6ET2vxl9PlWq25MIZR3gLWnUcKch2Rpe+pQCQPRiw1b1RG1Q1NOQw6NXI
9in/6hcU08N9yPjkJSFk1NNS1SxQqhyzPynhK60QXNMpQldN/pj/MNeatZ8bMzoSlT5eXCrVi8t9
t1aG+WTlsxGtmdQar2DnXAZnbmt4TDimx4RB64cQn8Mt0XPP5kBjZ9AzbMhj79/6fofzOJHThXw0
aBBaka5dAx+orGuXZn0rb7DTQF3CRsxbQu7LdLJJ0ELj0sQFn6jXoUvbXdlD9dKHvLkmvrtbuXQo
qb7xB6O9ZrWrwg+65psnt+xe68RIocDLg0vo53kaKwehuNleq9Y1j8iLSiZMdfnJjZLI9/TKmDZJ
TWw8zlezL1CXB+aGsEFIa7ZrWq+dCINuLVRe6ZsmybjDksGZPlVuEkNI94VB2R9HF8Xg7jm0pvZ5
SCXbhKndCn7TFfws56YzmQxxwMjx4jE5VoSszMn1wFFk24i8/2LZVUPgQdhcRN0dY92lb6Q7g7un
oUDXyq5NGkV6bJPimYC2+BhWs8RGKauNiZ/0urECbV/DoaBzibhyhigaJ7sM9sHGQaiDVVSbw5eQ
TAISH6HzrVrm2oxgy5J1VXYIucqRPnFoEOGbGKc5pGeoKwcrTpgZUNJLW6O7PwRkZtZSegYIpHsT
H4SH9Yc0KVwpDPXwI+3C1KBmd0VKNuOQz9vZ0qorjP/1qzvF5nWc9G+dlquKWmk+UNMEa7fw28gz
SRM54HEaD5XDQdROlH3SI3pZ/qzZO6sC0bLEzVq3JA4MH8sG6Azk1Wq6MpRm3+XBwMmDeIrNPC8+
ZXuAA1j4+96e99RvZFRoHewQbcTdboqHycnb25qpGMfXqNhy/yOPUFq8rdLIfGp0e6ncfNs8BPYS
kzWOAHEBuOUe7JP0oOoeM1vc+fsOn8GrEykvJuHpyCN7SPKQQJ14AZoH9B612KlvheU3Xsixn4q2
iZN7fID684CT+hvQhb3ZgNifOcaNMaoPCQEv6GcyfDydrUeeBv5sjRwvXCPFz6jtGmOPN87c+WHS
XYCupRwzUrLiGXG8mYPffMmS/C2N4ZnUVdd96mMgxxUBgc2q7FCguk3H6zDTY9iNa5WROPgbI+Rg
E6dHeKhbmerQGHQbL7/Y4+XuDzZmO7ql9tEwBnLJCBldq2L62BhxvEFI8kgi+2e7RWZSwGzUJ+ze
dq6dsZxVFscF9II+EGv6Vw5oXB0GxxYENOcbIVK4DnmJT6EZzwnVOCHsY3hHKzw/jRp8aU7Ovcwi
GHkN5YToGEeayG6Pxahxs+Jf7/dBJqbw1NRVtFV9H+B6DFu+CNZENcBEJkamWcPcup+1AaAri+im
5yZep0ODlIpcgKCzHlwtfgXbL7c2PnuPgeCGs5f+CHB/T6s9PhIl+lI2eJQl1+ZNFOxHkUlW99ox
p8dZ4iJZldGAZBBU8wS1cpThUcyArOCYZTQs3SniJ/SYtbLPmtiTPoVBN7CTrSo7F6dUUFYX/SAe
xqZsj0Y3TCcCnNnSQnA1im4aTfixuWkqSUMJ9ze25Cw8yQRKH7Dn7lqmJT102s4TnrgdPUWKEMou
CFUmyj/Va+u4ysqHSMOikrCobvI0s7cFu+DWmoGiTiJzvZLey1WgO/SCNRKbMSQRr924gMXyml3Q
Duw7zXen80wiwaPtU8TCDkqehSMO0ySOxdRphkcCXHGmi73W2vol6uzs0nVgCJw4i46Gbuv7qgaq
6ktiyepKk+ciqKovNI+1UwT+9IQFsof1G4EwC2LtxtUkdiLWM6YOjMkY+gT52m7jbF9OiAiVXM6M
BRCWcTSTzZTmamsYwm6ZW9jthXQCYk4ixhYBhf9DKUoJNJWWPSAhNvNgxoHUQwW404zykwRmcW5S
tsNtM/XF3i0LZwN0kxTGcWpfVcuUH6Ia/enSYXnOAKeOlF5XE23uu2AImQzPWUCack+r9wiAjRYu
R0YmQEW/8Ss98XwIbzt6JvrRHVKBd5NPkNcIsGJAMcDZ06Y5OiMWp1U9TfJYkMuxDLmLl4mVZtzz
VKt7iGtpsI7JM4Et2DQTk0wBjHrUWQOitN2QWEEXyZ1gPuQjT1tk1/WTX3PEpPchVe31Wp/gkuvw
m461sI4BPRVjjdPSfbQCQ/saykmRR8+ZrJ9CS3ssbae5HSxLPOZRZ1zVuVsf53Z+iiuZXY2UWKDo
7PoILrW4E9mEO7kMMvPgQG2oaaMbMC4GhmOemYO9arVxuqK1n25sCkNt1dPGLw6pA553hdFNp38d
1L3liTao147Tat0a+3T+eTJzMBvKmP3HsGqTryaGT2Yqgr1ASiYNLYxtFFGKQJZ1HpH2AV0wih+M
crItgsRpRHpRUQF9c/Tm1DZNsmNB48yW2uQ3LeqQAcmvq2+bdnbpJ8wIOR06zAl8oYsgAUI+ZAOr
nzOhjFv7wpQ3FQ09AEAwQHUQNi7SyymGKiDz3F9TkTvm3shpNGhlBuxyJNEF4/kIjX4V9qU+rXWr
C940cvGYiwIULUvYH4aZ669mM8AOUYThebZJTLhvzudSMQMM0j6/KjDXPRnz/AoBDQcajBCayaxj
QxSdk8Qdr81RS7ZuKQa4Cdi9tqZVfLHkcGi1Eteliq8gF3yMuMnpJo4RqLgiJGo0sgn7G62EwqYs
s4wk8Sa/sVFMBRtEaKx6nLb3ug9JJTIiOkudGVfrwPCLHQzZijiXKSv4TI4ARi2kteod9zNtPHIn
q3wH/WTYhJDOr9K4r9d1msAha7AoIMkGkKOjbolrW21DPF0Hg6JhjTX5s3IJeB0QU5JTqbdPsdCD
gyr8oPHStqr3tKMwnfkIISh2yUGtxuDC9UZHhB7vlIzxuMA6CpATGHG2STjRPJ75kkTYlt7MFEOA
C5yzB9gXGj72bJA6f5hfzZY+X6QqCTqspkDMR9ZVZrQu02NOUDS9mI9aDINWGTef3IxRGx+aIOeM
zp9pm4ZFmgFyBuQ8hWu1oiAJ9vBUzNqzNeg6AcKSLe0/0a3zwbobGDNusVAwH3ItRFhL5Ixp24LN
f7n7DNvdU2G1z3MeDXvdLFMODpI8m7wR5bPZ2QxUyVt1n2t7gZW49ZRdtT5IykEbeR8c+nxmXtTL
Qaf1nui1C1ebxbkpYr5DXHcHUiOzP4ou/yK5RKXjaBpeLUntK9/Jv+EytlZfk+n5TU4/y3oCXpg5
TgwPLEfUA2ADmGaxVJ0Qqg/TINtPDOtdBsG4ljHIKKrg/eDDOlxVY47AldVwvGBylpzG4hE7/tya
neGVaRuKN1y7DGeSjgDG7/rhxWj3X26p5puN7DOCCEK+wvbdv/7nQ5Hxn//4yZz380/851X0uS7A
WLS//Vu7t+L6U/bWvP9LP/1mXv1f78771H766V/A4ZE2eNu91dPdW0Ot82/72/I3/7t/+LfvVr2H
qXz7598/F13eLr8NkU6Ob+/bCywBhYZt/KDnXX7/v/5w+QD//Pvj/d8+IICN8r8dmvRT/qX5y89+
twAKx/oHqhMbKwu6KQIDFvHt93hD4eD0k+SqKNd0TEPq2Pn+HXCoy39YPPlg+WhtQVk3sUj8K5dF
d//huJZBHLdCkre4CP8nJsBF+vtf6nAb358ErcHjZOE/4928E/OTLWoMAYnhnoJvakTTjjrmD0Ln
5Vb/3Uu8cylh79EVxBKyNkLryijHXVSKjdOr+x+u/+X7L/zRzviz4eLfnwSNu8Y1UZT4vI0fzHSt
6JOAdq4PHpQWlEWIcgHMyVYfRNH9wXel/+q1dGwllqNrrgVQ4OfXAg7MqW0GYiH7/sSY41QAL0lw
XlUUgVWecC7uaYYTP8qOFjEsJ45hjzt9v1xdNUw7TTh/+Pg/y8m/f3zddbTF52Lz3syf35Ieow4o
5hFmeSjuWLn34cC+pXenYPlia/kYpOP176/4n17ynazcMoKJFXBg9K8FT/nEy7aQlJHr5IR2Q5Vb
2aM6//4lf3W7/vgp3y2rrUwcu674lCXlXqyFx9BK9r9/CX25Ud7frw6jFx4MF8vu+xspdjn3yqDl
y/WLC0O3F0Kwl5Hx0TbMKyezrnqnOzWQhVVbXHBT/en1WWf+8voYShDqY9DVkID8/E3WFsNnsld8
z+lfSqu+mdvMm2h5cvA9Sz86Ag46xra6G1S6rzIJmbH9g9nGWG6W95cAS+GydemG5rrLW/zhWVJ0
jAKzJyV+yoItgIiPRp2dy8UcosnHHNxeQWqPhmLBDMyjpRtss0Z0lGGK9tjfgLZC/8v3w4PHrXBO
GVUmCm2Olux7xB4258nff2fL8/bX98t3ZtPE4bF89+xXdZk7VogIRU7OVYvJNRUB7fBubQ7qXjTN
SUF6y7Xm9fcv+6uVDfeGiZZ/CbZy3lk4CC7lgRty7sZ8eFV1dlmKnNoJ737/Mt+c2O8/ntQYBuLu
0tkW3t0RWJ2AuLWx7yXaQ5GUl9ySDb4Jc1O2xZZQ02O8jAuCAGmLOC9LTFyEpK2KszGp85Cnt2U+
7+aZjNVo9kY3uGXiBK6Ps8eiIDUn1qNp3MlvHMh0j33gpgxmz5kncIGZp420CvV+w4tPdvj9ePHT
6eLHVdtwf3WvSZeTkgU118Ds+PO9NodSJmDIlIes+CF0swtMolNgK2gfPmILx3M1rCWGySk2ag+j
A2umTT4tMzyVxcfYBK9SRB/HEcSg5W9KG5bXeAOSHEm4tS6nfmv5NtJgzr5+PGzcOtvnbr9Na+Zm
g7Nnwn431dyXGDnmRGzcpFs3+rQz3HQ/Gv0GHbYXIAXNwcrbst8sV1IDveIbrKxEnjNIfXWbYTNW
9r7migb8/6EargHS3fjZS0U1EprNIR6z82SIbUdfZxpQOduKMqPIOqZEWLKD7KzINvWxCagq/jhK
2tC8oJUVF57yM4EKa7exroMx9Von/VhN7Slz5ZfBFNuGnK0qctZTGB/n0TgKH8DgTEyjCQpk6rbo
Ij8hNT4S9nPpI1TF0CJvCGi7kggWeifc2UN2KhqSIAL/flbVJ1GaRODW47Ux8Nha8kOmR3du0t5E
VYqIfU4e+olQ05o0jlhZe2UFG7z8my5ob6QUYLqjL0QAI5GddwVDurTsN5FrPBEVfuU48kO87AvU
o2pSm9Ylszje2DvbvGKktepZPJaFpHC+hlzbZd1drnVJvo6ZIw19gQtUEvqzAGvsLwTr7DGpAIea
x73rlHd6nJ1JjidZwr0Xw3BKI0G0qDgvv6vo5x0cnRuFhtgN/U3TpuexD47ZgFCYkf+uE9YDZ+NN
H4THpoJvCh82E/Mjg98rB3gYqYkHM+qv2qUDbqWUo+MuN9Q5zp19JdTtsuqIiFwP3bySabgznGBT
xfY+SIIV1P07HKjgl0qVIyAZXxGwbWMJUV72q1LkbJtNd4AcdA8w4REczmZsmeL2GjcI84NzXGm7
Ev0y6L8NDM1DUzlrzbfWKXG6AjNdniAisoPN4PYnswAgA56HmJVD2mPpILOzabmwrnOIgu4O7y2h
Y/WN5IsrrMkzp9QLwNFQOMJX4iZ0B5R7DG4bMmpXRBVT7tboOKzj8lWHWEciMIGJFGip2sNAl1Cv
kr0WYIqogl1TiK0VjNs+dImYUtzHfXdoh+COw/ERirinZv/bPcAonuD64OuUzLsKxDbpHZ5rBPdO
GG4sQP/LxuoYD1Kn+aHHR1sfNgGXtV6+mmBRDUYfyXjlERlWGfdJn2V7WwcEaox/WKF+tcjT4MdP
y4zSVe+347mugAi2dNlNWd+4kgTufKQlbfxh2zd+Nul9P8ABCrFcnRMs/st3R5vYt9KyAjRDvQ9A
iKe4ZlSOIfuC/s1rdOsYTdm+YyyHjqvbEIlxwaz0vOypmu0/EYNC62fM7hzZPrljevY1ex1jzvz9
VvTOhvvvd7l4cfHYObb57pjZmnGYZyjyPaFPJPzqgJUnNX8eKFZjwzyO/K9Q+lF3ulcwh1eWPe7c
mGI1KP5ksH5n2v/XW1EANJaDEjyCd4cUw07JPmQo6U1DCPhNPjCXeyUMg2QBBC9uuzHM9oQr/xPj
uXXlslhYYvP7y/HLe+OHt/Duaox9JrLG5S3Qpbp2K6r0sCg/xY378PvX+dXNAcLDIpIBFAL3yLsT
AIr3SBitCSV1SD+WmnUFuBdyvr1viZZfnhE0/xvXnbyOZagyw+epvrFApKJx3Ci/RljWb2ulzkUd
HbOOxzbs/gBs+NWxmf1bNxzX4Q42vt05P5wZ0TACpgU64XUFNLip34CyAvktNnEywOHst3rtbzqh
HgVYARxF9ur31+gXNdlCMLBddg9wHPq7SyRi1wyrERJWpr+MUJOkb3ymsbdJ8z+Vf7+oe+i4mzp9
euYI0nz/SqXl0n9GOGfEh6wzNw4TjdiXHjrBHQRwVuSX3380Yyn33x9weUlAQnBz+ITfDlE/XNzU
qcesjXjJkswAMJZb2l5wKYPtctClsxvixxKb5Q+XqpN8vC09MhjV5MYvdwQQ17VV2ccJ4QqpA9ts
Nvb2lIJkS8+zso/NXB+aNnhG5bgtC23XZf2molMXk3Qy8jOMrzcup6A6CK6kk52zSHwgDeceycAm
rpobaHXrXqpzlLD5kTnR1v2agL9jgvC7yQRmMMKJmRG7vb2ne/gyUVVNo/tBg/xZ86aXn28Ruk1x
uIG2vm/ZbSRaT1N2OBHZ48bweTmNdbweSp+TXeG/SlsUggEk+Jghb3sDSnPTcwrEA3JEN7yTlNnL
U4JOgf2wvtFYMVVq7ZfD0oCGlLDnZ4RzniioWNr4CET9ay+TPYjUR6sb7yo1X7ocaUYS91un5IgY
NQedc/By0nLZbNue+IY+RfMuNqEm7mQS7Gw92LHbHa1p/GwZ7WkORoawWFtq6+gbL1GFNZrhLCfe
U6MS9uhyXC1HEaijZ6S0h3S8csL8Re8wvsCWw838QWs4gjvyTBsCvqa9Xk6jPo7qpuQuUNFtwOmz
4tTrFgGnGnWeXGuV1uFxMInx4xr2LZqmLLhTdCB1Q+2Wn4tmDobsqIwP9wjProTin0HcD1X0deT6
FWj5MvlQ9xOVnr22VLdtl0QKNnwjmbzZT27hNuKJVHfQjDeIRnbkmHiDNu2Wg4wVqw/Swuvt+OZV
I0bAAe6jTz1C1OkN0djXfUQiBo12lziL5V7DUrnSkuxsOyPI2htAaHcx3p+8eXF0e10NJF3QM4IN
uyOQcKeXJoy6/oDg5GiyCxHu4IVRcjtPyH+LAZET5z07uc0pWGOFVEqQFBbww2Efc0guw/ulF7Lc
I8447QKWqX5geeIeXLbYTDWHyU3OUzMj0YBvTQqRslpmORPuI+5PWvtGPe/qEDU03w2jqw25CZgd
xL1bcIFoa5MasLfHZK/XnOSGBx7px9+vCH/d/ByQE/QTTVcqA9zHu9JT6Vrc8dkVl1bcL/WAYXWn
mVPlchvksbWPEjSg7rxjdrcjxmNVm+oPZelfFlzeAk1Lh64h2Au5IMx+bBIUWqXhUR4VFIhgg1YX
fqi18u10D8B4/fuPS6X7fgFcmjHQ0kjikA4y5HefV8+VyMlOkp5lxwyVAUOGKKaJbAjvXAI9zMXv
11jJrbDDDTKWXVzpRAuMLxgJ70oI1Cs6sEcU/ece3ROFDPze4dUBXCnHwMFzSMnJ2qDHbE1Tz0md
ce45TqIjMr8OZsByzFkuLkUa8q9dF9l7faIoAM4sET0OUAiXZtfscArDPbRzymk3DBYszCwBR9Cd
8H9iSDGvisQ82ib9Ize6o/64a3h0CMS5Vg53FMojjJHDapYVh//JusJxlXtRSKxj5s5ggIKnmBA9
jMOAI/XpemiXCjRljTKNlnjbnFVwzs5W7VwNbficm9GtSIpLW5PgLEdQsTZFRcl6CUOcNZZ7Nadw
BNdQ6/69ljjgpgXZB8ge+PTtREWdi3vBZrs2FieLERirSUv3ADFfRR2+TaNjrhJp7plcXqTTHXoe
X0ErognEXRInDtMW/75wbIZcfANBJc5ZEjy1JhUhlSOjUKwFAOxZCY4knO3gxR99mV9am6LOZrtC
v340cmpgRlhBhXu5CfDDtNqWFdlM2OtaCRRX3Se8Ji2zWx0JIZmm50ozj8hhriT1dCrUZnkuGhPp
Xm7tR7iK3GbHiWKfVJ89gDzkncBIyxBSNflDdXC3LLNu6T6isVq5LYDJGlm+VeL8WX65ivfRSChX
2kVrt6WardJ9a7ApzvUelCmJDU2yrmR7b5RQD3zkr7T3v7hOiy9EoiIOAUC2EJ32lkGIdV4gSJVf
O3wzqwYhI3E24TEVCeG9DDLl5OEiXKNN/pQk8j4ibwQnyq3D2oKg+rwU3jGL8kwhVWrtawj1YSWy
Rd4g5ulYTukt46UPthHeMYS7q1icN6rLWLBkdgka/3EpscM4Je7MJdij7rbgmj1jDNZgVAnqDDYO
oPyuIKYW5oskwzIrxCYv3YNGnQxt5QXRz2Y5b6c6niiHNZPwQP9U6OaRlv8xdZ2HpuF0Us0jLl3E
KgWKTFQYWApNGX9U8MC3KDW9jhHJadnpyQT5w9n5FyuHBCXGmIUzofaXXn1LeyubGs31pCLNeuJi
svE6yyNo4U+kO/H7peqvLwfVhhY1DzSNT4hwP6+KGsKb0WxzCqS0Oy3nk5CqmYH4p+VOL8fhDy/3
i43AovsoJbwIx+Kfd+2zCf6U41gDmX8s+ikFdh25zNNnbUfPBrVN8qJN4T3yynMUYqRoMGio+Pbb
Z/4fzQj/ewPA/5dJ4v+HQ0K+3P/14wjypxHh/4Ysln76cS7IX/8+FTQsJn8LL4rxn2LnXO6S70NB
XWe6t1ApGcjZ/B3Jn2AsbcN//l1Y/zAtG+MKwy0F0gdF5/8dChL7CGoUzJOmL80D/sj8n0wFvzUb
/qvjvBQ1vAyBG7xH8Jj6+45zEWot0Bp368ZGq8GSmVWWIo3sog4hqplql8zv7Xsyx2Pbi8d5aY8p
hJpGpaYvgXBcCtJQZp+IATMB3DTJCAcmHG4muxcvbWQZhYdWf3iqY7cimryNh2urdUJ5Sjs2K86b
GBUY/9fic48OHa+ziNUIniKn9UcagK1gs08pSV1Jp+7xs3TM/TErjGtpAYqBeatshIG4J9UTbvbc
Xc06+jbOhFq9tUi1+xokWpCBPkDPvNGxXiqOcmn0AdsyFK5IRLwC8r74wQVL466VsO2CUM0UksWI
6SX2+lobY4xTiURlbRpFtZZlpVH05Hr7wRqiYDwuMJkMNxba2lWFAZHscxczYnAlYEXuEFz0BQk2
kyyBQg/CiKMN0Is4//rDLXf5/pX92F9fDmE/fZEMj2leLese3RpGxj8vR0NZziSk0PnTcvcm0dzh
yffRVv3hfPZzH4TfzqCIgRmTF+BGyAW5aX88CqoUp1Zv6DdDn2COEqgss31ddE2474M5ii6//0yO
9XOvTML15N7kruQFbebg5rtFL0cy7PtR9+o4IIGw0Sfpc67c7FOkVFNA5idv4ahwOVRUrc7i/HZC
lLYjHE5EOGNUnmCBYxaf23D4GNeSILWQL61q3tK2k3rxHIAXy3dlqgeXEVEFJ8CAM+BOtpMvT+ak
c0ZzkJ2N0KR97r1gVFg5TXa1aRXV43jEGJCTJpylIQGFeIlIhAxFezFJJ3iS1hTBQelbc/DAFZBO
MsNK4JxScZTuZiABOPYjXT74w0JXSWvLzDazO5v1VpNl7UETYJcdy7Yu90wxBsyBkdOXnijh4G9t
hm5ftCx0nyfurWRt1xKXNMymPtyThuzsu7meSopgW8gd0hn7DSCWfRzsciBNLumSxckioh5xZNVw
kp08oyoJu6MLa+CywQCj2ze1OwHYq2cDfU1Jgs9rggfK4oDXRhlNSEcQKmGWo4vFOrMvY5436hg5
aEVXnNNxV8Tklb22uG1yPCFOJNczfgvNc2ngVmvbKkDc+MwvPunghAYK9Yz4V0fUERQtFO7ZNp2S
3LibZ91S4ABDxGo4Q7vrxswa++y0WU9kbT8AcbGJWsK4AKThBAZCGvjVre4pNHEIria8//B0JO/z
uIC7OKbx9J/nIUyzQ0xV9wBBhUpSBMoytmDczae5N2BH+XUH6s+IpdPCNmuIDUqsDM18HOJhWI0M
D9pjKySXAsLkeF8GPm6BMChNJLBdq1mksOUSCaRuEW5IZqvfcFqkxuXWmQL3SNKGi7M8zXIvNIHW
HsI2iUMvmLESUtYQXrF285BqPB4A8G86PdZIcC8i/UNCRPPbEEzJW4iUnbQm0eG0x9jgVMcyQFeG
ILUDRIVx0/FY+uZ9q9nuWaqop+YgI2/dzPa1ERsEhhKNF+tbomzxRyKK09bkidlPppzHx0HI8php
A+CasR3eCMjsniKuouG59HmIxaasKrxgMBMDOzL8ZhgjltWA1+nriyOTSa6HdCaRdkAtuAREyj70
Ws7CN60+W58drvET4TmBfZKlUuQogYKHtTpNvdjNxJaQQl51HIpJP+PbSHGjuJ4WFYBSSJ4Y7ieK
8m5bmhIRpkXKdkcnKs+RnXZDTZrHFCXbdnDloXXm6mvKAkMmfJEPule1do2MWYz6JjeN+oGUtvHN
Jr7QWA2m0xxs8FXBjlqebgIprukb32Liej5ZJ81KJSIsoe/0BT7vyfFvizQ0431MwjHnZNhcDQiz
dJxXgRO16E8JUnyV+FauBLIu/dTNpfw6mrZzM8BVeAvnoqw3ojJt7Et1ikw2qGAOwU1LwdTRF0ge
yT+or1ww+F87OhYwIUTmP5dZX2HYy8MIpz4YKL5WfTDuldWUdxOQRcZ2kWUCwadxRFMqKt2bQEuM
AGLwULtb3MgC7sFUBp/zwCqfzDBhbNq6c5usMf2ltJ+l2Q5ru/e5/2Yk6fvGnHsdpXSh7ijdtGyF
ClDjgvUjk+V0wvTg5b5WPfpsjwmWCst/c0hNQgZnmGRGFSrVQP6ktL9awyxk9zlH2gYSoaqI4PG5
Xfk7Q5PJcwhn5lZrFsMVbV7EjyrNtA4oWzBbxc4s8sSYT76xyOzDri2Y5mq26I8LsgxXrTAq4XGO
xiTD8uC6zI2Ue4KYMwsSBery1pjKAQQjy0DvSaJY6UGRK7h2CrF0GKPA3ZT05l8SwPrARpFYv0VO
YJLFFITTY10J34FhIYgdDmVN4l3eNMCfEfoTchtgKq3pZZnltZr6zgX1kkc0FBD0ETRLzAna4KrA
xxuanAU8/AzkGAw+TVwc3FL7MDSt/laDWP1iZzZXtZ2C8Ma0DfE8YmpYCkYRfY2DiUhT34HRdhyS
TFHANoTdryrZZDxCssNZmxVh9zVHOWV5gYi6YiszS6OwnUYoEamPG2KTWhVGSsTiCwVz9ueGMNBq
xK6QMn8hysHxpxW2Rlb/aJrzh7AMxOeaMfBHNbftDRwX96moa+1z7hN5vVIhOv6Va0JV4zmVeeSl
jc50cTH5M0oOtGpaYRvIGyzcfvwUu4KRvaMCG8dnj8mJTNMYfbRB6A5ZupZlvoZw4AyMnlizIe6g
fq2E1jJoD+FoBikWoZUVxpZ2srOCyFCtje5b7vcaxD39wDoxWPfLVPNvRkASg6fajoJbRCSNEoqe
YqcJehvklcBbx1TJn0PPysrsaI88Xdj2KeUWq2lyGeKmY9OZFJUxiNH2os+cJemH6unnzMxL6Joc
k75WfZc/J33gf5GJBuHBiQP5LHsSUJeoBgArIUBYWG1u4XxJQ7vhFDmSCrwySWM2IAqODka01PnE
zDn4mLU8dIheWwbKWtJULaN9FFC4W2e4PwSTaNAkpOIs0/d5/5yBxntG+TjbWxUmCmvdKk0qkluT
ARQ8eKAooPNgg6L6munkr7KJNcb1yFP2goPW/Az2tZ1XwG9gSbkOYD8vxo2aeFlKgt65JPm9Zk8f
wvrSSBU/9xQBsLKgbe4Xs+YSMFZ11cHtQ9RwY9Wnzdb1O1KaFdMLsuh8TBubkLxqQIA0UDoQKtGs
n5mjze7ObVPRntTclOUTqjkG3VADRH+HqRH2XjAM+b0tTN+4HmBhVHviQlvuyNwyxppqo8AdNUIW
tFq9X5dObeuvuU8838KWCSY7X2OU0jiYOeSW2gTyVrExgaxFz2sB1iq1YAZiwZHyWNllNvns6DLA
Gom1yh62HR1/vvosqefoNbKB16HrS9GoF4Xv22eE0o6BNDlDz45OJej97CLI0SsnbHMWaDEztbFS
rdKUpLdhnXFqFSb8mcgQl4lk6OQsOyX8YD1qhBB9wRSaCkiPVuxeEhrOzhfErHweCY4nAlg3sTIe
NNlrqKv0cExwCsxDriCYKVlE29I36v/D3nktx42kbfpW9gbQgYTHaVl6T7akE4QoqeGBRCb81e+T
JGenyZ6fijnYiD3YjpipEFmsAhJpPvMauWs7NBM2fh4tpDI4Zy/hUWN3kj/qeDUiRHAYiuFpNY5s
j/kAze2AFoKdPAxFTZttU7prHhwIRRx1ksa6oJLn1ypybhFCwH8FIo6vgjuYWMg4bHOkldBym4qQ
U5SKLUfdjD9uBmsJaoR+XFQ/IPSgIZmzPwItD/c4sHj6EjJe1qA5qsbpUocdxS1wETB76KjOJL6n
iQfi8nro4D6jzO67062UY+LcO1pGwWWtcBre4jk9PsXWyp4mysQLcJqtCW+iyTiMJoXn/jll8/KX
FkpjbFcqI82M/kp10qTu9EULOSR7qrjjOcy7HPQC1lyEJ3g4/2gawP8PFrH1vGkKe4USk9TAxwGG
OOgpBqG22SiX1d62yLMfa+EYDA18si/Z6shup/TgwfnJvGrdR+3qy9PYz2LnTExdZm87o2ywD6H7
ZMyvBLST7ENN0orpVA6dBnY+MkqVS+8hKbCvWlDHmHd5bXkS/BNWbfsilulf2IRy8mZRAwenbbRC
Vq+Gq41rT+3scfUgtMfYor+ZI5cra88LVA48ju4QKRZCdtRMQeMTBndJhk83ggzV3ST84YdTxO5P
gG5D+sWyu/xLJVV6m7ZIl9LVH8ue0rrGI22l+fbTsUenuElaWJx7qo4hnqpNPCzcOpiFOkC0cUNL
Tf/CbUnC7sPz6SRS60rBSkU+yQSkVzLviDr1KQiS4XH23P4J5gkh7rLiUrlBSiEI4WroCde7VkM+
mSEKHjPtVtHWItvNN5Pd+NcCTRuEPuI0fbBVUH9dCZcC3E5jVPHmAnzsocusjCWUpesz/Sb0cCUq
Od2m1Ql1hNGec+/U8RFr7JCnu8WKHdBpAfpp2QSqRDaril2bQwnBrIQlIub+8JLk/l+oqX1qu/P/
YNHMMen8/1w2e0yB078rm738wWvhzAUyb9sOvXAqDbSfjHXAa+HMif+gLY5mTQCxG10JmvZvdTPv
D8f1bDgYbkjxzA4N2vUNS2+JP/BMpZKAWB6pjkfJ9r8pm7kfgOEUJujRe4hWcR1owePe874QMlVL
odFhv+u6EJF3BSrFgsg9ZFgmprN1uaRI8QUTXE+rhUW3kdJ3Lv3WjSHvVG321UITat5gws58VyLI
82NPjuAjAgL/ZmuFsenJoC+EWU+drmiv+HAydlmxTl8wffKX0ykqFiTdoLBBio7z5GHs+xGTW7Z4
KJN2Vn9fgjqdiZq9tbvoCM+z5OhS7ZuAVYkVknq8rkBQIKYTlokDlNxGym0ZOMo7ZvCiHLFFtKhb
7pF3QDchRSBg20HD9OaNj1WbD0MaR9ctUrb5vfJSZLdt5Szo8E4jB/CkHRAZnAhzivRS32Xk6TVJ
Q16L+ss0WCHx/NhwiqWOsAjknaT4yx4c70sX5B1OgnXjGsYVSQlQxmaBQTWQRDhrFYGHawHlH2yC
gJjcPggMzy0EkePYE4JCtZb2SbzUzXhEVr5Ekwje307JFUnAKcHv/DBOtvsNFmD3KAGXEsenrTpE
qH2G+xaJErGZPFkcK9tjPIiqZXxe5CJ0jNC2yL8OTgL5NylwssNdYtV/5tM0xV/xwJNfC7pF5a5I
kejHXhd9beoZwOZQz/D/xHgXyXB0pqyNlTULGhJ1DjPO9lBrYz9DhWo3+cWOk6gvdmHdrOw2tVte
qFBQkS2RxxCbDiPaF9PHNkYQKdbXkxf7agfex0doz5pJ+2qOkgvAaw7Z6VTTPaKy4M27EVZZgm6k
wKqGghYFmjCNEmtDI3ZG2EI0iHMzu8RwKOuSWNdqLIT5ZDy6aO343hpT9KIjiGyNr22kBIDVw6hr
p3gvGpcmXrHo7BdivJa1UemK4ixV7c74zo8BIMQJuYcN0T74ID1N0RW6DXm1mWLU6XdQOfvsEkXh
8lnIRtzM2VDVyFtboEt1z7k8xmS5+1EHmOLWoXM3QaOa3J1b1sqR+xKl1EhvI2TeSyhyRL7J16VM
4+ovqHoV3DIH5a7hFJdTZgdn5ly225VkE8lw4/V2aVUlMr3RMBFP2rOnjxnTDTyFGJfryl3dYJ+u
i/IvrZ7tYMvhNn5RcAku47YW8mivuCEeGlyO/X1YA5PcNpRG7MOUL9B/62j+iXYT4ARTxnCeUrjV
4hiHMiMSEZiFna6LNkiion9G7Sh8yNacpGnVdXULNpxajRWQ6uzbyNLlOSk78qLLYEHllU5qbxS5
PSRcf76K5jyAWVciYONVJezOOkrXh2nSXgh914n/smVaXiGZsS6XoRV1eoe4QoCJYD59tccMRqHd
cXjvlZNlT5Ndhskuc8IaiX+vQy+pa9UWzbq+wgookxdokXbdXTu5wL9QrA38PSKK8qvvp7iO625E
qqEJij+RurFdmPozIuFlGSATGCV2cDMFDvPO71S4q1AQw1oi9svHNE685ApTZ9JRRan3TLV5JI+I
wbjzAUUd1E9wrihhXaIaWB5F3y9/SbxqZ33hD+EwBofQLVvC+qSZ6jsbD3kCfVlO35Ohaq9DxLYw
MwjR9MGiKlvyXdQP9WUxYOIMW1Wz5aH5u1ynfYmeZjLYU3fw48al5J8otEgSPypso8hK6Qm340Lf
enYWWHtqLMtAEz+BmFyISOidRQmjOBG2x+fU+HuO35AARcZXj9HMVu8lOfyBqPD6Q9Bn8w+6KNMX
4unw2W5qcRfQSzm4ukLDAunQVd/ABvYatdWEpicwtZPGZBDxD9+eGn/Xhms5nUX9RNl6SXXVMP1R
QdhgdSmNYBFKECIe8an1E8lwzDNIG8IvdHNA6g3rtz6sWRJhjIfMdgB/2uycYNXThrZUOOznxbXS
g6M9EsKkGrpuM/lxsm4bQca2DqUQaJna05OM+xmVH19HZ64ZAjDfql03cKqQNvn/kVK/vHAQPdo1
n0RKHA6/fv6v+/57/0v/vc+IB9C/Oo1WEPwBvxCKiuEy0S+xgfG8tRpD5w+A/jExyyv/798hUyj+
cCEm/puW+C/uYfQHgq7w9TAmBKdMo/K/CpcIvP7WnIJxCHwIW1HhmoYnDlcGaPl3VKMoVCOm0v8F
v4W8EPteQBbV1pYkI0++z0r9jpw7irmsQr14FIlnn1oHM95+ThvlIUjfYrwdnkGWxbClBCPU4ShR
V7Cs/Vri09WWsy+f/bIv5nbHWFUFAUQIzfhXOKPUcFdhFFt9p00rkx8u9Y3givpsh049pAfNpXjS
V/V1JgiQ2CkqlKVxX6BFU1+IEFQRuhloVS7nDkWf4i9Ljy1/87dH+h8aeO/xBHSGMUrkuKa3TzOL
4frQwOOYJy2kNformcwOe9LXHkClyhu1ClEoSvt8QpxSYjJNXSt3ktc05H/k53zAF/D9ITZs4Lvw
NuJJcTHvn9FauJEGGZ//LETplhgetK4PSIrdwOqKg5qnVPU7lfUpin+WZ62yuZk8d9EO7P41mNwz
+rqIGG3atnOVuELeruN3n4/RB1Q6kHkBJZZWNfEFMTyD9f4io84BR6WD9rnhbGdWFIwHwk/jYveL
f+4mPjNJp4Mq0erwG54RgudK+CeRVUAb3XQkvC9zacn4K5SOK+CJcylRef/NhZpG6L/bseZCY5f+
Pl405DB4X36Y8WBpGyggq/us0U230OLrtawGvGp6VHUoAy8dF2eF9cjv2gX9+WUXlesCMhOBolPN
EYijQr2u9nJe4yFtgrfYDpC1GHzbqu6COk4pdoAvnhlkxyoWfBPsNa74VBSeJrbrz2+IzePd/dgu
MBdALm5Ar81sCO8Hfs6ApWfKtX7SnhvRPUnXMA07jmavd42sRx9QM/dtqCiff++HVQHQG3NU6M8O
jWCT2H34XjksbdiiQPEzXVjtAUwZWWk0pxIHj6CpyIf8ukmyvkewJWsdcoTPv/7jY8TqwYsAf4PD
8GFIh2ZY/rZxpeh2WPacuT8t9I479HAnuBLf2cKs/hQdlrC6yi3RikuCz2W4L7URnaJ3mVcMyudX
8r7z7jGJsPSKIEMYIjg88Q8DAYvGLuiGJj+SeG18dWw7WSfLni6pjg2ZW808lc+/8p83DywlAJ5C
3992iW/f33wGfaoqFlv99IKJ/fWwiGDF5dJXEyShfR5RefumBkYdbasgDINvLVYcKt6PSJLI6TcT
wSyY9wvKhQlkez5lRrO2Pqx81NIiZYMue54VJlU2HdbS5irseXKJ8mfljta9dMrOzEZCIvOSy/R3
jIB/bEC2b5w/XzZql+P0o5lXGq8wcmVvPVPKI+I/mfvMbIiU7jLEgQd8sVZvm9caW9LNjIYcY+Nj
czAgbhwUaPtZQjX3cZ3Vqtl1sMuduxpH+d/xVT9wNIxcgIgAZcMSp5UIcuLDvOXKmo7mgPwW+q1f
YDQBtpdLAaAaYwUhVorR0CSX1zVcDR6/G14mtRRJxK/mqXcRqqcn+vtp9WJE9/dH6QDBpfQeC6qj
Zjp/eJTlXOoa/Xj5TSpGET03Dbrm0hEZ3peuxheIhlIyVutTTRWXKgcmCJRPKdWRy92l3ZpYJ6r2
ivWJ3r0OUDwKTIAwozWFLGaJBhObaatdjNyB+Ib+eCdVUa5PawUbtkSgmmo6UjDslWynbRNn/NBd
FJFIVM8zO63rFwsverUBg+wklQ99AOlkdtpyTnMCjO7l65FjsqjTRO1c8BEtwQNXDgrJxAa99Ovy
+4zVcicR6kJc/N5z27W/UKqkHlRVZK9QNNMEZabU43BFQbtJvCf0igRHQhilxBlj17SEKJ+v6o8b
CaMfwvQWhoEGUuilsvW3Lc1NliYVsay+raLWZAQzvHD0nae2aKtThJHIGn8DXfy4dB0kGG1HcHqg
owCG58Nk1MrWGQqn01eXzJvJOA2emf6ODkuOkGDs6LcmhbsyCSdnAOp8GRIGME8/v3Hn450DcqNP
wfbpwz72iJLf72erOw4QOIP6qfaaunc3fTv41q+2yzpih6zUjdirJGzzm5FGEPGBzHww9inFFHDi
UYiK1bihDYBOZhIF97NLQWihoCGC8Y7yH41yUq65PWcS0a0rbJI9ScYXoPF1Zmc28xAJec6406Qo
e3NOj57vXjucOjjUuKVCj/n4+R2LDzt45LJBcehx19ytS07w/o7LIDFutTp8pD9pE8SijuUQxI6r
mbegW4FEZ4LGL9lhGePFs0n7l8jWCkBIsyqGAjmP+2SmO16B+cvXWp3k0nFNQEPtyxYg7Eep8+OK
dD+rLplqE1OLJapZnaHAE+I3s/elsPq3zSPiHKaQC9bN5wkK6rDvb6lzwYS1ReM8Rn3msrZ63GS5
gN5CupSl+7KOHdteuLaEHhVLnL3SbClKdoSFViYI48Xsmx+1qDiX36u4gDOYT3iY0WZepja4SjrQ
4+f0vcwtLmkd6ENphQoFX5TPXb1diO643c+fFjnVuyOOW4uh/JlicmT7uOZ+uLV+Rkq0Gtrl0U1H
s1P1MFLHO0zr8vZHb0elg+9N33brE1qiJpqtrRbo5Mkc1FW6gH0PRJ8eYtcapkdiJcVwTKhVM/vc
cWU3QRI4Zop5UyXN7jawbZ7kjqRUu+05kfjCnM4z/yLHEgwFTSOGAlg5iDY0sgaKzxt6WQX/eh0f
sxWWFPj/T2L7H7KgD2s0IrjndA0BARl67D8CLjGtXrAEnfUw1iG+HofXIMuhcDeWWzJLynO/2xbM
sn83owK6CYSXsH75HyHG+xllFzhJBsCaHvQgmCH90vdMKCJ1xscrpNf6+F9YLRA4/LAXBrwak4YE
g02PUZrUTKstDHSE+1LSexGbAQtyvFNUVDgBaouFj1EaB9XbY0s7ZEIBFVRUzfA10LZ5HGk5mwdh
UWrmJV5QkL6zW+S0cWcukb9EJrM3eerno+29qMW8v3lzCLBJCAqO/4zriZ20lSJT94DPZYAEVT+U
Lp36yU6Kq8ABMbPsu0wFMtoYsHKBRCPKk92ZXQ0uIH9JbmKdY2FmeZdgM0JaBFM7Y7aMFRyaVoMX
7Gj/t9VPr6hWdVe3Qa2+T6uopmtvFPa87qKiwSpv25Ht6eEwTUgvXCl6FTO2zTQMxIVrG6pp06hY
QHPuB8Tf2znqVoq5zajo/yNnPLIYRiCfSwU6ysfZ+4Cv+eDdUz2Feb61ZzFMeJ7FU4buAOJbaX9K
uZU8ahtim4yGgsqYivJ0Lpdk2HSISAeHEUk2mqM401FJDVonfxpgq+OX4/W0Rqjrowi6wVgEuec4
d7C3Sf0K5TSoyLuOuhgQpbix0aacROYcUktHmb2XZVt7j2Cj09J6jFtkyx7mHhLBpaX7xrrjxAiH
nzTZA+BpIaBJWuNtC43kNp6BJR4T5Nfmw9p6EU6BMaLWTmYsEXQXPYuaGuzPzEGXZN4xVZbuVzzQ
68GaBuVPUZz0SdMhOE/Q7FfBMamtMriKRWiVJdoQ0kGJ4BcNZbdnlGcBAd67XNEXYEqvNNFldusG
do/iW9PQFQlPhzjJs+qigfrWpRBT0n4aLyZAmHl+SGDqD/4dGtRudxoU1A+paeI8gWGnHFebY73S
UT7Fm9Tygq4HGqPWgoZWiqY18tB5zWmzLZHCY4MdJZKaX9CPC3x9yuRAD3A7Af6kvjBIoq4YjJQb
zcF15YQhL/3rD608x+dvgxyWx9etrfa653VAPXs8KwIlU+dEzJYVhltcmsohPM5NYZosvod6yEQt
08q5HUBfHCrf5wTto3hb0Mb302sAHigY3yCBXEwVJi2u5cjTcljiaLwOCtfP400XQ4LsDiEiIVn5
hNhGYq3nnldpRspaOrbsS3btLvPPQbaosMLsrcsFGhvFVKDoMhVsBAg25AJfgy1blrkkEJGV7ext
MGg5ljSyBMu8a3rb8psvkLUavq9GVCJ+HFDo77aKbIyRBQyWc4KgVJiZD+H6CVk2XRebmB4HEe5+
KzMaOMGhyNBGpclT9SUvrc56676pMQAnTBj7NAIaj34GE2AFVobxY6xq3gdq09xq1vsrw9cVIf9x
luiEb6syQUaG07B5PAIpcsf/EwabGefGiwtqSdaAl4pjHCWjzPvVIYlAxqFyUJ7hFoHCJey2OZDl
weIJekM3PPVFM+QN42UBmzxmA+qF82VE/59LyXnScr0PmFl8g8uvuufEms0EC5Rlnry/WPyswv6J
n42j4K0cseBxuYYR4yru8e1+lHLd7pmCW8bPfBDHwX2Jc1zsbr2JziIqhGEmGIu32QN4LuYjQ0Qb
+V3SLy+DMTBr1PYtxo391Tf/cjUq+66dK+v+bait17f/a5Bf30em6JSXoSNrLgAAWTY+l3kAUveY
N4DS58sO23e+KzVGZzay1EHaxhv/9UG1K0RgwxBeBpWeorWzQAoVZTYuwXVcDy2jNDo1Eh5UYan0
qC1pbjLGm9JeTNCb1qAnWaMhoL3n+HUEW8kKYl97vafMycnRtrJtgkmcLENkamn266N9nR5BUlaM
D/Bg/mLv037hE+dgASZySAUNQgIJLwPSv13azg6zx9XKvaE/405dM7yvE2kdEN4l/nZc8ykiV6js
k5uFLrNL95m59NcBRepy5R9t5aIOuYfGiErK6Yqc5CyPqamr2PsJFCRrOi5SUybQE883H0OnexZB
2jB9tE/Eys2rkWD3WlPLNh/oYLeh8FxIUZLdVo1tlkO9+ub6mwFA6PQ4VGmV5ocmjfhcqH4C6bdS
g7Lrz1GkMnMlLzQa7Me3IY/RBOVyZmBnfAgnAC3UTQGajnN+FPgW4uijFWIxO9lZPXIxtk4Tvtwv
spaUqa9exF4o71Hf4DFlwyk0YLOcB85XfoaEa1BEh5JgcV7O3FhXc3vSe62NzGkVe5hSbxJIm/0p
hr8D78/6TvNC0OhXV3U38P9LPVHKocUkqKt01PKrK7A/CUWBSRXU98Dqt+NT0CRAJVGcR0moR8mE
rRwLd7dz2GEiBRI/2lc1R2y9n/GUgWlNk0ut81c7mAv2G9pNbVmevJWTaS1mqjgMGd5R8sfiac91
0RvPGI6j+7JmujbCBmKj0TlI1ic3i9qpf8RV0Sg79a+3jvmvZoigI2ByyvEIWNvfB6uNhPy2V54Z
PjFLM2uoLpsp/lrFi3BpYQTEgPwIdM08d3hRTHDe3+UU5KwNDhRUN0H1IcyGRHUOsuLSlULxjmAR
Jocd/UEzr16LLKvwK5UA8OrwRTtN6bryGetrnSohLadq1PleSdUuESWpb12TOzXbHtYReWhdBmY9
IcqNVP82LaOerRKXvIUzTy/sNAVg/cAM3pC7plTgDGArm5uiasA8nuMbw11+nQjPEusMdXSl8qsY
xQGKVO3AcXcZlokb9LceRWeEFOakQDHrEKB3X+kdpQv0VzYhRaDgm5e6gpScwzDm4a+Wt3JXAY6A
DGhNY5RRU44STL7XkSz6lnqom9toIp5Nq49q2m25DpN1rwimqSqssouDb+y3zC8ke+F2H4HwmntI
JHiD7kB6aapUFcByUwuI63aS34J4yTrx7M1VUF3h+SGX5ACvTPfWX7BnCtjOnGigLTe6ogprwRMR
oXqifzCV/YOddkWa0sBd3Gy+mwArut3PGFWCzvmqk4jSxFGVw1jHW8tZdfm0eoBQ2s3A6QA7uhcC
LP8mhIc2iIFZjtS1sx35oQX1EuAM8Sct35c7eX2WncTExd/6vovE+D552W4qxJmYbvGSmt2E6N8s
3lzX5h3NSw05KRzzM6BLICK2C2qLvCQo3vIOMndTYc9xNWcpw2bqk6u1X4TcFyxUsyrj2vzmbcoS
U7ITwV0wv3qtyprt1Eq3al4UHD3hKDu6GbIwBRsMgo4aLpCRJHZOp64xqxyspikHavpEvHiEZf1p
t9rMb8+mCn5Fl8FceZlDbPz29kU+PXvUCZgq1v1rxtbkxRqWm6KRg3dbvm5Y5WuhsQNdxWywUDk3
16gC5XnI/NdoYID4DwbrHta95J577FuZSrmTmjAu8wDy3IdjZS5reFlwVltyjiBFADeGUMYxbUbk
rWYzJ8Nkdcp842e6qes91GdW4+F1QOjamE2vjAITYnlaWMV55rgVFK3P06sPCT21HPYHZrDD5haI
fzSBsh5iKN0l5z5r24CrDlOwYfdqQh77qrM8s4KqkcKLQTl15to//3qTuP4ttzNfDyMYdmlshEJZ
uO8TWzXMLXiEkFLV69ZYUAPmKsgDWEmff9WHQhOryUbZj++iZMX/f9S0gnXcIdohmn/NERtwULvt
ZOJ518jimtkdQ2jiZcgLnnDrKY9H9rY5fn4t70sIPgKDVIVABhsVCZCA7odOSTK6DuXbIr2P6e0E
33KkWtiiccsL3f2KGeBvx/mfX+hgcUPDPYodiovxh7pimSlbwFFJ7tBv5qBIS07803Ap2ebeVvbn
NyjesyLNHVK7BcYI7dwBS/KxkDlXhZc2fRXcve0YOCuYov2CPQPy36CYjOCcxObrdphcHHvqoTH7
uavYGiy9epxHv7mi9zOdKyKVghVKgw4+MyW6D4XGJbZBNC7YLwLQM4tqIq5jjc9DmbCv59GYmzzB
GxZWZuxyOBBagMrlBYhuN+BL0JHZH/zabX2ot2wty5atvuPtrI9EXOWLSz65nV6bP/J1m/38Jj4+
Rh6cZ7uIXPiUZAWs7ffLhXMXO6vZGq8yXZqdaX0JhKT2m+F2saLB+43E7X/6Pt/mQZr/gn+IioYz
0QiE3uHq7dib0wxOl92ys0Lf0nn6X5XWfJuSv4ioLLJxs1T/sR1glWLcJvLi6vVYIkg2TyMscX1C
a6kzB8bnA/p+/6E+G9N+QsIMUArNQ/79fkCnZZ1ztfooWDSWKiEq1XXofgNVnf12Cf7zq3h0EW2v
yCPTDz9udXXi1MuQBunJaygy+lRHmEeOAaH95q7eoBj/3lh9aoV8VQxA5qU9jEzN+xuzbfoyeJ3q
o1odGydOx59NT3wAkzq0f+m1oa2KX29KbTXe1LCLcDnt/bQX9TmnNRCcFAtkSeXnwvGoPRiSvZ+m
+FoQG/jtVTLnpZgXpEdpOX3VXVeTBqnC8ZpuX1fD6vRgYO0AAY9IYZ1VXbizaN3gJn7t55Vo01ju
dQKirJsvyzQbYyAzYORyQU2kAKpxQqIR5mh5WIXkUbwFKKHFn2WgTiczFYjQIw6L4GUbe001yslm
654gjrB1kxqaMGAaHWRITlonIk9onIE3EGIFQ3gFjs0Ec9ZrbCOBMrDabRkJkPul7msBDUGrGK5Y
IMOqGMD6v5Y8Oo5N3IheA5mXCIrO2sT4rrBn2STCbqSyRG4BWHkvo5avrLFAIFKw6Vbk6baaa00+
RT2/KqpHl7A3dq8CLIU9eVoEtmWKAXpU1FkhaJs8DKFu7XYww2BYjndUYEK6DNB8+6hNthYydxPQ
5c6IPDg3cRdLxDnTDi347sFf4nFtH+g3mI4WMSBKz1dtr2kiPOSSanO6A4REO/mQqU4Y1xJB0PnX
QuoJYM4P5sn5JnwMVyIc2adE3jaYcZYOprHaAm4r2ThmrEz6DOTLvmkXnu1umh2o3RvbuOSOW0Iz
4cOaRRVtuihj3cMZBzwyYWhmxZGiL5pntkbgqurRQbJriJ47sJayaTZ12NTqS0PlxYIK+Npye9uL
OtAraXAB8TMk4WiyKkBj+S3OovBt4sQFJ15eXqdG9RINNmGFm9NR4Qs2yA3SCQFmtUqnbchloNsD
XbS0xviBTbyN7iVSTxW+3RjtAJpPp3t/yUFALznW3Lk3uie57a6ntZrHEyoZ7V2oAgdNEz+7CvMe
t63OG9VDwqQ+8VLg8QiJOtlzgSXWlxSW8G6OBcasUeXi/Uylczs5jSEa299wHzcCSDK4CKZcwmXO
sEbpsAo6gBX3kFTOh2u8oXobNL3b76PFRsSm1EH9I5PDPaRKea48Kz2Hfd7vfU0JGjgEvhftEO9Q
BI5uAfhi05PL/GeuO6SNIU9uFg9qsp/E3Vm0OvVhSRq6wA18aT46WpqtVzThYeIjTyPysWdj1Hl0
liz52cVldSxnUUHqiQv/kBV2ey89avPYKtuYXFngcB+neY2+VxZ+5LE71A8T4rp7G0WPMxgUWb5p
Lcu98CjTHVSvm1+6CJNbiod4tWRoTf4UtHrIZ4QUd7B6MvhkS2Ptha77Oz2iiGa2gh0qCMMZBKCl
hBY24XEVxkkWfclHJ15gOQXDD+14hdi3g+xJc/I6g0Hq+tGvqPdD/L4TC9scBPX9nSf64nYeXViJ
9OrPfd2LbptEWfvdLrS8mEN4nToQZoYmvumhpuN0NhPOXtohJnlUv60zBAgz3ETZ/X6KCT+hzbpi
3EvaLK2vk+ymX51lzVsnF+t3rYvWAVEggQ+uq2bmZpWscPxq1YDM8VTOZ8GQYkltw1q6WkTIRkxK
BZPBrdwzL7IreabmTh0cOTjnflXPGyq9T/60/LCHJLnyBMtn1EO/o7QIczOdIR7v/KV1917YN1cy
89TXRaJ6WNi0t1O9GUowEOU2RDnRuHy53nc604gGO1VzbCkUQGWo+9tZNOWtRv2s3JZ9nz522dJ9
UbNEbq+bh3mbCCWLTcH10XGNqLmx8OZsxbAlmm5iR2O13uCa/b2o5Yq4gV0/NS04YClHcRvTRDiV
uAVsB2UnZ17eeN91FMwXcAAUSsUUXPnSpAcMbXVkpEN6EUTIb2P4XsbflUVQs8OEnnjFL3R3E0zg
z9nog2Ab5xinov2Q3YCqA9sBcfTRaRt5HIdZHAs5Bt+Vmzzis1k8rl29RsdOQl/Gryv9tTAgx6wP
sTglDFzuexX7yUZ5HR1bPB82Nga4p0FcymNHHCo2aajjx7jp42d3lu5DoZL2eVzH9Rc2dcluDFt0
aQEWHFE8c3Zwyft74kvA50g0X2AjX35b7bY5upVIQOZQTr7KFtwgQZqyI9l4G1IP8svgJKQxs5W6
KY6lP6hHsD0u1z/C6rMb91DAivtKXa67gaigTgTEtvu6Viuq4UW3n0O2XNLgOr9qPLs/U4M33TQ6
UQ8qirwfiJuxOTjdMl55S83ioaZ1Ldx+wK0qnE7zaXYxbBqiBjJL7e1Ij0FYUvaIT1dLJRdJkqnb
1Ymyx4jSyddujfoHDvz0hMUWXq4CKRKO+hxXUCirdLiFu8Xut9pF69K4zHfVHNbUam+QHMtu0rmV
HTY2lX1QU9F9lT34eJLrdb1QqGmcAyuECGjV7UPqIhPEnl3Pexf23Ymg57cd5epdR2PqUplX1k8r
gQxvXyyQR/J4u9Qzse4uHChpRxel747I9tqQWqoegp1MLiZLpjdUWaory1uap6pX3/kb6E89ehe6
JoIphrC4QtIKEKAvRY7si3S+DVYyTNsqm+xLoD7DY+6MY3fMnArsfpyJ8NxLWhUdkCdp4rM6iyDJ
ztpDMYN+NzphK/w+DF8RpazdpLlqLfr954vVwX3YBQhfKETgRho9AlOt6bRB7eYaOo11GzYxnoDB
rDJs2WOp7oo0H+s9LV+8+eq8xH7eUg1i40uSCOsYjlqvd0vUqCE7mtDD3sXd3FbwsrFLm9LyrCQn
V9VWYM+rt349JOMl1ZICc6hBpA9TuGI41dpVcGHMYcVuEoSI5z2JOKTJnOwPYoKlZO8HBE4p8okY
QfZBiJHFbDfFw+ouiTNC3unseDhz2OzsU7RwxuXYVUujdtmo/eE+tlIc1CYnrWJ80eEmoxZneQib
5C6oGewWveq2XYS1ooJIVrm1w86xL6YYj6KtA2k3vAwrttMdcFZ8I6hsnaEplW/RUCvPemuZdXFd
LVYQry7D39hzvaNOU5cGpSUdxED73iuifgdjJqgcCuy6ZT1EtDe3g1iceu+Jocou4JMWAWRTyrzb
tcfXcePWC40fiGjlSZN7frtPaRReljll0l0x5/OJi+xOtAsiaCGUxAolTrH5krQjBz9cIAjR/Q56
p7+yUHEJtzUC3RqDqtKlFEfN7klIS/0cY0ITV8nFwXg5Ee4+HTNncLaEcJnVwk8zUDRYVVlwt1he
GxKYDUiQVFt20p43tDbqA/kPNqEuCvYZfK+Nj3veHO/hmIoQlVtnbn3/UliYjjzSzK2TE/ja3vd0
HL+tsPIf00x+S2PpQ5Dtpvp+AtuxT6IE3h2Hh80mESjaX+F6Xi1OdaUgGaPNruKt7OQqNyGgamnE
mOt7BP2D/83ceS3HjWxZ9IcGNxImYV4BVBW9FSlKLwhRBt4j4b5+Fth9Z8QSLxkd8zJvHcFQowAk
0pyz99ph19mLr9zUYn4dh/L7QGjo3oF8BcJqji7pMLoi0Od+asOVxca6Ia/ZvMcB3nVhOlLrYTww
YHz0cNMPvW7y26atenfXO0580ddVfa9aQMM7NWONP6VqHDvwCmfvtKyzNjSqtthj1ZL3VS70nTck
9XkeSe3SyGfr3GhoWtZxT/MaWy8EMSMav1XYfA7kHhiFL0jyBZXrjeSNNiTXXaEfnIbTpoOq6fUT
rt42j7PAsntSuD29jHAPIIhUp73Nze0Witz3a9SlPyL63u0ho78WdnyUQFSWvLtilWfxx1FVhGnG
/oKfEN2x6qR7RRJYoKomeQQUon+l8jbvEe2QxS28cg9IMrvRMkFaZWknTzh6HoqN2xBzcNs7OBy/
1Jj7al+adf3FFFF3pgwzmsEMzZkbpBRH4ZYa3HQsqHCn8xhw2DWvYSips3HS0+95Yjpf8yjWn3Ld
nC5GOrehbNr61KRk/Ejx3ci3OW3GfZeJ9tKOIqiddPanbRBa3y38hIJte7mt2rPRP9ejq5HbgPuU
FarkyHJaSeIEg75L54Fe01pTLHSmTAdmwDyCdzzN5GXR9MZzkgAr8o2C3+BnBXlxAQy0NqD8xZhI
lkaelrYynHBIEHJ27LVyEhiaevjccGojxa8xTfGVhXfakG/uNJ5oAxTRocm0k7SVxsOmG9jr65gr
+CNacy3lnD2r0W1YHjh57msVoYaqI2le0LrrzpsFUQnWQ7Y0F3OvmufcGOY06Ckzjn46FvN3HGN8
K3yUnNNUQxXzx0jXavTpyEF3zkZIw20bI5lK55XNPLLRnxYS0mhfOslwbi2c33yN7chAVEmryZ3W
lij0xTrKx6Evii9OA7Y0700S+4TWiis1Ofo93TXXQxXEHs63B4BTh4lN1RmzX7UliSTAKdrZY+uJ
ikOrr8xk0rUAKyO6oqUUstl1DWTJTZHCIAqspIR5QspTPNq0Uso8yHI2aR1x1uwjQJ+0qcGe2qyi
9Ql4dpVfG7U+9SGniogQTAYvUY9BB3O6WA6aMLLKuraVGWHl1NvU/FYgG9UqIlTcOYv2NMxIc7/M
k9quoeZpfJmND0alhCzpsOACu07oX7mFr/BekC9RjUtU5ufE0hgmGCnFAay5KUaqQyZojVjBlu5U
A1cgjnNrI9/wqdBGwY1jVp0/zqBxhn3MXq06VYnSyl9928+j3MEQS8tqJ1t6bfeRMOi9HBqEUkMV
douliewmU03Oe7A05FIqQ8lMDwA8b8ft/yw1zxE8xz6rltBrklk+SbpMyf1fxVqt2RoOQ+FtpVGD
CPDmfAMmUsJEL7D1QfgOV+dHDFZhtg/oqle+t1bvPZzAkNSIYa9cCl0aJ1tSZ2yWCKbj4VHBKWhB
HbGhnK9E5onFwmPXqzY/rHS3eFsseVmdPZsuoJEylPDolurcVNze6pNgZxh9gOjFLKN7c5BNau9s
hKopAT1KtQsBSGY6sMfh7BC3+6ZxsT8j0yPxFxXSJTbOha174zFjLuBae1DWh3RwyoWAlcQaqaSm
AZIqVUzWjpQLKy12DRTj2qN2UNXuxcrWz91FWmEDhSEJ1sNQqFutZ+2cZTWtA32/8rFxVfGgoa4B
bFNjPvMB1s3rDrVJ+UNUObssvCpJl+9qu/eA1QDtcmZ/JfPyFsMQdtMMT8yZl8bjDQSA8YQ6cHpB
UrdJFKStLjMdnuuuMUvEWqNHI7jRinvokJNz2rKFc3zwOyB05gr84qEbBCrGeWMMYREZ8x/NKsBW
RJ1VYmBmHVXhYK7LXZ9q08wGQSt27EA5IUZZI+WhszFshhGG3Wdtjeal8fV4anVI72kuwymtqu+d
oIHt9xlBK6Jasfr6ost0qLwdAqkTlch8BIg5bxUXdtSgCIGhxHt8WmME2EXpLuIcqJlVEAmrrncW
9LITva+dL8VYWCQPO5ER1wEFRVgz/uIs/VVJbpkKDSHV8IT0AdmE3zWo7AI0He3IBkk30BVR3LqK
OXmXPjHS9Xw503Cb4ZjlDhFHdnGmxbjCe4TXWKHQ1gG6aQNjUT3wK/KqfUcbkgMuI16MM8eaTxhp
e9I2RQs7moLZM5isjrERebdKEzX3uTZ76B7zzcLLDi2PhJBdhrbip4Z4ieJh1sTAihGUfeVwOSW3
TlaC6unRMaUn7GDss85yZPrMFGnifB6tbDMSRyTravGPuCNL24fiMiNXw7gL3JacAlhDYnpwZ6lu
pq5IuAVsbHSHnbJmNnWAv8259O50yodO6GX1dKpTtEjDCW3M58m08BHKvN9CQeBht1Mn79sorveD
UYknu+uJLXbQIQJUXlHo9+vi48JZrjD8G2loqB6uAnRsBPLA87zxFNAB6rS+WpGDxtE083O9YpNG
cBoOmspZjD0dIvqswsRYGMajueUPg2yjCjM0kJGA4fQtm4Jq6S9N1aiL2NBHACYybpw9Qojm0zQ7
A6rjoeIuUQM4X60ORoFfsgG/brVtx9u7ZF/77KkJnrfJBkaOkrdpQqS2m6G8olxys5ZUAPzVbhp7
l48I7EJTlOluBRFEhUIip0M2UjbhaDa/pj6pdkbUE1w6yOWLw2wxns+kYDdh0Y7uXS+B+XA5KVsO
BClVoNKoL01AYuckweUOMqFoKX3Y4t65piXG81Kk+dmsNf0NWj1CGVLX+IaHTVX0GUBbBKnssw7w
hAWbThFj2wO/dEkuUuDsCubfzizOM91Y5H6wJ/moRUkzX1G5yk2KAXUJY6wp9S+ph+IBVq3eXdUo
TMTOmeTCocAzcDW0xOKURChlyadczt0UsG6yq2N/Dmyxa93tucHgMyfK0GBdIyLFS/OpRWVB7q0q
vph9WT91G14uSStqjygqEUrF8C69ovsSa9D72FvNWqCx87jsFGa8nrrLV8JntdMu46OGz5w71wOI
urNBtng9OrIGqAsQchsJ95GKceowDGL7uTFIeAO92N+N3WKc5n09GEE2utO2WxMl0pmKEo/T9+5J
b+KtD1dPY+NUplsylTTG4g63bBqC18HYz1C3CIaRasf2RT+vljpBGzjpT0m0zE8EY5Pd3iuBgU/m
u9Itol/IigW0fWt4cNnuH3Qr0p9rFOhPgn+y8fN5cEj+n/DcuJczTf5DMw58da76hkB5uGmUADvl
DrXQ+Q7WG4IKIJd1ulUeWA+6imNGb4augziFf30xtUb3OaPYEbozBxWAlhWU00SvHzW3sO6zxLQA
A1PVP23gQdAKQ2kJbPb7oqj+d7u8oR7UPbNA5eUY0gPHxfTEibYum7vO6gESXQ9Z0jLL9667aZO6
Fv8zIoF5ycqWXgMNx5oMEaQ0kPsNvBpGaNZiHpJTARMrW08Rci/DQ5TOk/wuK6vOT7LaLQcrAE0l
oAq5o7SmjskrR81CTwt9RObpqS1ChHf6yrbRFQRUdLkNO/hULTNVTN82Zrm3rGpyv5ILPDCptE1e
zFAwHJkIGHljhU4h1BY7Jk6stdBYIUdmG4+qasELzUeDjN2SSEGTpv4pWm1x+pCGJkK9Xd9MS57Q
sUzjHLUQINJNRM4YbGmDxFm8ivZ2NN2BI0xqznbXPdYuaI4spBHrcu7DMpTO2VWW1b2qw36yoY/v
RGOqviVnCe7j4vN/adKFvq7FlsxfQVi040mEnzmDzAomkTux7Fh4BQCNeXTaz0qLV0P6KeQ3/oYW
3rHnc23oOTCfQwuJChv0meeS0Pd+0/HI+kbzDwO1t8F+6Kp6NsKH1825SnDmyObG+y4yXCR/d70N
O5e0nzogWqg9J3esAIOVVgfWzOkKjEgATAWr8ABSwnnIXhpd7/+u191efhbQIRsHJ0Bqmof0il7/
rFQuWJPi1PmRQ91je1n+Jfwoc69gIGo17bIPGpWve/LbFW1d8DQ2Byst3w0V8Lt3laKhOwj8Ej/L
v644/qWqATXa0ZrvncRSiOAAYGlYPtKMZuVfr+Ifka3+UxA0vvT/SaH+P8VO/z/kXr2Ykv7H9BIe
J0oHXf1tSF+Br17+xV/gK937l7X5NwG/M475D8bv3xgHE4YVAG7PNiVeLm8LP/03+cr+F5II/uro
UvLaN5s0beQNJm8Z/6I1rkPQpvgj9O1P/wbZ/23H+SsEPP5Zv2HPed1ndwQILdLgNqK9Y+gebfCj
MSWtltNVyh7UoD5R21rFPhLgzfvfinn0sbxcZvOu8ghsLPT29vffPIrFZJgjrhzCMFNd3QEKFo8t
jVtkcMz9d8ppGwzAbYorpRqqcctP9IjCyFxa0gH9B/EZcXtMXbEaXaSdQKJwkxiFdi4ru/wE67Yo
z1FesoXz0INcedPIQVxWEGYoo81ZvTMNVl8fNL/2pUQ1cT8VafY40rVRB9iKbRYm5eDdpzVxPXSn
pICQUmXnba7nWmBRjbp2lempD8w628T1v6qDl2dPxAPOFRRllqUbR9/zEuWVLIhIDMC1Bl3lXTmr
e29VD7H8QCjyWsz154WOnv7KgZuyARdqY/WZCNCrlrAR2yzpk5s7OCNEzMwkf31kRjqar7gvejaA
HSBDoJgDnPD6peMdUaNZCaxp0LuCsSbFI86Keqcih3rYWMLslIPzwSR5vFy8XNVgd7NNyjbkz+1h
/DbUWnr0bKDnyF9N5UF1HNMdihgQDUtp3LR5Cd4XCV2+n8AO038Z6sO8WGyM+VA+CNY7yn7jgyJl
Ef4Gb5gPeaO1vP4pw5K7aFxnDTW6Stpw5FB5KWGJzT6rdgv0tRYjFsDe8q5c+uUcv/qivGwpynG2
GnE27MWgxIUuN9YX3pLlc1pP0Z3V5uoWFYNHTkyn61NAfjpSS0tbtOVgZYqaQNvZQxtgYgUipLC5
BkkHVnfWzBHBu5nZg6+3jnzeZhmxx5WlU7bp0Gjtujpb7oDp6pCJdFlyjJUL1blaInxBqinmncde
/2siRN6G708SR3PEy9OiwcFS6kiWN5fZ8PcXJ2G+0RVRGicAF7WBa7ePS6Qtz81sLB98eS+Rgr99
ei/XIm5wC1+BpYas6fW1yqHp7ThLNV8B/g1AHqHvcen4Xphak95kgxiC2bG1oHcMcaXlWoNOp+1u
qfCsJ91YV6A+Jk0BvU3qM4AK2a42M1IlcmvIPhjPR5PEyy9lX0vvkCGEdXj7+2/D2XXoLC9Ij0gC
1KYDRkSNLgYq0HDQxvq2HKl4795/D289HAKMLDZrhrARzpmvL4k7v2mHZYyDlu/rTiKj/Ykcqxq/
LvBD6eFnnFnRVwA9KxfTw3NgbZh/E+rgE6xTSeeQ4yMS4zQnH6PKc1j5shwfUsdQFRuTsTcO7//i
o0Vse0aEsSD3w/FpMuUciRXXZSRi2+Jt8mHctWZv43SWFR/6+5f5Yz5DSaijSIO5ZAu4FUeDBkI8
9RfgYOBdrYWD4DwQ1W2gkl6Hm8Ig0Ktp5uGDqftIGvoyh/BNcP5nvym2mPTXL0PGDpY0VaK0EuA6
/BWDRnag0CPrLaW9+WJRKV/BM2JupMc1F+Ohh53DemKb2af37/+NxyxpjYtt6yF1ufGofh+K1jKu
bCbot6+Ex1P+Ntd9nELeff8q+puXMQALSLYNgiH2+jKlLNCjykajWjSKUxgP9S7PJ5UEiRmxr09j
y/o6TnNx6hLW9HXkBM4EWCbfmxq1R1249DyVSxsGPJzxgSr6zZ/Ghg2OLU513B+vfxrxvahUzIGB
ViRDKJXQTtnZxP/8Kmz0DVsSxYpp/A9ETtxpdYv+njOajhO5nkrfaAzz8/vPeTufHE2BfNwkEArB
J4P3/vW9OO5g67SWNDjJSbnX0CGQPkoaHEsrCSEEY5ys0RQHdNSj0/evvL3A4yuDrPgbQ8NU//rK
BhV4ibdE862MIz2rYLLp+oWt3WbWQvzWMNeX6Gu1J2eZJiCfTfx37NV/ZmO9sdbYUF8oQ8NVQfFz
NMZ6GuaKpA3Wmik1QbBXVHfoUPlpbmd3GivmSdMNZGIrczy1nKY7zzNdnaAzm8O1cIYzDM/LpYyX
iDW2B4L8/gN6Y87nA9t2DwKRnm4dDTNF6ZM9ubtxYzv9OrdtRVYo6EAcX+t4gR+m6fbvX/GtwcAy
uM1r7Nr+WGXmCgNbhdktYJpFO1f2OFwnDSoX4M0AIn4fphRpL5feXZ7ev/Ibk6oNyYK1TcdXwezy
ejB4sSJppjZjhBEtu7DOZEA2E4Wg2Oo2Xakd7RpEdx9MZW9clQGIBJIOGJOqczT4ZyPu6CEi220p
ovrgIeMv01i28ELMCVK41OFQBTSKysP7d/tyRj8a+y6+fJuvm9MdB7/Xt9vN+GwVXWsCS1fLZdDV
/UmvtYbO0l61Z1jEI7mLbUFoKgx6/axRmw7WLJX2axkWaKxTadHObEchftGLyOITghldHV9ZCX5G
yThrwtRb1ue0hL9y4tG0hyAfj0RVOERE0CWpo3Xa64XrfnJjC/sgVc5eneiWAkLco7qmA1OufRU0
/O/n6w1xChNlzIinx5O6wDhy7QfDnU0VGJrhXGXAX5aD0fUFLqsqs6krO6paYCUhkyQ3K0d7gtBQ
zjtVTv3l+4/ziNr8sjpyCDZRibPRlvCRXj9O8MsFPSm6dVTHh/MoJusw02lRsputk4OKSU/OSgKK
6BhPFxoBReeE6YorNLnWyZLT+XMXhYY4Mb0r0imN69GcOGC+/yPfWDSYw1HNg1/RUbMbr3/jYsi4
Jy0xDrLYNsmbaEDLTpRGP7jMG7OqC/6QyYzn4TC2X18GRxV1Rap6AfVE2gClm5AHOdlxSyVXAEiN
6uVCp8pmw0p1iZ3IHfHBrvrNGyXp2tOlB5HF3f7+21Z1IIQqXRYbCDHO6SfK/X2AvS7+wGXx1vaU
sxT2B3TWzFjy6EY5wZVw4gtqCY2091aB7U0XCqEsoIL9IhWxPcg9vdPaAi8vjS7du+2c3hj96p1i
zDXgrCxd9ZjgqwbqA/mfiC90cUtW6B88kD9nVT51i4rH1lzatk6vHwgmmjwdcpbYsnJYKSpyAKpG
ZJ83idgVjVz9dImzz/Mg7A9W2CP24/ZdWOxVt907VzZc/Wh+q0TneQDMNDIPWnlSGLG8rkavPsUS
Lk+8FU2Hk472L8o9ADPjuD8jimq66mqqxbJK2vKDsfnnyODnWJxgeBrs0V9+7m8jY9GRq4mypRup
gbfGBdoH5WKoD66ykeKPNhaUZDnWmVBnbAwxR1+aPWK+iPQJepytSvShcR+23UJEjt6OBtkO1Xoz
ceL/suoiQjcBn8Enw2cJiVerrX0hzApNGsqfoBu3dIe0Lm4Nh1STqk0JNUxi/fn9meHPXQi/9+X8
aeC95MN9PT4mZBD1MFAfmKb62WIpaHy0JmR/guEYPng4f654FiU+sZ3oqP7/QQONSwuV1MKzWaPM
vVak05BDVpgPUMDth5RmS0Dauf3BDb45DjHRYU+iZA0483ifVVJ3A2TIOPSSB8eKwLxHkunZyEUV
EAa3JjutTPRA41yFKnq1UP9hdkNQNEPeSCXZSv/8kW9gG8OlxsDXcbT+VmY9K+wwDJG6F0QTz1Sh
tGbqsM6SE/HBruqtAQn+CVUXqSGYUO2jz9BMbIoDHg8dvpN5pxAmpki55pY9hycSL0earJl5iNnK
m07iNCLipiyrrAiSApt4IPAhoe01rPSwBfnQ7StgYwWFnQzZtdeiWd0Pa0lK1IJOVD95/0m98TFZ
20jhuIN7ntt4PTjp36PzVPx2Z9SnW/LXs5PaXWCJFCOwys4qLo1IZVByDKv/YKz+uZQxV1DreKmX
8+COLp3pKyk1VIA5x5mIBqlMr7BCygGJKmkn2i0RUP1Fl9H1/inwHn6aR4zC4fu3/8YxlB9hmdRl
qV7SczFe3z+xU2iHYPf5yqrST1NLXmrdIHrsZklfFYnIuLocGASOEoV85AmJRdojvFqyh3ai9Q5W
kt1Z1CTig03PGy8GYCZKQex4lO/l0aDKFhdvWowJHoOz/kVNA3Cjvjb0y3TEC3rA5+Ll+8hbzPR0
Ai1aPrz/YN6Yy3mlW9Uasy1Ir6MvaNGi3iMalZNhZLU+Y6MKZ9IxPvh03pgabYPjKdSwv4JzXz/9
yl2wUKGx9SfHi5HWtlkCviNzSl+r7fmDdfqNWwLByq6FTQXGlhe+5W/LU0YWjlAFG5cOkAJl2UFP
OZum6qM5+M3rkFmCKVWwOL+wu367Tu7gBEWHxCdFrNVpUqlxR7pY+kHZ+QgS+LL4b0hEiTmUtgLn
stfPzilIirLUNsd5Nkd5JNyPiRp78zRN6/4rOWyJcerkhheClijCNdazBhtA/MOYFJGo4wBWW8Hk
8V3p/CrTuEWgaxPGyP+MAMIRchaBiI4o7v/xuGJnsPVU+cWAxY+WCmqK0l3MUfOL2dV36eAtRNY3
1gez2nYgeH3+sqgRUi3kfaNRktsr+u0VFGVL1QNmjI982A56ptJDavQ6psLEuWAD+3fL9D9WGoxt
DT++ICUzXgONry3g5vUF2yTXenbBms8JgJg1BBOfDYNmgLn26hB3OCLSMpovhC0gjhX5GA75DAst
nUwjbODEnaqJnEviissTkHTxvnU7vE+cjk+hKF9Y5M31F+juug922W8NVUvyoeuMVQSVR2PIWOtZ
R92k+VgUWw6kXUp2olh2//yd0xtlcaFP5Jhi27T89jaSAeArOWlcZe3lGdbiBNNaN3xwlbfmEqkD
0mfR5+s+XsnWOE+tCbqN3yMrCrvZhtLXgFAJCx1Y/AdzyVsXg7GsM77o7dnHTb15laLssEUAGy0T
LDppd4qgMj4gkPU+2OW/9Y74xB3kJxSKWKteP70eOspUtQwtRB+DXyFbPC2AzN++/47e2DiC+3d1
ys+bI1tuy9Fv7yhPFqcbZ2YTLP9DwB6/g+E40DDu7+a+CjNIFx+8rz/vi84MnwvMB6ZlsAivryh7
YjlMQEwB+sLGz60ZuTjSzg9G+J8vSqLbw+GL+Hc7rR7NN1jn9ZwYdM7LpDruIaGgdixXnVg7J4kP
7z/Dt+4I4Dh9XgzmrC9Hk4DKdMJvO67FsU2E2HMBs7b9+sHc9kY1hAIeBn0E2Ax2Q263/PurWpIl
JVMEPM7Yk+5Z2LOPVbm5BFiE/nyyqq8CH8XVBOTxHCSyOiG3c9jnmd2Geqe+51Pl3c9olS8tY80e
ewHn6YOd3RsP3d6M9hwCra2pcbSzK8baTEvgVCiYE6roWk03xRkmj/ZrZHx5/6H/OXApDgCvsxBS
cAY+nnktiQMVvWAc9PCQERfT3cOtVAaVieeSBa+L71NsJvKDW3xj4/j6ukf36A0RnJaa4avFFC9l
Z37LmgZftJ6toeOW8lOBgh5Q0qrBFBlguI2wR3Nvrf1Fy+s95h2EDvlUf3v/cfCEef2vlyJ+2EbD
4ECC1OGY6VHaGCYWb8XBJZK2uSUXWtMeRLMWpPNAicvu12o0wALHsf7LxXDfBV1K5FbodEPW3EoU
bV7QdZq4quymkCAGVctxwIzde1p7sFV58YVzSOPYeMxktyBodTah5jjGtsZG2JM7r8lefG+rbhBj
WiekqTfwqgLXzVH1Albr8rMRT68MaWGh1YeCDDcUw6KehdB0cSFQ0RI/i7W376iFc4Rdp0ndUpMi
jrqKu+r7WKPSPR8UCnv2L42FZHwGVhnwKxcZoCJM64vCocLJCrs1aweU3bi82mz5TPRRkey8TnfA
dEUrGUm2MDb3QNYSGu6RERwSiDl9B0LB9wumYO74h568cKI8lmGZUWXySXpLHh2nSRHpqxYUgR15
+mPbTZV7LqfG63dszehlpWIWIzna9brZ1nT9edD06tmjGlmxLUuEtSHfkjUkqwBLT65p1iePPFq2
LGMX73QXlWFQejM1lJ79cbLDYGB+cdrK+tGTS2GEsxytszgaiXQq5DgeKoBcIRylxvGpBnbsNTZY
N+y4Yf3eIlv+bA+2b6084SmqpIlItq1vR4Mtqt9NZu8Femk65V5WGd56A9qjhY6gszxfBy12NyUQ
ZDgZJc10APFojYGWJgnG0S4t7gglmp96NBlP81LeYgrIiNezO33nRmX3s+0N/Xs+tvXniADQm7XI
MFEu2SB/uASpmSSpaXF9YwmieUmvIlorNMsk6eA6V0Tftug+57DXTDkGfRwPn/RROei7nV5/pNBh
rmcZGZTmrnCyUQ8B2uYNBa5yObiGXUz7KVmmJDTGQQ7o9xrjBj33fCuw0nEK0F3t85Au7neYGngf
KjdO7sFI0OrG+kjTUUSTZQd48aavZCMrIu5JBn5AaF9eysEukqBEjGrs8k43yzNlOYpx5sbIdRnm
McEX0o7ul6kwyFofY/1isu268LNZDFcjPsPnHAfXVWE5w3PeLXV26kx6dtoW7P7WCskn8gy9v6+z
LNF9EsZTlJkL7kYSLQklX0jUc3ZY+DHXoY5t4MHps8Cm6Iks29lIP+qAoGdtBkGgCLW1BiINwgm8
0zdrXvHAlKWFrmRdIrxdYty8wWWTHGZtzonidFZ5L0ctHijv2ridlUvsXohLvSsOsxvPPypTy762
ba/n4doIRIm1jl8aWf/QPBZlVtXI0PsR+xWtyWfl5MDMGrK4VNDElkvEcAmS6jBvhAa/mbyq2812
upTnqWib2m89fS1PNIgw20e4mJ/zrsfHTpiPec7vNVA2YWP7letO9QkIoEvcgCEnLE5DPwFQJDUn
XI1kAug+lenP2tMngHBCi57sKq4vqmVT3Hv4I75iJR+fLDiFvLeV4jYYRLwqPnW0Nuf7hdIR4L4t
r7WirK0AmfzwSRBD/qS2koTqbL1HGVFhtVoGg3DBZFiHR9FuaIMxkf31qssFeOMqjS/OmEQ3KVO2
ChIMT3cc/tdbj3TiilFncRBKWxy/BzQJOMsic7FIR3ctQAop8nZC8vTKu676uvg+9DrWR6z40042
GbDmGHvM7dql8rkdi/5aTHWX+I01iuepVYUTat6UC6rgrciCnmUqIAM9/6Wg0HxegBvg/7D6+Bbp
VprxScveDviOJY+4ccVKMtBqW6FBE+ZuAoPY4C8d5yzI0t45m5uVCGGrtdRlAcjdDoHxttM5wfDl
HOLFLzCdT617oKJlfdINeAjYevLsTrht8swpjYJ5FFnuN9Kl88/pooZ7yyCq+kTAB2uoCvB1g9sc
h88iqaKXCYgwSlzuV51jKxwRiVgZH6YW/apnuXwe0Efk97a5Fk/M3J57ISxOx/gOGlDsoBaSEwcw
AsJDmNOLz+f74BbtWu5bAmB0H9zVeN8J2nA7zqi0UAiHibVzrV0ih+pPomfYRswCd/uoCNS1AQou
xJXP40UaDdMFiL/kUsPB8K3X+1n58VQsPxaiJyryjqgwQ9vIUjLsrcpefctLvK+5yEsI98XUnYNT
XoozSXcS92ym23htTeNqKDrWrUGavX5iLDZglMyM8msa1lEXoiRCD+a1tQUPhLJkhniIuTQkLnuq
w3qlo+3n2kK6n1eClfCX1PG+cQHspYOd98k+cQE+7ODjJw+Tu3bGIUKzAywUX4cZJ2eQBlM2Kx1t
TExyJfwLlxABuuUacezwrcflJHZX7aq3vSQJemnF31doCH24WpNxpUedru/oV9UnfSRp/ROfOX0n
ZsWcKJ+ZZR0QFr61MUU341mDKj3BDe7syncaC/uaFSn32a6r8rGwG6+78OJ6xXSdFjRy2zJ5IpTY
agJlW/McYnEQt0a5UnJe48lMDsNg0pBkcojtU0s6xtfUJEubXEYWDkKWF+dm1vGH72YR8f8jdCUx
cKU64qKDyaiFjdDq63ixvDRIZzmIg7F0U3yi9NF7amPSW0n06vsztdgY97O2my+ZmkXno05ao6ui
0suwNCA2EMa+CYZAkVnX81Tjyii9Bm1ejP6tDoyGoGo/h7XpgiCSbunH3tBG+9bCsIslnXrnLu7d
Ql1EvLkfsnOmLxQwQc8sWeTcey4mLxw4WUEgPbCpb+wJMeADeO4Z4KMlRl+Xk/ltmcHHBgl7Pixu
5QzpxHZmKByZ5jLzkixjNKHtZcaV3SvvWsuG4a6JkuTKXtv4OgHGsJxVPV+vsZhVwXZAn+86sO54
yEdcrQHoiLEIsAYsX9n8uY3fyNwgEFXgfANVkeZgSXAviYC9Sn8bL4XxJW9xi+JkWXILwJXtXBU4
mQLPUhOd7ETg8229XwAjtG/KoJ0p1iWR6B5bEil11tAIJ19c7Y10EuPeBKx8IrNuGnaJQd4mHsfU
2Dv0pds7uxdzFsrBGOM7vo+kCWb88pj6+Q5xqcWa+2UzYBRnTZZVxXlhWePou1CSs3P8aR1CFSId
uxAiS5afkpJlXaqqrPWgcVp8eZpO0cw3kBd0l1K1UctyV+blrpVET4etwjl1gAKu3AMBAmlzNrsb
ISoXWRfvsRLJ7EC+jIXoSWH69DQ1PxSdlt3XqeHNO0yXGvaLXrMk+MmqexC1mYvAWuWos2fJSxzI
gxfnu1lmOW6s0cs/I4myDD/yavEoSyf+JOu5NM4MZ07O6tnR11DmTbkfclIKwoGhcoOziS0WRuLs
xMOZnp25o5ouKwpldKhmZAQ+kg1VYTcZQQ6NJPGpXW/3hAA7mEqRzKRY/sCAgwki0IxxvUjNucB9
rJOEU/Slc1EQnexi/loV25dE8+Jggq12p5fO5O7rZYx+jNCvnf06A2QOOshj1YmhJBpm7KzJr9HJ
In4bm5XLolrElYywXHFxRAxhMrnGd1bP+ZGPSc6BiTz8tjYnSXWkKW8aPUkiUDlR90U0XnWNLjuP
dqXAKVVPIymBjlFu2+pGxyYFWdnedQr+VEgroL/AnjmMgWwwe110K5aYHbZUHUPlMDcnjl1nfWhN
bAp8sUhj3ReQo/t9Z5e5EQJ92WxDjsohGeQx+NkM8q7aNVE1Bx11OFv6uSoqEK3gHx/RyLdXEtW6
eZIQI9cQCt3nJeTVJG92IIKiMYz1EV95pLflxjYzreVEmgv//r/itcvNGNAIA5rNlc8msQ3iYYT8
Q7OlNz6o1b/R5aOo4ZAthqQGXYtzVLDJCxwvo4FYLF9kgwJ5+KESC77JkqCUIiGS5+BKSs6TeO47
1Z0lYuzPimaOftrQNv55XYfITHwy9Bs3SehRvWpB2lV1ZfffpJ3Xct5KlqVfpaPuUQFvIqZv4H5D
TzlKNwiKouCRABL+6eeDunpaJDXiVExUnIs60iEIIJFm77W+BTUOUzi+8lI+O8SsBXmzh8O+c6b+
04kaOikqMoRRVDJfFlwsI2F3bQzceLcbCydPhrMs5M9GwSlFx1t/5wyv/al+go/CppP7S6L76kkb
HfKF1qSQZNp0iNVhagZAzps3wEVbfiRZPX+0rYYpUKu7T6Xitjfdisl7tKDFdMlW1EGG9xsis7Is
h3Jz6Gv//Yn8qehC/she0EWJor0W5CDRVHGHt8iVU37LZcrAnHlL0QYbbIrbARc3vA2xvjMC91rd
q8oGFQaEXBjE6Ep5r2p5ZG5ry5gg5yr6zosLzxsuVKc3n0kP9UIj6ZpjOc2Em/e5S1Fhtr13ir77
mHp5fT6AXavqQOMkFOtVJVYn7bh0G66/J1+cRTlj7Jxq+VXqzSM74+R2qSkWSOXdvJe3jxtTGPIO
umT0tGkLvhyACwlABqmmWCyUeTxzBKrPgEi6iHQCLJLNWj3QCy/eedpveyjoXxHg0JlFnQpr7+VF
lV7zqm1Dv2mkhXHGxMJhYWMvJCAXXfIH1eHvY+oPo57JxWN2MVSEElRdXl1Qzcela9FDwtQQsRiK
KoLfUAWAbOgdJJ4NQQnSH6ula5Yzvk6v45iDnjO790B7xhtK3TMjhA6fmXtZMOsmO+O//5J/eCgs
hcyCaE+o/b8W9oEPc9sM0BgbkdYGHkGZXBWXWWHEaqf9+Pu13g53JNjmPthRuqAU3gt9v9V5Z0iS
9dI4KKAmIS494fTKsTBhOkVG5lh7+pOZfhm3RUkPRkY32FddvIPR33+Jt0Ybajp4QPYAOLT3OG1e
/hZo6yw73RUlerIO9VnoGyHs0PTND7XWz/dK12nflmTaKoJNJsUMAf6yucJf4f5QFNUT77yAP9Rd
XXVXOwFTdlA06/sb+u2p5IartL9sC1PR61FXbSZCdTYZ7Va6d3UmKHLXGQESArM4YWdrSORRF3eg
uY59UUxfJ+qB0djKJPz7g3o7Mvbfi8YTGihcLa+F1r2+eMY6MDKKqq7CZUPR4OQrXqjUVY7V1r2n
N3w7GaFr3eNNMR3tYqtX7wVfiNoxEOmXY07+stKkoqON154dxH4sSFd22OSFo7QhIXV+5y3sP/zl
TMgdMhHRW2FKpN328iXYY1EYbbKib53X/tB37YwjtXLeGXt/eKSMPD4CjDGEUb8R1tk2WMNdaZhx
bPyImVy97fVNi8E4wNus7PU9F87bdZdVhTYYHwoyZRo5L2+rpFShKBbL2tj16Y1Vq6T1APgMzAEn
zt+Hyx8u5dBpw925e9jUX6ay34bxVOu9NhBRggZo3MJtkEW0IJbxty5Z3ptY304kXIHBwh6XzjQ3
9vK2wKjnxZSpLNRLVl/YkLC+YOYBZbZZjXuVTeky+wlmo8vaU8j/2vSfOlmwIZpKNWgHqsijI8QZ
1zVJzKOyRVRtSJQYTTCWZenM5wrd6zu/8x8fj244KH7RmdJkffkrT96C9DPla2pHe6YalgzuRcdc
FOfqtp3+/ireTin0pHnZHppCvmG2k68uhkmuJNUtC+hRq/VNP5bSDUnsW34UIK8lHrWp+trYqI/O
xWKmtJX0PJseOz0rh6jfeigRbo0KLDToYeh3beal3vHvv+MvXcSLLw61hMssvDd2ECe+7mMag4r3
npTiYKMruH5J8yXVgrmD6BhUlK+XMFWmtTqAX83mw7AAd/3UqpVEIlzC1FwcC7waWghiXhDHmDEM
UKKHnLajXO1WAvU4rSDlOq0GvY+nshtmvyMIU/d1XElE4o5JM59ry+ivxjqXZTRUENlkqmbLSRmB
O4ULoKn1WtKq0N/5Un6tc69ufacC0PrmCYCZeTXZJEnNmVUkbLuMEYihAkwFWJdbfqMAYYhwc8ca
pB5fWRmWq1mBSspNPSZXqyqjbMFccyE3kRv+aGw9OM3SSpSoou3wwUD0/uSQltX5hWduIrAH3r3P
/mv8VtRCp9AwmWsVQSPMJP3FPPvw97f6Zhqliolr1uOr5H/0NV4OPLhlgJdNIwsUleOe11tkWfXr
/I4Y8u3GCu0ApyTDYvPMPtJ+Nb55VG6uJTAdizFpL4t69JaDBGSThRUsBfxArrJ9WnvSEYM8b+pj
7xbAwvKxFSGcS4FOEeaQEqbLgBebekeiRxOsse0dRdPbp4H1DYUsnUud6IvXoh2bgre20NgLHOJh
DukIEZscGDX6d585XzoTIdRvdjXos14+cyojVsHXSimJLBUq4wgHAkA7EKX/fp03ky4qfR2MA45o
jso8+ZfXUfj3uqztPJjbNgut3Nb8hHpJtNZDIw5FutgX094zgj9jynNvMS7jv/8Gb3YI/AY8T0zZ
iKDI+Xg1ugiJmYwdIxsQu6PE0lSF72A4u6Rfm+7k1GGJTAUKok678Pbvl36zcnNpDzkUJyUksXTl
X978QvN9VHOFDuvcbcGM9+SKTmNyz6yj3S1JWQd/v94fhs5+FnV2FxWAg9eUjgQXH3paSi5DW6qn
pTJ/rLjs33mjztur7LZtzkK7Q3Pfk7+8q4Tz8FCtUwHTpba+lBSryzjzgDAHPfsGmGKyTEvalBl+
m1wFEBdtGEjXFkXYTIUJNYYwphuRy/FJMTUQuiBz3QtnhJpDlF1TfUFVshB/l43MA0JSZZf6vN2j
Y9OvK8cZnFifc2f0lw3siD/xm35bWs1TIsDUkxlufFM2H48yJxieJPAy33LEeCNWSKjgei2Vrn+j
KB+AYBbJM4h1WDD4Zuw0rgEWEwDPK8LLi0y4CksFmUA4mPWwRZSfAesSzZWaMUv9AjiOpeoL6Ck7
Dfu21e84lczio6AItF5AjAdXSFdkAKMMkJuDilwqDWr6UDc+3W35sCHL0sIsba0lLLIMHH5uE0h/
GMrNY09BhOWNoiQOeX+rpH0l+VjuUgRXuBiWKvlYKP30KFu7RUCAoUF+bWlDnyynHRB0ZtnW/9eU
8W8BUa7yp15I8XP4Xy/IJb+YHP9DRLlpn5sPQ//8PFw9tq//5ov/EHrHv66/g0Ze/J+oGfJhvRuf
+/X+WY7V8N/gj/1v/r/+4X88//opH9f2+T//8STGZth/Woqs5x//+qPTj//8B/q13z60N8iT82P7
+Pbv/wt4Yhn/ZFvOIez/gE50/Z8egh/Mhewx0ab+D+fE+qfFEq5xbGaTrjq7IOhfnBNd/SeyHQcD
uU5gIX5P89/hnFCb4Bv8bbPAzwc+xKRt7JskDq57KeW3fTWr2jSuU9ncQgOAc6bQISvKxPRtpBgx
asctcECk+YSsfnK9+brI/WQ99F9N9ruVZUPuFpej+mhXHfuk8bnFRuB7WeVL+0zvKY5Jdb5ejOYb
fGum8ztPT47z6syhrpZ7oUKpw1bS+UxVKwmq3IFfVc90tKzi0Sw4yDgkJkZz2kP9Q0Xmt4B9A7kL
XFwvM4IqIIm1eqDdsXHu0H+kkBQB7Pe276Y3Mh0u8oI25ga3hRCyimMvDKm0/aATJxBQip2Coafz
4M36FzrmT6Zem0evdLJrpcqqSIqp+gJNkww8ickVbcehvC1uCUc60ki43OpLrJihy/TpbRegJu53
s8bBQS3gNz0CYqKhlGhL04dOhb02tIvr10+4jyi0nY2KHseJflngAVanCr0BG1nNp7Fs2rjOLNNX
JWSvhbp1QN2S7TzH4tPMXBQqTgE4IBf+AoVTkANn60+wqYqJ9ipOHX9bDGSyS4kiALD0sdEqY0RL
ZvxkTutv0l+9M8UwH5ReeURQkAS1U5qRCRA8qFM89J5R/ygk+1sCGfVo6OGyr1grWfQWLaDP2AfN
1CoxQqCnaVxcdNLCizgvybNcO87xNrX33rTmsHV3SHej5lcYHOcIolYTelqv7yq87iON2uIGYJpz
2BbC5YjLQBU6kfaqDeVDilMgdJTqO2SNGtZiBcZwSrJAn4ox3iDtPtimp/Hla/W1kAxbGmDfKrCs
lPaaIiSOfb00wAtGNaB83IdaMK7O16ZK5V5dEIHVeUSPgMBC/TBmsV5ZH3h5oELRypw5ZBaB09nL
kUCvu9XC80mMAul7pEsGE3EHH5LSSdFheJ8sQy1jZnwBXlMH0z82ZujSsDlvc57cqkPixjJbzYvG
nNOvdFqcaACoGHaNphF2YnnomOoxfyRi04nWaR/kY2leIFeyyRmFRQMlhtJLuopzIRvnJGuKe/qE
2kDpXMOXRAkEYAXNS5rNLoKufvEz9iZ+3o68vpmeDYnCKZEIzhTlRUdoRt93088EwuNVbRt4yIfN
ocM2JyLSpMrBxolzLY6neaYVWm5JqOtLdkPbM4vyss9CV6FrAnAcHxLZ9LvCwYml4vC9aphdKsdu
Agm4MzYFqSZVsrnBYBKjQdp490BObgekmuPXqA7yoDtVf0HXv4/I8bSID105B5H/AsMZWn7Mc1B9
2v4Yc1k+MY2gFHFBR5+yHRi7M8b3I1aKGVgYp8Xrm0CZWhRIcGQpsRsmy2ZBJE06fWoW5Bv5ZHwm
nfV5BTB4qFXj0XSZyJA8fykHPMZsop0gd/KfDjGA4TAhi5kt7kgZ1xvokLCOlDTnuFGTnEBf0Deb
dA4h01Sk0nhFRN44Pcbcdg8gt10AsKK7qkhpPREQs4JDWPggtYUEyylB3eXRRcvoop8bQVOqd8AY
9Gm6sc9FSzN2fMJALoHYp6iW7Dp/nMG172UDcU65YwQK/Rq7ak/fL6mmUz1uX3dKZlCYXhqq05aF
ygKLtqSbHILsEFHfSudIM9uOuwLlym/L2+1/rRP/0Yz1LXTCQf7nP15tmX+tHmAvqCruZwPqnS9X
D6VpEVsbfXPreMbFnl5g8TGorRt6Sv0pITYcjdN7nASWxZcrFnJNTrXIEEAoYRd5tWKNujn0G733
22nlYopM3WtouiKgG+C8g5zYf9SLxdFW8W1zBsQTgVfv9ZmE+EtkVq1j3PYlyq1mxVc2nTGkYZz2
wmUw3inivFmLX13u1dPUtjHNisU1btEzPJjF+qBkCU3o5dxy6b+/uD9cCp89NtxfDmy2ES9fnCGG
Eixj5/EQr6VxVcjrwrwTyjsn1Devij7j71d59aoSrUlExxkKcvWXpTknzZ2a3fz9Rv7witCpMwRV
5F/UWF/diAD5niWZ6d4uhLys5tksoGyad6r5cxm+/v1Sf7gbgIvIhPeGFnacV9VO21YMNSWT5HZs
DroIcnbk2zulh1cnJro4GnWNfZuIkY/G6au70ZOuhyTbKbcK+38ECO/1If/w8+E6USaELEGr6nVl
o2CkM8im4q7Pizu2F18aR97/u09J+/0Sr5+StYw5Z7exuNMK7QvU5pOXr1836up/v8zr984MQD2d
dupu7AIksL+s3/atqcEOZEYCdpu1V1V1M41oWHzAI1J5x1f4+q1zIeYaPNrgP0D07QeA3y+ERENq
q5vmt05VB3r1qOQfSvP095t5jTOi4kFPHhMyAwsVOoyTlxeZzJ74a9dMbyH0++qI5kq9Lbw7Mu8a
dTrXzhi4FgrC5PPfr/t6OJh4bzlfMO38ch68JqogMGuRrprFLdkjyTOx5O+8pNcSCO5rbwAzpGG2
4m94ra0H0pFnmtFXtwg+48XbPhOAFnvaXeEV4QjrYSSOl92zd5v1Rqj+N5nz/2ozM/aSze8T+H59
jjVYZiFN2vprh33uFuu6ZUVxu6Sgv4dpEle9URLWtjhtoKvJGNVrg0R5EmSnwzsLJpwk3/TR3DnQ
4kFXZ8MXE7JgHaPrXd3U0wlj+DPBSfltLrDEO3voeWOo+GMmSDSuwoovM7SRBQtjijiKLe1GFKTf
luitJcEKZAdpiINMucU2xFy8ztb8zrL1dsjud40VVsfQwDr5qpBVJsR4tp2T3wr1SBKbJ6618p2C
1R9GDpdguiCZlYzI17SJSgCvhqLBeejOa9lyhP/uwGSxxptC3dEmXuS1m1bWxULEXAcKXWy++9Gh
q/7/d4FXEy0qGYVUDi6wINBHlDq8cwPMefvE8HLsMX+rWG32vjc/cH+Ev81Q5GUVakrG0g2m0jGo
mkYLdKyux0EvlqNYWhI02B0/6IXMgoHV4IBGRiPuPvMShhWS6kZLyysOqOnUTdFSTBDWJrztFG+e
SEywb72ElCO0dntzada/UtrJg3Gh00qge26eejEllw6nPg7p6EvVvFgCOdZrALC+C1NpuRdpV2AL
GIkg0k9Uu+ao4aFcT2KAHkryExBQdGZBZqQ/F5AAh61pi/nsGBgremvisAyJNO7nEa0iIH46Kv2n
bekBjchaUsMjWwZ+oCe2+QzCoIoNWbdsgkGE2W77tSXi8IC5oA5alZLyQj/4Grl9HRJahJV2scnV
I0oT7zhZIl+AcaHl9dbuYBBkeEWeDSUKYxI37qJ0906piqghl+ebXY5yBYGSZAS5bd0nkySiK5p3
9tmx0z4aZeOFZUPUVQ5m/nvOnHF2Cb4NbTRuB6tynR8SaXKwSAd0eDur0ULxIVhdLY3A7RAnRRXw
pKTGHPfu+kQEVoG/YfrqZMIMzXIEfVfpNgiHrDv0+ej6eprdY5d5SLMG+p5cbAKLmyKY3WIhOC1V
wqGbiF7QDWLzRFfxpBKzvVKl0kSDPXXB4k7QmlNBsGqdeVeiMrfrLp+aGNY6QLeaiK20X4kySNv2
MGJF5KRHfgklk/GIfzuLtNaY6UcM6ejjK6M4M6jOVWeWFaYJnRO5W7l3moM6CY+FXhy3ZvisDWT7
dEpRxtIgSE9X1N2X5w4njVz4C40An0uUDGh/7RltXmVt5xyo08GC/R/T+UPUtNAIhsOgFLEiW9d8
LkbrikPaStawWgDzKMU9SG+TITOazw5HPzPK3H58ljWJLrDaT5gm5vMK3/ByS2QO4tvb7pFGdhdj
3cw/U5TOE2qKQC17TP4e87ABOj/mQSvEa60bekALpW1qZ0dMAGXkisW4ce1F4506xg2FCvtUONKI
CX2RfuHgH7DTzggbi//Mq9PPHhX/eJV7PtOwZDGgrvonDHYdse5MuOlIMmqW0JFY+NxORAlW51LN
TOTCa3tqRMYLLjbdtwfTimVhTqeG4XtPvhRQisyUxl0/TXagjrg6NMWqA+JHKEHXaRtVmzXEgPbw
e5eSQAnAPYGW6o8oIUkVMOhJEf1IDoe69vx7hZRppagP1MzSZzikiFMFAiek0fuUlkJl8IRH2pF6
J+yNXE6RDqcsHcU1sPvuVJrZFLnpah1L+qcnDnIr6k2Ng2KrGScN4wd/Gdy7JgY67j2meXsdgcOY
24p4Bd9TwCI0X3gdgSGrNhaxlvYEdNEynXdvjUkwYlDYtUaVZc3PhJnY4Zis50ShWPdY25+oO1wr
A3q4JMF+ZrPJuiyNloIP9pAY1ThlPJLhiuajO1uhV9tRuhT7EXnOI0I1f7Bl+jBAJlCYLYX5TU+X
PnTk9Gm2V+E3EG9OZiaqOJNucbPlWXLM6554F7nKs1U6SmTPRXbqqX4ea5G0h2rthisgsVtQzXRJ
Z1Bgqq/oxFgqQzXd9e34BMyfvA1a67fUUSj1kLoUtsbghLm0ocApS3EyiAfwTWMsjmOleNFcpcJX
EycLwEdPYWVbHokC+YJWdXZgVfQDE5c2KOqjQgrOxeYuRH0xqx76DFAtm1wnKLKVz3LyspOwuzqq
qrqN9ZpkD5XSFEbBUtxqM/WsOjeqY2M39tU0EYCadd2PrWi9S69QlLMByidQczRPQhPeeRTJw2h5
39ZK/To3eyN3Z0xrVZ7H6KVTv1maJ31Sx2DTTdpRg8vcWFbld5xq8rig6b7Tunl63tSszCDUmXqg
2uP0cSIo84JZsDsZiWldMNLsi3FF2JMKTjJzWeQHYnrutdFpI/yVpNKsygdr1qZjkyJqFqOVnyi1
EKq0Fz7HrPAO2TYukUKgZzySxXeNZwf2hcLzHDvF+5qvuKBEkdan1Vvbo2kv6VdtGRxChEokGvpY
3M624kY5sZWBsS4aCo50vF6B2gULgtHVR5OAyr8tOr9RWufj3NooZEUCfU7fl76EOS6wCBFA6lAP
D9paWlg0XYUsxn1N8BEwPRkEi0FJ6u2jOmKm8UTBxtaqVkIItEQ9E0Wi4ku5RT5QFtRCnfkJpbf6
kdbNCOiuMw+UTO87VWyxoa9TDHVrg6o0PzeIswHFEujY01wPFo6OV+Y4jcxhHWEENtl7JEA8t17B
0LY317eSRj3iGtHDWsHBwOKZ3xLx/J0GGhSLaVZCQybyxnUK8b2QGwl7GVFnoaIv7bVTAFagRFgd
aoNw3jXToQ9pc3GxuCqPbmTvMIriaVzM2oh6idAvrGFj3mWuvfLs5iI9lPjzdFwCfYdNdcwPxGen
t+RGEz7WSHWLBfuKa8H2IHIaowrkgOiU9qpzqKQooC1nT5TBiKVZOv1cKOYX6EPalRDpd5WbCOtR
UguGRiZIYkv6evS9RrIqJob4QFBzFnR5xbrdtKILrMQe7hpnzPx+sNRrjRjlC1dNswh+2uqSElR7
vmqOreY75F2clb2xLRdHuRWkj/oMfHm3VDA/0qRrryXgrwNOXBlmpprGclRJqzQSFPtiyh9mdvwn
ZECMXtJrcK7o39R1SC9UW7hBR8E+yhOhxRrnEDwmhHF209hHkyx+FmbSP2aW9jzv/8wAwBg4wzmT
A0T1XnE9QJrzI+TAmdFAE7Ny9eq49F31TGtIYy8BI1Qz1CezyB7JFlIeyXLT4x3fGSmlqn/E/UTq
rdWs/KcEfVy3dCjDJpnmELsFyW8mlghncDEReUC9SIiW2IngystOF5FUCXYhQo4thpzW27FSH1Mh
sABmaf9dMwj/sBqCS0aoFBhNljVQISJeLFWTR3ZNj2C2p+9weLhndWYGwdXO2XkYWSaVab62K4Jn
dZRCUcN5qQiVVriYO8ipSddrgy7MoJpRb37u0wc39SIsp5OvMF/682QuZJqgHErG9qdSb8+9ogwU
RjENgdm3AxQEy8U0KU1co1vjJG3r/irmMZSlShaZ7ezipH6C10CzVVZze8BpXfsT9eZw7p36KGRT
Xgmmn2s6Uo1PYrkITGuPisVkGTQ9L4KqvMqWytL6A3nd82HyErLdCTbC65ysMf6g9LTzmIljUr9B
U6iO+BnQhOV2dzZKYzwobe2du8Em9kZLeXS6q/sGjtq4WqztYG4Eei0EQMV5ZT8ZxTAGhtpg2y6Y
TUUyWwfN6rJPitdgFDLYuJdDOZ7KPqcuTivJtzfPu8wU57pHjozYcVM+k4OH2J1GyOdcq+jUNXQE
O5ZZSs8FzuXz6NpEK5erza+2LOe0Jqe660z3fnWpguuGslBiQVuGce6pIWTvciZE+CqvzEebiKw4
rzXyoWqUE35OgPkxx4Lls0VCatSCkB9GB9sNsthjWtvD9xUY3fWiu90l+YlzoBNsdN+bbGY15n8W
3OxULOKOUWeGqvTcm8KdytuKXD3fXsSnJestxj5235mu9qnpjS+tO5gRGn9MQEnzg8DfIbK9nKHq
MQmhnNFIeZXZGIoaPHXVYftzAMr7aptPEXX9YvBr5FtrkCxNFzsduSp7BlZPJUkkF5mOBZ/vDAJO
aUx9OE99cmtX03w1pVZ6xUS3HqeuwsiPpyo2sZPS7qBfRcT2yPit8pFZPxmu5Iw7CJs/u661I1pA
7evK8TMYmPdSGtZT3ZRFVLdmFq6lM300Se+5QZI7Hcw2rT6VrZOT0k4oFIOxxYXT85o4DGEo55h0
HsBRHaTkM+w0E2+J6v5o9NSOuoZ2qUjxexDFlWEvXdJ40WcrahYLgTjw48BE+R2uIFET0HeomYQZ
UcJvr/jOq7DmdECzrMvjpVu/l1RS8My0uBhF+kxvY76SRTJ/rDcTxSlxbtfrYgGiJnPGd3r2jYY5
KXFW77FHpZ4Geiv1kKZQhjyx0DeQGnl3kyQTfaE675sDDkHvSC9X8IkZA9nXGyY3CxDCsVq16Xve
GNuVrYo0gpI3HjsMTreuka2fiybXz902raGpgAjy0rW7IoXdOvWr2V20Kx7Eyu6KT7gwp5wpb5nD
TFHKg84B60CT2olyz7i3spWsxsVG2rlhv7w3tBZdF7waqkXoxFSfo5Y4sF/LziD06s+F2rGVk03y
MNE1ipkvmwO20zkk9NqA+k5usj4rq+9tY+eTj5jEuBc/cOSyaQ9jbBwEVBJ6oV52JDyZXniuzY/A
2e1oJDntZmvE4BtQ0065xplY1dKntPM+0AuFX+XiLSWk2j5WBkGlE5iGe5uxc7KTDqKOZL1iQ1pc
m5a5XAM5MWPNWL7WOt311suxsY76evDsvo22jTP/hPMrIOmeXWCJRQunm32ec5LzcpJDInUFcNwP
2k+7aOvTzCd7sBWkQoRz13HP9BhyIL/L4XedMpfwt2o359rqUsaT1NAI4KO8dGieQ1ZIs2vR2P1d
o5M3T+y9Fa1oawNd2FpYyao59i3vrysWKArw8GEL2OOGwNcht3UT3tc2y58VoUpftJZ1rBUgKaXi
fRtqvoNKM7/YNPmPABA0Xy09eaEbRMWlo/eZIxXd8ImdE3leXqTLyeS1dFqYTI2A12aYkb6xO7fN
yToVutIiABvhCboGX37Oc2lMav0CKym6Ak0Ns8ymkb99VHAeUpdlSUj7bb4qvIkCoLS881Rb9icz
n6eDlRrWIfc2PTA7MR+T0W4JM5XeAe1ygcudBAVw29anZaj1sMm33e+n/UigHwat55mXdVF9XxOr
P03lOgUGmY03A9m+JL3Pz6MzetdIlboQpt4+H4rllNaQS7OeiT1TiuZCGI53RDmNqn5li4TtjgUv
KTg30TE5T6NjPsyr4YRLrltfdW90T2uZ1Pc8OFJltqV86hZ8t3ZZfzMnY2F+Mq75TuxLQQQvbCB1
iPTBsnzILUSmCtsIe8EZlOAuEjsbvQ5HGE/x6HJgI4XDjHbYTIB6ow9ItAeSN5RJkJJCR6M1m/hc
ODIvg0K71dlksCRANuxpeCbZnKIQuuZQqoyMrWGDm5Gue0zmMcWI2QzhmNrFWaRzGbt5gbu+AYen
yRMmF/3IJ4Lq3jzRW7dujLKsPyruBqBiaD8DYU4is4HV0CY4iz3SoeJOb7gXYMkUn8QcOYo0T22h
PZhZaoRzncxR50iVZDDyadcmWaPRU8eHEgBMpOL5pjVrzAdK/OQjqjMFdUfoy4Galwchocl4qhyL
T7NaDgEpHs3B0PD7AgJAIaoz3WnVvjXN4LMU1VyHTrIxBGeye3I5MGMLnStPDVt9PQWTI8afhrSk
v6LCDXvoHpHUNtUHimaHCNzKe1GwaXI62Ryyee1OyrzKgxRzc6xHkR5tQg/jCcd5VHvTcMUtNFG3
QLA0yee9XBJSG4pC+0pjfQjcBReIZZItm861GhfmyBYhc8xD0VWc0ZN0PVKq4pieEzHEOK4vCdJu
P4q0EDekNf0UGqcljSCKwMb85g8z8g/PLHYHGioYjKDsSqiTRhMohmu9pV2Ez0He5r0sL2Zz/L7H
gDG/USap9Ly84eCyIkRx02uA4XiNe4bXqSvhBBEH4h3LVoqLFCW+Pw8Ij7KEx13JrjhjYnUevFTV
HwfQERHL6OhvEvyo7Azn2BZ8mUWGXdkfHCL8khQRdbtYlM722AyznT65WqEHTVdMoewH/ZiS4XNy
eEowJAw+BLcgp7zotLt2cBGWYGphM5nkJMmTtqQgro1TDOTxBB7fp2nC3XRmeyi2cTzaaTXFXe5+
7Ux9ODQUv267NV8iL+8MVm2G7IJY5YYQnOkgkkU7pNq+VnGYi50cbAzSA4/jrW367HEeph6OgI5c
Bd0ql6mbNbtLTY0MbeQcVwhSZJjg3jiRNA75Gg547OLFOcBARIIFW+KE0praQ+GizyT43h+M6fuS
oUNN09w+pibdFFGPbcTgZH4cai1uV6oOjdv2P+akyz7A6G9CmxHr0wRmSc33kjEHxZmASCPeMioc
8yFT2pBljQBryUIy1gaJHaN5FEalX5bE+gXAbDj+E/THHi5tmouacIwYC+9DmXWUFQoynSnbEJ49
w4kSpZL4WYbfMNM9YrwRSVzqqr6cncyoD4mCzrF1RHupuwOJWJXZHITskK+btrjaKnUOBwKQgs4u
tdsMmdBxTlnhN6V5BpVXn5hyx1g0lOe2elzPWPmp4A4JO4p0qA680eQ4pfsp0ZJe2G6W8mBUBJ7W
jsJW1LCXM8Igcc6lon/sMmZpaNOIh9xMjedafqdUToJXBbI9dWYOBnW7pf6mF1bsUg0LRqXUDkRB
ItidHZQretVSBu4/q+RxhevaGdFKljXkGNM5pThE7rEZ+VIzsZiD8fVL9lK+RiZKULvkknKAHKjq
cXAHbux+qTd9uWwN5aPtUBCUToKLJZ1VVgo0Oanq1Ow4JHWprXsyK6oG8FSdaMa/B0Z762/3in7g
gSfefN1Zn2c50UGb9PHD4kkYLWOZHst6rMLO7JQvCceES72nGJmXFXsHTvW+scB16inO3RflrdoQ
KmEq3916KX3FlF4EeoVHq7X2NZXLjAIW79Y0lPWKWO4yVsiCPUhvdE5L7YwfrSxB0YeY+GLJVfMg
jXSI2dhPQdl3PTde7Z2GYfUN0ByhZ+hdMEmHwQEc5WIWjgIhHponjJj+IccccdFXWv8BNAGwiVHC
h2+rcrwSlq6EelmCYSIC+TM9F/TLDjtCvxFdSi+hsaiPEkOb1Kh2sPSVQ1XdLor80k97yX/egJag
4uUFz/0lKYldSLp2/6Nsvekm0YqOQPNsvnBqfT64W/652JLhAgFcD2UYyBjz2UJkPUcXJ3So2kaN
zp7H/N+kndly20q2bb8IEUj0eCVBsFNHtbZeELZkoQcSffP1Z2DXvVFblMMMn1MPFVVRuwQSTCBX
rjXnmF1YPpG8qX2Q4e20LJQFOQFYhmED/bbWLCGUje6PSczWtkoGQUcqoz5U68Yzx8k5imGePY0X
3zbRkt4fONGv6bOqmGin1OdkZxxyh/PcWLo4xhtTh0TaI93exDPmlpUFcAsrUBF+79JSuelM6q12
nHWAUDVMnMIM7nQOin4W5tqDGYjORfxEp4z2QeiFUV+uHWM0j21sDTdojeADlM380rB0b1tVEn+s
aI6DrE++VGTFe46o5aPB6M4Q3VsghcV0gl1HN2M4rTB69iKIhluL0gtgQ0qGZzQrHgxF8eq4ufrB
4fA7KOPhhmmb+urCFn1OLMJYAbnGzUufOeG+ogG3JQD30QBcsQKmYfP6cHzhNvoNi+5Zb0gX9UBc
5Y9qB5HRiGQG7GWecwpUIjKyyraAI0+ZdDazlBNVDuskB+S16mrbvOVo+c67sLsN9Fisi7HFG2pH
u4zdgLYupQOcMYPPQ0/M0lsdWERieS5sUJZTWvOqNZJTB8JIHeLsqBYcLJIq6G9rFTupqPCaRWT7
rtHGBCtZDT/RVEG6MnPyH3TMuHB4hHIFhcQk+EACC2OB3BFBS2pQY/acmxfPLlL9lZLU+lWuTv0P
9Eno0ckB/GlbgTrRPOvH27i2lI3UI+2AHZtmRqYgJFVoVDc0Qon/ZLDvC5D/H3M+iHXkatm9lmbJ
Q1xF1RNWyfZaT3NcSrnae6Jx2+8tc3KN4272qgjARvBV+n2kVsTyAT5rVnESRGxOcfezFZmxp6c8
3GFuYjHChHAPvIeyNS7j6MWNU3nQ5649DmyP6yqZS7TzjnJNmNrd2Ih2p1kzARDMtDYcxtAfTEpC
PGJZgGiQmn6UvWy2JM63a6mrGfV/am/zoiYwPNTwj7lk3Tx1YkHshRUN2dqO5B6hNVpfMEFbBHUO
KYt664HMc34phHH5FqBVtmjOXNryb0VcKls3Lvm+OrMxmcrXQG/FTmjJuxLF4mQrKu3oLnJIFWlD
ZQHURFr96HTuQ1lCRNuyMrMtHjycbWMLXFttVOO5UoTxnlTaFHttqDlXUJx0Kgb6UyU+DPb5NLwi
lkQ/TdmcM7eq7INjwcHsrsmvllvIh8o1n2NeVWOCUFnL4XopthNt9RRBcUP8Eecg1ggahyTUAS1g
ZNuSNBZtrSDsv+PtTq4m/HI3BDxnfiFQOca5lQGoU5ObUoSz3KRWHxYbh+mih1MtZxbnKi+kbNpr
msrG2qRJBW+xrHEvuqrfi4L5IOQqzwjaaOMoUXQMUOYdSH0Nd1FAl6QjNJlTjJ2uywE2Od0UViGD
j5MxR/1OVhOHFyNP7zmEIQutjB4xijXsTEHhbAQa2e6Elfp5G4R+mfczI3ce+S6bpYcFi5nbRMBd
3usB8l6NQj80snUfgua3MdmuOiK2vX4g92vUHaIB34P8lCjf+0pO7NkRvTV94XTnbv0BmGCWqyQ0
NLrYmsosfinR9CKEUZTNP4yqVt9pZKs4OdjBH/oaf3rXheM6LbPWxz45cFjI1dWoRvV1GxAuo06D
5inOUPh2Q/S0Pdrj2rBajZKPTvjYxO+crzWQNAmi0KUca9y89mIgaludOcxalYyX1Hb64YiIo3U+
j9QXvMtjB2YeuloaXD8HQcZ6Xas4pvvwgS3OeA4WqT091vSFuy7e3CqnjVYDY7JSPT4GQ5IyqKTJ
xEv8LbPs9E5nnLTBjWKB6xLZ/dS55re0zcdnpTFbQiDHLKN1A6Kx6Ru5ymXfAOyhTWyn1jezKaHY
FJyYXSuMvIrq4jgXCmHGsZIwnrEZNHIG6mnu2BTmicSHqzK0+aFMZRX5SanYmteqKUj2dHwdAh7q
1ZyU7d5trD6nKCVwHRRFetPpPQpbagSpCTqEwqp9DRYqSeZzywfo+l0eDuEB8bmxtgpb+wYq3AQU
F5GRVbr2cNtVeGzwm0ZHK9TVVyUzqI3MJihBRGLsYc3p3qhrHdSXWnm0OTGtozB3jlNnoiRwRPni
1qzkxJwmb7IMVOKBGnicG4CJRQCHclVqDBURp8+MYtetott+a+hiowxlu+XTjNtJ6RzfUgP1pS6w
9KtqYBySyZAPmSOMxxBKJO03GO4EcC929PZnMDZ0FC2SolOpSpp+XX+MZFP4OEExinZxdFBmg98j
0aiPbCbSJVVdbbaeLafskVDs5J0RoPMzCgyiCIKx/5AyLn2O7MM2H0X6kEyBuxME2f4cUyLT1Zoj
DE22gXNj3m7mQKaPdj5190wTGZfC4zFAsJUC+3Taq7edtpis1B69uj7H04ndjzGs2nTaqgsAikr6
ACzMGntIB4sTW6+zNU1Z+W6nqxuHfke3EYo+HWkHzl4f2QzmOmPyTT270ZOivx0VaWIF0d9zu1Ap
CulPD3rRHvU5T/Yz3VtGTeUiqlHMN7WDkTpKW6UVaP6cUkXd2NEw11hT1F8RFf5qmOA26lpp+3Ze
rma1AIAD7TU2YVvmWsQBdaQR1yo0fMowSB4iFs59mg3JO924rvNNOcd3DA4RsvO4bJE+ziuOdqGX
scSjNab1CbpsHd1kDO5os8/qPiMf7EWUmbvjbjengliXfOV02h0xDAwhpXULIjABVTuZFcoawhAD
+Fv+rCEAod5VN5qqV/syzeqNqHeaYh7DGBdOOkB9XBCXk2fparOZwWjTELVFhbGDmcRVXGi8sasI
ukoXlO8GCDYmJop+tErN+h4t0ENojQ2lxlKnUZj4NPoZytmhumEI7B5a0RpeNzk/YETgEje6qcLQ
y+tEupJGILCGAl1iHPKoG6Wu3TJ70L7nHLBMryZtkZAueibMMZAFZGZsQP90hulZyrbZEdRAn8FS
42CbRzpt+VooN2ncIbCyo3qzJLQzpcKJQogr9wJ8ZLs16zb76IURfAPsN5+SJLae3RSIoJKEVF1w
NDZWZt8PemI0a4rMSwEfv5GBopOHm8QTazCYOBfuVaoRqq0ZVneQg69tJr/dGG/MLj+a1XRr6MUT
ODYAnIgsZL/5W0HcIjqGHAGOGKnkeRR171bqHPNyu8MxX2/JXfnbP+/igsDOhraVSdy5FZRqhnm9
2Qe3gtdPR+P3L4XTiKaR2akQ2V0Nrec5jj0bC3XoMi24VcfsOnVxYiq9/5dfwSHcEu/5wv0nY+Tc
M1tTplZdOcx3tLPatGHbuKBJ1BY/7L8Vg4sKF7cB7C+Muctk6rNiELAdUWVWXd1oIhT0qhRr6Uy2
wzGrW6wvFrnDCOlmIId0xLtC6a8DAoc9WXD0VpIm+9X1zszxF3bFoQ87cyFkFODdJrAEatjdlehc
Xqk4GC3YJSXShc+/2BO+fHwXwhgLSNf1c95ZpqnQIO28umEOueqL2wbqsV1SDj+DFSSmhOc1uoQF
OdehLreM7E3y2XDBs6zObhmIB/QCU1XdBDT7RklO+AX593/u+uevtYizaZqAaFdt/dxmryphCGdf
aW9Cq6nxMNl0ecmzQZgaO/PwkyUTrUAhyjWOaqZcSbT8BMjiVpRN9AohPzEHdcdHumTmLmagsFQA
w3OAX2XdSexMnbb0vCEAP0Q0e/yKAPSdrdOzWhmgJvbIH0xfxNp8NcUzlL2WCpQJbufNuWAq5hJv
wJHeKzTFXTMff6b1Ung4PSUGLaGgEantXalMtFpJcsQNxoCiqIungD9LlamKVRlGmrE2BOooSlle
4fj/tlbntBunT7Rd1kXt0Y7b0sfWnN60POIPU9fVN/bAc2ZX02OJovImFmpzxMe+mpy9kEHmt9ja
MCVq1VbKEcr2IN+oh1w031XzbA8KqjgICV6NwMRL1NTZaw4MvEjl5BER6H1QjOwXD4NzinpyHAyr
n6/hxFd7W8DMjpmi0DjvLdufJiFZ7pxhJ4MTxwrOUerjHfqYMjNbYxxRvEHTMyg4dL0qs2lARuJt
Hds+ucnQo5ykDGEJjHk676eak3GBd2ujj1Z+cOElwsivRfyICdLcGJ0yrqlh3zSrsvbzoseacOse
8kBY7Qr2FE5OwOqrlH/mOsomdgjOYZQx8Whyb7NsryhTct+UsvMGW/QbvZRoKPMGdzlo7M1Q34rK
2DhxDkQsOk6xxrgoXvBIIIrvFrT3L80qaKKPDASB1Vp0roMZKWzTWPYeQdF0FWpa5WcFjGSpuHS8
FNdYU3LQL3I4Zhxdq3snA1M/uYkt940NHlIXSnIj4JPtZ12zvbx18y1tBuqpKW2wGQaqAhqsyU5J
U04btakY2jvVhIKnNwPDnxz6xStC0btjS4/VI5Qd715ljRbyfmdi+GHNb4Cu8POx/tJVNKRMcWxN
Gn43k13EuCgmyUiLum8oytn/7TnF2D6VR7NoX0Gsxk9h2dOUSpFi4QYJl0hKbPBJHV9D7GZkAdnJ
m4dWPwxRCQnbTHQVRotanqTyfWpeCI7TtHmL0BWnXx1FT44u75S6vIo5wPV5kF/Hc4dwMco8dIbl
cxE1+isxWulDWDXVdqbbtZciHw6d6KIbd5BQknWVTiRBHfw8ZrRIyEvbOsZTKzcGU/uXEsXkU6FT
wc3NrhZDzcwyKYjvwYXAYMsGpm4zhAyL4DtBfG9Bo8ufSu0E60QsI1Daqs6NgvQFgSvQeZcsIq9i
wk1Gg5rt6WsPB9WOJsZtRIqumwLKCxJ6Z1tD7RIrrYFovIHDaiW99uL0qF7V1kE+Pc6CqXTtxkzk
XcVktOoGus8sSoNpNIWH0FLeJSiQLW7TXyEyKK/JkN/wEYIP5D7Sh5zWo76DSK5NeLAnu/oAcOlu
rMimGR8uatlMtXfQo12vN7XhoLGF8VPHFhI+oT06Gq2EwRp/WNSf76IOtUOY2jG24MK4ViK3PirW
VGxm3aiuAqijG9kM7lXZZLQn3KohLx2L5KQpKRMLHJu5Ieltt3NyKUvzzNWIlF8D4aeqCztQxyR1
Zg6Y6yEARd+KOy2KbLA9RTTfqkERP4SGtH+2jtU81Q5aygIlfXxhE/3s3WDnZ98nn4NMJCpU98sm
CnE9deYRLXyFImLYkMHSphdKveXj/3dDWy6hA+RYMCsaMcpk8H0uM7B7BmJqe/cG1/n4Xs9e0Gy6
S9XSpYucuR/mPCuNQOciEE+zymOADkLGTC7YLC5dZbmb//JY0M0BNZwP7g0HkXm4CbQ1SLC0u2Bj
/FxkcMMApMBk4Y4Bh9E19azISHQUz0YfxWwccedD/6pukqm/lIZz/l1cAvWwFuoGpklKjfPyqUlF
I1W1mu+Y8oZeB+15m6KLIRpSR6OoZemFlfb5erAqVXx6S5rQ8u8mfsbP9y5tAbRPU6Ex+I026K9a
1YPny+P1d6yZL9dZnrZ//UYDlkoO5qV2bcy9cws8adooZRq8/rk6v/RtzryzmMlKlMN8GwkvATp5
86Yg3+6mv7tpnI5sGHQCFBJZbFA7tM9fBnNIADsyCx4YCtPTpK032TQ/LzyhZ+ZGzoC64Nl3LAsF
J/fnbFlrFb4uhjzVfcBWGevSC6JDPe4S/tNg2he+0ufVvRw4dQMKCGZgLGMAlc++kk7igeHIrrzX
XpnO1k9//l1+89dZzfgaKcugD58bxZRBb905UPP7XN1Tt6p/d67kw2ObVKGqYMEg2uccnGSaI/B3
1Gz3/UAw6gnZ/4W7s9zq/74sl7tjazwjFjxFy0JHd/aUVPGQ9Qa0+Xt/Sp/VSEe7UVywMH+5BNvN
8koG3Ee0HIeMz2sqoi2vA1mpT3Y/IY/Y9NihqA3//DucPR+MMnED4pddzsY6j/vZU0i4ahCr2iBP
qjls2nhT9SpS7+ccwfOfLySW9fLpji3BdVgCDX5z+gjnAFQidbSGRCD9ZGWNTu0lgHXhMjNbxIEl
wSCL5ov+7rFpMFvNI7vQ8IwV5e8aAnxfEAHwp9nDLdLZFoLOv9864KDNvKnG/p6wUWVbKH+77pY/
D9WKBb04ts87NUKpIjQsZn+vqfMPU5rfgLj8+T5+eXA0cDwm+7Og3cCtPFsVSacie0YMdz/lnkuF
Gfr/t79/doP6LnEqHdzAfcWxhzkQ6t0/X2BZUZ/WwT+PJK9/+ibGUtd8/gXGYUScypvlIZOVp7Tp
kbGJh2NkDZRk36TlJlQYsvz5muc3bYHJ8rqEVYeyjcdqedT+tdeIpjS7Ikkp/VH82UQp/eWPcv73
l6fsX3/f0MCMMVgsT1l2chmuyu2fP//5PVsqT5o/8CZ4FVBtnP0osRs05FDr4s6cg2NL4J5pdIes
txeBTEHwSYCCf7xwzz63bRzob+w0eHiXiNGlFjjbOcUQArwto/xURi/4vubhm9swEbzTmm9BXGC8
uOgKX5buf1fGlyueL21EvEk0aEUODqrGsW8kVzU03mqK3tOhQQMoGSYhITsoZXPMZXf68z0+IzT/
/8tjC3d4FZK+fbZISABu0SSGDOmq+sAu+62b0dgjeOnjmECDPrBoLOAhm6R1AGTwqDD3ufARfnfP
2Q4p9dm5XNzan9dRnNa6aJkxnQi6vhmV9rrPEtQa2vzhlPM36qU1GTE/xrG+JqbHM6E1rJiOoktJ
fiSKBZh50Y2K9Zg7a6HVRzS6F7aL335AQbtLW+Dd6jkWrOtJjZsQ8p+ynBf5TB5r5bqr1kDaRGKa
bpWTV1vtW2KnF2rtsx74f34d5meAfmlH09w7+3UaST6WARP6lOKgaiYa9wXHFPrgufnEe1bvX53m
ShkvbBdnu9bXy5492ROjl6iWLIrAAPyq7Cr0bsPrFJ7MyPXi8VtAsBJRUWhmsH9GF14r7ufn/uvV
z6oMtYxLXGZ5fiLqEAFvaR0zuzKZvWBmsvKfvYVXtg1B6w4R1gXkAm/MXn9lvfVgZvaa4sKvZvtK
4qNiL9oTvEusmJBYFqq3gWAWNATqnUnryRddsZED16jn/I4NgCixgCET9HdeTY4/9d1HmeNVMonL
XMTdA31GUeDOUaxNUmD8RkV3E40Qw+b5G56To5Oi/XEGiZ2y8fIy8qe28HSdBRPyqh+0cQdDlTao
nj1lQfhoFepdkMo1BnFCdxAWNkSTCFkcnIrwo6l6IIXAd0uEHmPhzKsht9KN7Emiwa/tG7h314GZ
05ki+bACgFhb2q++Mn5gt8J1SqZNnetrcuGOMUpRtCjooMPwkQTybp002otowqPt/IK3SMfWfbYM
eoii67dy5nEfkELC3xQon/qrqTQeR2W4KpJqU060R3us1bIJ7y+8CD6XZf/vh2fcQh1Lwc9e//lF
wHuAxhutspNqOXdMeGFyuaNEVaQcxlDbRlO1MXPsRda81QHIijF4iuJhLVANMAv7UXTKCZPJpTfk
sjV/fkEjPmUY9E/VCzzj7PWkl8yLY6OUp7R6N9kJ+J0M5CWKeKoS30XtoEw/2v5RB/4LzvzCLfn6
LKBEYvZlctwmZej8loDYSXprSqlU8XEdZ1RZvq5oNdnXxoxidFQ/atRJP0n3wI9h1/K2zeafaB+i
wwzWdKNkunXoBre9rSuS5Kgx2oNBY91XybF+//Nn1b/uZHxW2LhLuAGHG+tsv3awSCCVNMtT7e7j
/j0uX5wZZgNQztK9MxCSJN11qL4iIl2V1Y1uqz9r8H3mXFzV423wD6i793TnR5GitSs+RoagGezR
UeBgzhj9QXQI9SsyqOj4pndu8legkGX1MTcjTR4GLH7RL+VSnISSgdQkT7PRHoMpvUvjKgYeoKQX
XnC/eatTLQuqQKaAMDHOy3GAhaLWEO+dCojZyyQiekdYk+1axX4fizG/jV1jvIaZMR0RiaP3j0fj
QsH7m3Xl8A7joGtD7qOu/vyoWXacD0HXyFNcPU+DeV/kMyKZaoXw283eDDW7sMl/3UL5yuyfdHJM
pkbnBHJFDUvVTLm5YeFab8YwZ0hiINqFdhvtyJrSnvK0Jm5gFFgPWpQHf16bv/26OqcfxpUMms4B
SYraIeSrCnlCeYOZmsngKiyL+7jN8TtO6t4IC69zrQtP7+cC/J8V5WgLxNlenogvcfWNGpGfOS83
OYLO2WTwKse/rxC4sf+9xj8P5b+K8NgOpDL3rTwZ2tZF6dBOxlqazwiK8bSNXu9uChHvp664sICW
yuPsrUjbVKc3B2TfpBfweQFJnShxYl25o8J97B2BGKx/mpHI/fmHE1+vw5kJbhJnGFjUX1rAVYzO
WSvs+tQI87YJiicF4O+I+zeMmF0hkYJ39AjmYt8ahI4PJIMaZIHqmGTdXN4PqbiwkpY96PP3/vx5
lpX2r/uNSzafZsepqchuzYa3EysH4fNKaWp/SB///O2/bojLxWzmczRcsI6d3eQRGBBZgSYusTje
qyVC867dz06+Q/h+4eDzm0sJuDq0PpdGKODtz98rnnj/TQjNUNEmD5ZZuqdUSNcPE+0jDCb7wl38
za/K1WyXf+n6Qqv9fDWgt51I+na5GsWWbHzVLja5duGl8/WppyFBc5KWtYoQ4ovOwsW510Zjc5Jm
vWny7oeNhx82N2+BdJO0zRWmkQuPxddHfrmksySPsBfC4fv8xZSptrNRcMl0HrQ9VkHlqFbK8PLn
dfHbq4D449CkLv2Qs3VBXp6S49htTrosTkVvPOh6dOHe/eZgaNKC13R0JGCzcO59/iZIvA2MWXNz
cvKPGsJfNUxoe99HhyOgZIg/ekZxmjFxJW50YXX87uv9+9Jnz5iOZyZ0nOV3a+SuEkRwOz1+nj/f
w98swaUfxu4HOYdAoLMlWEicTQjOzTu77yu4R7p1jVk8P84xlOY/X+rrs0XlBlZO2KxF68vPpSSE
vk1WEp86055ZeCitIx1YEcHSpSerdL7w0jx7RyFQM5DkkFNMDJb29bVBcKAlurKfTr0AhqoUudzO
nQrcNpsIikD8wqGi0S9k6n25KOJf5miuqWPRX0hzn9dLkGkZ5qPOPjlB0/mBcDnwRFN67M3B9kfu
7yEdlPTSKj2rKwCRqvRqlp40VB4mzedPQkXrJBtV5aQhxd6rtUj9toXG0JUCd3kTilvFjocXDpTg
iiiVD05IROK67tP022yn+CO1aE7WbjdkpxhK0DHPGu1uDmMqlbEk+5I5+Z8Xw9ni1hC00QakTBYs
KT792X0ak9itQzPn70P3saJtrz38+QJnq+3sAlT5n38IAz+w01vUOqFF1kyOWjCmOWfUALIuETTP
nqH/XApxFq1f+pv8Bp8vxVaLHKUS5amc8RS8JSS8km//v/g6/72Gffac9k0KIQUx8An3jGG8QEJA
FBLo+qXLIJTi0/5raz//Nuc1qq2O1hTkenlSRV4ih3adm4y8E2+sGKc0uHv2A8vtJsWrfkx6NKHg
pfBp2MhZzKpOPAnriq4U/w+wdc6+rgQS4LxZFLuZksU7gxRIfJMAAjCQGvBywsL5iEVh7crB/h7x
1vNiOf9KFcU+JWjfvAQtl+l1kc1sINbNFuSH5u6KPAMFWBPfGip54Jd6Pq54hyyi+UisxCjsVWgO
7arGqYX5j2DYbj2B0/MwwcotQuI3p60jrJyiXIdV/Irs5H1A+09STdVCTmrATzVwauJ5sH4h8OJ7
aik0AGYc2zwFKGdypoGek0SneSTel6T1oWnVtQM0QMEigJ/fajRnXUYFpeigOQ8DQrsOi958FVY2
1Dh/0mqKVFvRr+EGxEClahQx+EhgJcRGu4o1/NFaarkrV1SFZ5ugE3iLu3BawMek2hjsLDORd1qZ
vel5aGzQ7dvfbYyjWx0E1JZE5u4WiwjyXQ0VEhMrrGxqO3iNk2ubJuZdpKYp2JLYSjaK1Zr3jd43
R1Xir8SV3VyBsJH7FLY7WU2VsRMiKL/bbdhszaGrNraGqdEt0bo7kW4fCtxb3pxlyqbGMOrZiAG9
oO5fGyO01oXZiQ+A3dM66njPT+pgQFyzSKA3p7GDcQXgaTJqNtR5UYPXMsDy4ujpJu672CNEWQDw
nYZqhdjK3IYV2CHXLdqnsiVVPc2LALwdCK2rbIi0Ky3MPyqhhkjDS2ffd325Qidt+SROAjYscJ7j
OtFAPPJiGGJnfIXcDNgH1/JGdQJrMxWxvpMGhj0k4/V1nDrOIR/qdme6E3NkRr38yJaAZVX9ZMXY
fkas8/dwtjCxaPCH+i609xVi0VXYLslH9fSuDccBUHdfTI+VHcB4ipbU8yjqb4JABluTiF7iC2Zz
N3bTO+JvBZerw4/iFJVnQVXIvCiDfSaR8W1tIZKN0xTtvrEQFw0SAW181aeHuFpBPMf+0eX2Cseq
tkUAHe6KZjB2QdlB2wJBgTY+03FLDcRO62n3UQ/KazWZnAZrO9gGdq3dNEZOQ7CREa/Myf4G5WWy
Vk2W492NGaSnYz1vm6y2EXw38I6hZ3l9HCl3xVA6R6Yhrd+aybgqNJwHXRePxwH0jE/SCI6lqAqv
G9v4pbgqQnWnNdeiwk3VZziljZQsFpHQvqYMXhfotv2MkOdV0IpxL+J8ZCfV4+s6jfp9E4jgPgjn
eN/IEqj9WJW3ZDIT5T7Dq8RaCCKxgJROuiyuagM+SoqncJNnscADqzs3cRtBxccPs3Ui882CZYmZ
DvFXWjk/oRkCvMP+s3ZSDfdJHnD0KGV9xBvOfqiG1wNAin0ROLRisWvSHYnuHLUfvah0iucwt+yV
zn/1dVKWvRGUnN8ns43Ni/h12UNGBZKCA0oZNF+WE3YVWUiv6lSY9y626VhbfIUjxp48W+hyOT0r
1KXhlcV/XccNxKKoK2NAaLV8CxXssmC5AB4atkLfoqumdWvavyKLHPiwWcD6jhORjEA6tN46+LaT
dES4bwF+dByyAPqw9KJWtXDNtM3RCki6RfvWr4ew6h5Cemd+u9hjOzmXh4iM+21fgGawyrnCIk84
JCj/YMU/EdyJGcaOGsnvSRfrRByH4B6a2OAj1xwNdVBXkCVaEG8ovqMI6EviEmMBG9/dlDHatRn+
l58raUUHtjB+5sGoriucT+u4sl9rjJprI07fh6L5JbHmMHZI3ntTedFlBxFx1N+KgJ0AVgpOLObL
K36fN9OknWNrgVyLrgOiqieJN3fMdPJWRg8cONNVYMOAKVrlsU5HPmZlEcUuIuR1uToj0wSsFbY5
z01eY7h0Cn1rQXpYDQSV00mOAgBM0Xhd9BPqL5gDzRP/IE9iFo8YcOOaIwNvjKfYbnD9mFX2bOf5
k4VK8aXrlPw4YLY7THMZHkPUACRaA5b2u0XfaS9QBAxlypsROq6XFxgOMQYieHRDdI2ughGJToAn
Itc6FKH9y3DQbc04ba8a24ULNjTKivpYpT1Omr2icvoL657xuyWTrTYYxqZPSFlSeU58sAbWfdKJ
YYsYqbkGTQYdTBrJoc559y617hVFNOFwYzTgPzU/eAmRi4ecl9cdiS291ZKvnTqJL3t32gJiGf2I
GRJLe+joK+HxwvKF+dLQpzW78HzQ+m7w5qbRHmQSWT0S3a6DcQ1MchsjSF4Nqps8G0HDfq+VZvFW
Jks6+mwXeMDVITwl48LI1Xpsdi6jL7d0frgJGc+AKkF0uLNxgxUuhT1EBsVKwwAJp9NIr4Dff7Mb
87vZdc+TCb6l1rP4HthkigGBytDswQxa1uSugOHUx4zg8jszBgngYsJdtw1Bc+aYYlgZgjFbFZBg
8Q/FwtB3QZZw/6fQrA+FNJjIOKaJaysMbzV+MCYQbuQTr02EC4Wv32b4hYoFs1NkPPecvoJVxqxp
bdsdgJKoILmeZJDDaBujr9V6sm8w1N30qcEAMjTAwwbGr7xiBtbgJDyobdtuBpE53wLRk0ER5+Uu
M5mRoL3XfQcggseEWfvWQDnDqI3kDKPMbD7Ok4M3uTMSTC+h6O9zQEIsd7W4FgZmgEHJPuTMuzFK
UDU2qlUDP1Xi27lEZZybfbpjXjLfSjQc/M96E14Z1oAAFt/mcVqaqQjxQ4/NLnho2szYhmZjbFsV
LleGgRwLUSefi4o2VpdXDrYhXfgKerhtW2B7XJdKW0NK7t1brOIs4aly35wa+4BTk+sFPM29A2rr
bAx1QCM8tjyoGcUTBGXSAG35TFBX+8PCMoihKp1yYIhzbuKTnHnPa2kHYcAY1JOoquCRRGyYIF1F
1HchAi90i2ljhYza3IKw1DhwyCgxlbzbzu0UPqrwRu6NiN0PeS8cAWfsPRn2wYbzpXw0FkslaG9n
0yq8d4AnMSYc9cRHfOtsY0dNvKTq8ee6NLyTznmwigYyVEBNGQ3OQMLcXP3Scf1AxswGNAU44jNh
/VINZmJVQYnbwMnjPcvaWmV9Wv6EmGr6jLbUFVpRw4+TmQylaa5viT1HbZu4fFe0zGV+TGLRPlbu
9MNq1IbCp3ufRphl06jX132tqV6qivfRXH60kYabJTXsboNDagvwCVAbU7QbR0Y/TKjwDTi80WUV
iZuICc1KKXiPOm08+5IoPtaOO/vGJMaHYJzkWol4GKMsexpQfHu0uT8cLbHxuI/xAWTsbZcLT0Pf
mvtvUo0eVcS14Ic5uOPEmLZDRcTNAC5ipY5Dt0WDHO/GZEqZ71jCJ2mWHD59zpDHB9nGNlinVhMC
kHGogY+TKThTJFl7iOOsujerPNlVo6WvAUcN1/Ck2x/c+Gmr9SlWtAE8/Cax/zlCVw23YMyOhAMl
OJTT4BErOM507IXbgvMtjEMHYCzVh0BLH9VHLRHdS1s6sFfRhHiuJBwWFXfomzNVky6t9g6iFQcE
FRT8a5NwGPFT4ipPEsYEAXNTX30nBudqHM1XtFkSj6kTFVijzKqNdS+QjH+WEg7QMe7YZT2mPQCB
RifDpjD7TWW1/cpUezdfxW0gxEbjKZ144iEXXVsDu3JvGfYqx4e/N1vcnhrMEQBTTJDj2cJTXBjW
xnVkuUvn2FqZQvmeNS1Wuroq9460qpe0EhxtnDwCW1wbM8MKJKo5xxyK6yADbk+Wqp7u6SJMmz5P
ojshyd2BbFT/D0fnsRytEUbRJ6KK1A1sSZOlUQ4bSr8COWee3me8ddmyNAzdX7j3XOspSR1ou535
NM3YN+KEnRhHvX2VKb6TyALg2XYtjiZQ3tbwgdISrSZbEPvYUPgdjElJwxb4wyErWMgT0YcBkv87
ySvzD8AQ4a0JeZdOn0PfMiGDMu4CTlNS8qgyd7CmNsYha6w3B3VYqNpdDOKswxjLieZWSfRRREPl
mbmpQ3LVM59ses5CjKBuI7OErskWLq1ecmn7lR8MPat6LsFIZb4DHY6i3lb4TbWCEgaoCEemyNYL
lBaijLRMbBdba655W3yMMHz3s8RESZwq9kilcDpgBwByrEXt/ARoQIA+swyJsOF6AIOLk5GvJv7X
5JUqgJES1NAfmcTLt6VG03Vli7/nBywAbYbkDmgiosF4Exo0ZmuKOBm0+n0osZjqlW0crGyx9vqW
GK4Sgeai4pgOejpa93nU8bZXNxLiRD4B9K229Lt+hZFjR849Ey1AZ6L/iC3rVykYReo0IMeFDLI3
R7eVXbcq9ZezRhAZ2G/5CKcaLxnAVChlMuBdjBQWogaOT04GT5BBu8d4xlSMNaCrQof32yjuznLG
EaAatkH8GdeUuSpUB7Mh6KSaVdmZ80zilIS/dlX75ZZZLvRAi0D/iJiclzIHTUiGGAMww9o8hj06
TiLj14lhfTQ1LG+tik23Ms3YT00BoySJNIoropF6B5eWupowBFVjCUv6iqYbQ6VtT8pWLk+Dzoij
TYdp3wm2KyYh1+euF5jmS2ED60vH+7wU4w4d4vgJwNw+ySVT7nAlwVKdRR+W4PffE46aE3iB3M+W
HJAr3yr9SmkLMaNOYNU59fgEne13mqH0J8PkuKzMtrOePI1FSJBd5tEA8UT0XPughJ04Yyh/GkUM
3jz2LJGHxgoSlOm+HuvC1YaGxg+ja+4T8Jjz99nOu1lLrOUCNsK/LbK+8BTNL7Fe1YdBKED61XKt
0wM7D4hCotWgyNvJIP+SXCyHvFs4hpasCAqVFXTTRAgqNByqpGb09V0/6D/SMJQjaLzFLbZJR6aG
n43XK4U1MPH6bwQrwIeQn5W0hr1R1AxQLFOjAOwwiNcGK8gqY2SCs/jVUdc3CysOJdYKoK9vKPSU
QtlZIyl1ebmAuKuoWRFqAS/K69rrSBAIJf5u1+qGHsTB9sAUY0JniJaEXbS8Nyb8ZiSA4mVvYfmn
pZrsUzOK93ZbdY+JbltP/FGGKy2+namNrKifP6GI4VYzsVmr1FIuQ17gHsM0BnNemm9j2qTBOhTG
55Do+p2T5XrqtoRQ/W1DQXgYR+lpMhHlFEMP5UeN3rBOIZ9IFHLkdIAxgwkmrSo6fd87U+xjl/23
dfkUAKnBjW0bHJ8oYsPMsSL8YM2/BZTXC6MnyDNEggEo7QCsmTzidV3Nx8pKXrZsvsVZq+CUDLvG
VY5ilKEkr5Mcf2eS1rxGy5t9MnYm5w9PT03IXalX0T+KqVJOnaitE6zj5M4yiy0sczsPNgjFDHTJ
JR20W9+vfDg1KaO5tVCwDlXH0M9keBFHvJ3im8vll2gTOFWoJDxzxfQ+KAt2q1k4vrxpieI0tbhA
b8R3aY/3KQ7Es1Vx41XwP/j9ZEKuhd4Gsep8sVluQ2WseC0V0X9tE+NJRMWUWf0c6mZd3lEcTgRK
wbgyuihxaRtr+IOi20XlSDB0LukNtkbmHxsm8rCqJsqNVZQBDQ1hAuqKJb0Zimw/1MDQY0v/A9WB
/K7ZNq9pBew50/5rGrWFjVzkR45ccUFcVPnk2qOYimOje2zLcaGDJ5Q2acg7dA2sKKGN65ZEsqgP
Gzx9rpGV/1D2Jry23U+yQIgBUaAZR1nx7R837ftmy3cTtWFMB+yZqppcht88Im+m7oV2T1JdG4C5
ZiZnToY/DjcAaGafrQ1or4GU9ujYHArMtUbSiXIbvgRgCtbjk2soifJawF5/mAwteeh6o7o4uW0R
JTsyn6IvdflwGwIhARWAfBF70+pXH8eoEQyE+AWmhMGo6tngK/Gog7Cq+/JjGGR0AiDY7RPi/PaR
1idXsIq9XxHst1t4LN6YzfrJmHg0sYx1FyiWCOoZBlYZZduuzhz9pIMvCLpFw1lpgGl3HK3e/Z/x
0cV9uFXb1y3Ql4Fss8jDMJtJiDgVThRVW6j1EBb6Rpn3rOlAYNkJj6OYSRRJTXmYF3NvN+lzi1kY
EV0/BoU50JepSXZgb97eOSDLjzqj29MGrJSbpdPMv6mwmg9pD+9RUyQnDXDXLidL2FvS7Cful5lf
n4Gwud2i+aJhxCma9hEMGLn4bEUZVLW0BaaVq/fA4Xm/BbSCNXbUoKyNYc/LaYSEkJhY4PTmqHRL
9aRHmfW+bPY/Gly+LyrnDR7KIawt0E2LUtkHU7Q1Z0lbPfeK3fs6CGp6d/KJtFxJPybdGs5EbgLn
TZUpSMal9ZSNZMmsKXDjlUrzsqUDcQjMJQC8yyGKnngYGs1f0TjEXEJXsLQGYLJEG6j1Unysm5iO
ggMDzOCiw2vu1PmFq868DXf1A2oM9T5pGE3oVjTt18m6kRdzgDAlls7MhOBSNvQBgln8D1alxAFP
1pbfSQw9pRqL8o+5K4Ixu+NAXsdFXmzCjx4T8mce1NIEcGiipc+gkPii6ktqEOz7WOHgNph8se+7
RSn82FpqhhdD59nRulCSDpO4jJJR3KbDHiQJ9B1TKKqBpf3FaTjvid8BkrLMA/IJFe1zyN4Ces/c
VKGhGclF7+oZvqa1odiCht5hu3kjVf2d5ZpKudZ8ijzpIQq0dP8gaIaD2SIEVUhm1aNo/DFKR4sZ
5a60IdnQDEfbgSVV4SXBSzV073qpA7bpyt6fMCLr1fuNvTf3T3ptcjMMlfizOfPPVjl/oOhsjkTs
uFWfuwwAlY+0RJS8xKTuMDwYvKWbaCxJcAnAGHP8Uv1+ZBZwK73E2jsOVvY0aXXHkgDONOhFK4yy
KtnPjaZTrqMVITelPPaSBSxvnEgQR46ydnV9dE6NozUfYmu6CDh6r4ermb6MTkKHYswfSXODdJt8
fh4XgPlkMy8AezwWqY9pY5t2ZVmaQ2iURuSqWfTYJPN8SQjnzAKG0W3/kqK0HsNs6IYXQzdHT+1T
ByBST0BBmxjqEeqofVhgtr5Fndr7vLVsKGUfHeKVibHuJK8Ru2yvsmNySoiC20XY5fe0N9EBJ4nm
iywmmrgmtGcbyZtU4r7YZePM+M6Z6hupVvit3fwr1epfXpeaBzQUN7qwGK+dJnrJLiii8VrYYCNH
G0w18SoZPVOiBy3UJma7+b9R41ScmrK4xRCzTlFHK3pr1bWmlF6cdk8CReBknwzP6uhcVaNlXMBO
30JUpyFNdx0r4rsNayuCKDPdIbkjvxhqDkGfHSSVUoPQLxX5s+VweysMU1jf6++oiG8jydfurcxO
sg21p9sfgCLar+tQypMJ8Qw8P5AscykPG5eIm23iqW0BRNQRCS2a0Wo7qQGxHVgnQZByZmrfJuJQ
5JRYm3E4WkjdN+LS3TXLX3BxsKvD9x1mhS0eSZP6t+raac3z5433facidiSNhIF8Af2d8LOLOa8a
iUGUvL2a/sJWxthjnazpWmJWFJAomXTqpaRwL4vofaMYu+glSx7PWpXkrzHn8TmTdv+pwZDznRWy
ANZnbeN6tzMzyMpherBUYzvaevppG/1r3Khg3At4C4M2MQezFADtS93xgKvUc8yGE6YGveCaIObu
x0adT2YNaI258OzWqUKYpsI0ukqZToxVHTP6HTryl2lNISmxIzGAbhoTuHqICLNbVMT8FBpjfSZG
BesNDuGVT8szZxBRU6NPJBeMaQhfCw1zX5KbslYJwFUGNoSDcKmZ1vjcLyxT2jSxTsQwfHCc6zuL
fYdnEA9wL0o78yPEM16FRlny4uOMdlXkGegCmQG5psH7rMD7ZA7E3eMW5dT/lha9kpHbdVD31GrA
B8iImuPfxVqSgKSsrQpYcry3HEAe6xWIVNHyhZsocw0mRaxiVEoSYM6hrph0hmmzqD+a0venZgAH
kZGO48bMctxuItiWQdRMXdrUD8ZaD49ZmiAHn2C8PFp6WVEab03rrdX8aXBO+QWUcA+20RdJ4uxj
ddmujGtHE1h2Zn7psa1d2NrUF8FZwi8i/tV0xKcslitMWAHdWTDNYNiWYHTR2NiWUU6DXnyocdzu
sUM5RwbP/4ZknPmxGdPBrGpvtvk+Wv1imIan1lGZ2EZ5B6cM7mRaEJIsrDghnCYe76uy+yrtTQ/M
1kGbmHFVU8cVbg5/dgK1a3UrK5jxzSyxQ8HNLC/K2JXNqdTz8qKyR7KQng8LZN4pC/OJB6Tg1Q+q
WC3vjKXQ7xsm+cD4KmpFdRxeZhxJvpEpC4z55pbyoL/WQD0wseNuH4XIjpvl5Eep3srtjmfBTpUW
Wo/bsI3zxO+cYQi7yer2rGtIuWqrJKTmgCNROzpHX6W6DsN1P8rEu1YVr4Tm2bzVfRJsaaTvSd8S
e2fRqd+iYbFDFpXr42QgARus2TiAj1iCue/Lc710gDp7e8Nqhj8XQjufiRE7hJhJvoqmXC7K5tgn
K+a/IAb4s+5hJS65xjZA1UlV7zsiXMgm9+h7OTQZMj0kWpd0vhrJDtKnmseXDiw6mxlLd1mzT2HR
R1dOE5P0qkg7Sq3I99NgpvsbrZfmhgxFLXNoEEgLCfIF6DRi+cabVwZZwKDQeQoECEj5O7aPJHcA
0lNYdyDkXxjmhkPMaFzFLPapUwqx1Yhzb9Ha/rRgejmpItW/crKpXMDqDGQ6OGRQU+u9bU7Fg0ZF
touz8SEnKnWXyZY8CrPQLkN203GbxuQnsthOKKrNo5SiOZgK5ofajogW69LuM0nTJogJ0/FMak/C
3UudG4Wjn3CKnMgadXoyJhYxAFT6E1kEHajdoQ9EtXF8JBpKb00QyMZAsHOdlVgnJ9+2vePEMpgm
M9nNxcxqeXvb2qnbkxxSB9Zkjo+czytrIqyjGZ7evaFF6bnRu+YEIAUCpDG1D4wUbbZZ60hZt7GF
bePsvu/mJ5NSc68sBtOwQTEJ+rttpU31Szhdf1lN3BaVNchDv+rrUzONjJmoKTyLOqaCY4aNsLzv
EmkHijP/pIA63uO5Iv59veEcZM5J0MzxTzmtMsztNKJfnnOW2Sr/wXTDF1az+UALEX8Nwqh2RM2R
hXRDLJlxm3l5Zk13yIlB8KutyhUWtci6YudI2pRz5BbWD3GeNagrSrg0TU5kATfx1ufrjqFq51PV
twQ4N/Ol0sp8b9n2eKsMFY/8HorjUVn3mtJU6BkkFfFag72emaLKTLwUzejs2O90x0b2t4y3VqXf
nfBlyAG6Z+RAUKkjT0nn5a5Z4ho69w0Pbjg1AULOHxGT3x1dCHvpb4Hc4iBtpXibDTN/mNZ19tQu
HgNMgOY9sa9mkE+sdHURV8fMycURRFy6y8r8JTOtgtZTU0+90Bc+gAH2SpUDUWFdw64JmZucUdmx
uloPuojitzxef6qh/cBlk3gal75X1n0asjpVQ0ulfDIVYlRuwQJoXCz1Po5QMTtW3oe12HSXgBrd
Tzl7LlXRJ26+rizG5fIy1UW/U5ykAMLMImCWUQkpW1NeYeYeEGferbWWhuwC7si5tMNtEp+TPiS+
WLlcbY2vOJC65OzwVHd0ZtqdA3vwATlr7pkL8zjLgY0ejYX9Q42mQSK1apZFOcggxe4Oaw9dxljF
Z0c9t0dyiozEiSBAj4vhVnTDYUJOKa+C8WlnbPdQwLYAZ2/dWKu+b+acnp0qGo+0MZgcWIKnXLTK
jCiNeUCKDN/TzIqvS5MZD4S35RetAf25JXiGtiRpA+AppDfWnXav3xYGTkU/aCKYc4Uk8xCXePkg
Y2nDa5jfZmakIV+yxGfSBbxI68V+ixzW7lIx/yKM07cXgf+eLsOLnAwcuKX8CKlakDCbD2cB6ZLM
43jJOaz3mcKfExvMfJrefEVAkNx8Stt+I8/Wk1v5YM/b8Cb51XzmUTxxVY9OCnmMfj4kH+h3IDWb
4lmfUsvX4mR+tmvL4q+AMSxyxknQl4ZDM1hb2MPqsYfptY7YJGYzqU1aN6buhPDSZ9sReXY3lYGT
aMNBH4vhOqrRsOvztHoGOmb4hN7onhYLAhAh/VVe1M7yU+hqv5/s1XiPwY68KI0dQ+esSTdkWWJj
ESuY4iEP8nraqcBOGA+uLVUQZGHA8Y0cHzqj2h6nacJzxPiJeITRTZA9XgzZ9l+EllVnJlEmu30r
egaSxLvbzpAu44pRbAoRh6ySgYazU7/z3qbLwU31bxui9r3Q7G2/JJkVGonBQJG9Y62YXo3fWoe/
Qo3+O9TzW6LEzySDEaVxE+YsBRNAYD02sjQ5v9ox/weYinXQ9qwPaYlG/wYsuxfZ3P1Th3Z61VS6
nYwOF3L3OgY0JzmzWi7W3lbUOxrEGJj/aHljPsOzhWfiO9aoBbGD6mCJqhhCl9SftdH4VYWTIfkn
c3jRjczTtDZ6cHBCub2otYeMeswdJKsL0h7I2tEpdNCjQmFmUbHXjIYtvjJl90Y0Tx7hgFAyyi4b
3Qke+zv6Jz1MJ+vF7qX+aJiNvqfbQpYj85YTvuFqsUV0jrJ2C9e5zIh2iZ5SQKMntoXlyyDQU1Sr
XZw1eUQO1QFSVbI3wjssr6ktkkZrOh7TRkrGakJ9NPJP1LNMcB6i4Z4KwOt4W1XmzSk4opyV//ya
laGGjogV4qWtvictu4u2FX7xlVhsaAmqfmIyQzwzpUr8Ayqeu5JpbwF77rbRty/j+oK4MRSy25vy
meRdJX3OOnZ74qnRTkIwgLyPk6O93JNqx/t136YRttrf1kQa0FLenYm7iMgdccqKxsckpujdJKXJ
UPiQ91uxl+WPYz3QcLmpSs/Qn5lAahtNkHoamHlWY5B23C2gjXhmX5X1UKsvBt1UdZ+ku95irCcO
a02WT/FbzvuC6VOveHrPgqo+r4yT0oO2XG9L55H1YjENXobiK+eG64Y/2FmUCr+94sP27sbzUv6M
uCP16G6Lv7WyI7OK9Bsnv1ZJF8b1c2y+K+1Za7KDYGMtzQerdUIuv3Md3cQ1ddDw+YN29kkKPalj
uPQ/K5MLkaNvpKNS59eVkVQfB/OExICWyKDuYqRdzHstO5rryU5YtJoFmfV7tXiomueKF6ijxb7Y
AxN+yJ7TUPiNQaK57dmD7dfTz+3ZyeSP9pJIUDzPG2kZgbDv6+5N5diMm/yY67tZOxHhcygLGKe0
z5wPo/qdJQRBIk/VAC6vgO/mpyjG1DRC9l1+OIfcEoLiyBDObI7dzPUDIj+HN6BWr7U8SGYQZFu6
aTS7rXFMEBrxveE68fmt8yRstatCwK35EdfXQjsMyc+NAY/tyJsFH+BF0UmBujjlbfv1wXRlth4c
EDq9IKv929Se1+UVc5TLfqM3L5G9a1hjIXxX0OIMuwz5TCmCQfsp2KOWXK5QydNNIXbsUkd3qUng
FVKt/GJznUsCp8xebcOaRhdEPtKvslY69raT+ZJMojow1v3Scz2/A44ZWBttVX6ZCXC2Sc6jBhu6
BSWUebWF4pUGccoFmbocPaDP5TnS21MCPVIr9oVVuTOJaeDYSFsgegfuEKpdtkpl7lvLxSAbyuTg
c16mlvPXYa9WMEGNXHN6ATHusxn2WorCLN+lbJNn/GYoWfdrnGJwfFpYtJUXSQzOQmsv+vcM4DdQ
G/a7tnHJgSk5OSiz4V4sL6rz2Ea7DP3l1vwxmNwp3au6PerOS9zttuJvJiWCzVXdajdD+l6dMsRo
u1v8iC5AzK8fafuSEsE4qfsoXg5yVr0cPlRb46V1gOkzradmYHVwWFHemKjfHOIFuuqp1157gypT
2VPiHmr9lnlBvkf6axJWULBVqfmdmDC4zVS5pfy3SB5fdt54WmN6aGKGOWvkiapgkqRcERb5cB4X
Ab/D+SFFj0v4askftH9ejDr2ZtLWmLRv+m4EkpVx6K5s4g83EaRJWl1ycVaNwoRjke8A3ZKvFFWQ
9srrhPoM/q5rRw+5uBLLss+NTx25+1rBD0bWEDef9RQjz3qGKHi7EJdb728afqGgBGhch9CYrKAw
LTU0Ks+kx6q0iCRNVOvFJPTRwDSxRG/CQZaRRMcIKrIVuUP6YylknhiBkp1asr5sgfluumqA+aaO
TTibIipXTv/WJ7f91BF7tZJZmAg/Nl6rmoRyPpGFvgdBQC3BJoVsO3lgzzLumXfcQRc2MfXG9ueg
31Soy12+Dn6pRP/6qfEZKpMqdZHrQSnfxvlbqPu13GnUTjlES+erFlcswl4KDDg3wI7KY0eDWIld
RZjTTLRWruELfuB2TQEMCq+YFW+xvjfO3Ln97vJnS5zpMlzRfMTjB3KyQKAaQMGA4vJuyxC372fl
Yi97POeDzftwHQnSKt+V+oN5ld+YNLfWl9I/xbcUtTQsy52evfbTt1U1uxWFLWID5G0gSmmAkBdW
yniE+s2RDdmj/DLjq9UDEa0PLGbw+T/1zdtqn0pyGP73MZPEQxfID0bEOP1rxPUWb+goeyEfi+WP
rUfd/yCv3QMbp3EuXVX/KVeyHJ3d2p6zliuUU3yAZW2hUjSy3VY+jzay2O1eiiu3W0hZ7UE9iP5a
ZiV/kIhJBf4dYOfEr9n0oK7vJdoQbTgplFqx5Qzkb5k58oyUE0mCUM5QMAWkUw3HgpSlHU9/ACpa
E8xuyOTUGsV1xjfFg09CqhhPzg/TjHBwZDpY3mkOs8cMl9prOpPWKb6t5bdHdpIBBBcLDOeNQA4e
CV8Gb81+FRYONiFMA9LqOTF9BKSrUHaMFYkSeUNWFshouyMeaLct8j4iNpuFdqDluNeROxVy/Fg1
I+zjQ2m/symgoy7CUrwl0a+8GwC7qOW+/7IP7XAvG/7BiZbZncrdwCpum+LDnBwk+QcNJOZkO9/E
PNP6YnCq5iVnxu2AMH9K7ikiwkF3Xa0S1xjZcPWjTcZGk/OQPzjEHOIB4eJVeeFLApY5W2wNX872
EYunfjxnzi/5CMV0jJczOYOuHC63N41VNC/RwaHu1u/S5jHS2cQLKyAljZ/2WxfBSq3HkGTu/zmM
wlifcPV0XndDWKdfWX5pEB0ARNhkMNpvirjT9ftVO3Q9Ha26NxcrnLg2DPuoKWwi+tDM7iTbkXl7
QJuKLP1u7R7X+cvS+MZ8FOmnkpACb6OnJ9SnUS5j67P2DwBoeur0MVunrb4ClqzZCDbJeU5Jxfxi
6KNUyx7kaNk+qwbKyy/VOknzMZpfSBmq48Mmwi45lWDDth0uds8s7xxGsvV8X2RXE6FtOnwW6cCX
4CTsl0nsFm6xNMbC8iL05zi7jtNZjYmQRyY1vGfyCCxi3GzqlSDFuso3FHrqo6OTRAorKJST4H18
37R7Zwzo53wxfHMfseQGWyi55X4XmYdGdbaJLxYFCQlqEXRwUmn3zeEhyWF76mB/M9PV1FC2mGfQ
RUVczuotPOxSkpcV14fReszU+Tzpn/EY7QrdYUhNwlh3R1/jSauj+6ncid3Fou6wGxKr2AQU65TN
TK3pAxSpEpRMc5LcEUTiWlzAdvWIFxoB6gv52Jx22XGBcl/03ymi6bKCwF4dSu03mSy31d8yDgBd
zXCGZh7T6JIyfmGNGM+/45r4Srpi7l3vs76ED8L4VuOa48/X+lcQd30zH0bnip+CkiAONzLVViqO
xQosALCNfNJlEaZz/zjG0P43k1Mm9rvoYxFo9ueXqLkUkfCUlqAuJlab+Jv60t8SrDJfUQK7BFln
xnlQM7vsFD9V73tHXDcnPw9NHM4mN1ZcupGCTpoPfSYl2NERKEpOvFF/aQu+zXUBiD7+Ng12Vdlv
O1VsIVDso6PhRiQcfjxO2N3YaXPmwuhn0lzxIytELREBvRYzpKx7mqZ3ItnkcA/RHtUFJ3YUdtWP
wWYddCq7zr/aDuRo7rQoAqKc0Y+3BwKaw0n7advOjRwCBG8En7HsDg2zTxVvjou0sneUdyVbDnU1
HtCY3Cb88V8XkS2911C3KXbqrgsXWfK86mB06y5g/nceMCbvrE2gpv9rbHI3u9dBGq963n5tqnQL
0qhN46ct/xJhnQQRFzFQjrJ4n7uUPh29G/s/lszbRNzftVG4eJPX1HlJdC0YO3S9278FQUj0XK1/
TktSGGYb7WOEEDvyGyd7czvcYrZXesVCfsYksHZ+tqn7yZrOo3ye21Cm1CqAaTLF1dgF0/Go3Q/Z
k2P7JYyHtr55xtjSnNo6LLT70YIHfBCWRiaFjwkjQDbhDdSIskp3IwGaM6o+XX0YutNonjr24TL5
KQ3hLcyOB+WgsyNtmOdm2otlXSZF26H6dFV6KdgTsJJ58phVkAR46a0jY34zvi4GaRcjcarFw2L/
EAv2byMYwyxNCLJ3tfGMYtVN64Xxzy9nvBnddcpJsw5lthtzAj753diXi+3REX8jacyM/4suLJO3
2YqAjnIa4UI6KnyLWBWQV3Jm82yI3ypukIk+sydJ0bmhLwPhkhV/6nJR22eBULU6axlfThyEsXon
G/Re++6WemKfmp7eR5yn8s+Q0o9JJ+kYW6XPcmTPRDBE014j+ZLPwpvWu6GN2PNTlr1pSL5WiCEW
E3aaPr4AfXSxgCvX1VM5vSrtk909zutu6h7IkPQYAjM8P4qCf6G5dv2HTgdjOqc+VQ81M418pQLC
gVgWr6Tp3i/pXaOc8AqSn/5YWKdSvmdg3bd18CxJVitpWwlcYiLvNo2NPL48gxlriXgyoa5Ts78J
8Wkz7uPmkhFymda0udzeVfXjkI9Buvku1XZEIBo6We4AqePVbzOCGONmP6avU01+ltqxtv5O5y9n
4C9EbqAY75X+r+2mXWKsvqEeiHpAzMX3eLPHh1EhJhhgq6xRakDXHroqSNAVbGQAyRb7hUm6VT7/
M1H0rWoOe2k8Y+o6MnSIXDx+r2SFeBsnNaLq/Bg5jPgV+w4nobfl1bmoVzbl2B+Z+pDikq6BPvXH
HqgXn4fV0fTkt7Ss7mqAgRk15S8y26CM8Py3ppfH6p/doUXSlwA09ocT4x1iJFuR/T6V1Q5FxdEa
1v1AsIx6EzQRBIY+fgDMnusqCuntW4v0+w7KEThwWjBnZ/QDSem3CJDJbytz36687NY6H+w6fh+X
+t00lb2zTYEt1XNdE5XabB5DMVeuxZWxZmBMy5FR/4egQJTOdJyN7IGQQ3+e1zBtSBbXrRrkk4Sq
px4GWzmXeXxKDCWs2Pu7LDV+O0WGY7k8xqvKCp9N1ax7m+gPPW9N6thc4sYHkhdqCSJquI07N80V
D47PU2IYvtapl8poP5fcloFewxJwCueoceEi9vbU0XBbxQg2iOYeHGjcfX9r+TD0T9KcKJERJ+vO
rZsr3tkLXec0D7UFu4C1Hrct3iODuxYOCyLD2VWdxoqSzButv1Qle72K9fzY7ZcouurpBI0FFtu4
9XfjVp5IWfBz1nmRSogSM2Yyjk82B7Qbb9EVKeFlAfFTxeJNbwZ34tIcch2jH4IcPT7hTiLeJHvR
AGYt+vbSb33g8O+oyCLHNfacJSMZt3RbIhe3dUOZQ8BO7KCs2HaK0M59Xe6NnvcULeWcSK+zrYCd
5Uer2Pu8ni+dtni1mF96IuxYZ5K3vN5gmqq2l93yyFDybZ7Go5lHPkFoJECS6gs5hbbn1tfONbVd
z3SePB97rZHwmvfq+DNGAqqKsk+5TxJVBIJdM6F1zIrUEDn7gyK4giVv77Bup6Sges+xwA1Suxrq
FMj/A5iA+Zm9j6zMS5Ju3/YDgVPDblQXAocQ2rLaI4/2YOm1L3H/Gfnt/eF352JGz/zrkFg3a9ax
1zYfhtOdrKnYJn1+mhgiDVYTxgozOZXJzyIWv2AWz2jqV12dxxSWkScmss6p4X67mudtIyYSXFFo
a1sdtZlBCUnsMgHcJuG94GOR1aD6mIfskM+F73TFQVUrzJ3Zrl2qD9bJBaHlScxfo4Rdx0bmJjbU
K0j7hO341rzACIxC9sVmMOLHT7IY0n1N3FnEbSDpS3WZnnJ7Jkko3kXTQky5oyAnaoNiaU51zFlu
by8mktdpoCBuofYTSscWbLpFEjtMA1W1O6EsOuQrAF2cfJGT0JCQRV9vBzRDI20dmbnSeCL2DvnU
ck/GU+FmeBDKLn5r+fISkQATZ3yoDAuAn1k2oaJlT8Z/JJ3ZkqPItkS/CDMgIIBXISEppZzH6hes
KiuLMZgCCODr79K5L8fajrVVZadQsMO3+/Lxo5q55WnC8o4kGMivkyOj7179sfpVrhITIJXyfnNa
VEZVBJPV1DHWkQfF+djgNlP7hd1S6tTXgaVYN3IkM/3weJS8P/qpe1yxS+qcL4XTxCH+B5yrpLmx
gG+c8mlBSxnfhK5nwOCC4w/5XZOOuzLt9k3LUpt4A5VyeCGh1re8iICe4bdGou8O+RCeXARWQI6H
cl4O1Rjs3EocaYjYu37zwJh5R8iXmxZD8WjFGUSt0CXUPkjyQgQtAzKQRYMe5lEEypoAl0HZxn5N
KGvs76Jy3rW3O1tObbFy9Mlj6h0m9Y/6COrlxPblGLZu83o/czPckGW7ALtzCL8Xi3E4wu9uODEl
+aFmqlD2XEJ+0OTv3SjEYNujrrQXzYVQt3XsWCbhZDgL/HSrHvYuprzI1B/dVN5NS2nHGGUftzyl
jM1TL62PPxH7BDdD0mul13xpEmnc11i3CMywpWPf9zOSecgPSicL/8rIlpaR7NaDnR+JZh1MyQJ4
41NEGCWjtE/TJQZKlog02E0yxEZAiWItiZHRz2vwhAcI81Un0EyIo/J5rpibClOaHRYvPpxb7/qW
HjrAXfVmVCwtH12jVHvqP47dYPPaJT2Uh3u8WnG23O7rfSya5mqHhIwdTpZWN9iUXDq45V9BtCRe
Ky/OPTb/dohlmlepTaVfLUnxa/3TMoh3/LzWZvhAu8sih0O62QeBvNc54t5hAdCT2dhlMzzRbHAv
jbe9iVKcsHUf6Vx5hfT5zHL4vuOXMy/yOFmHJWrRREtzyumSzkZ5JDG1J0t2YD/3bI+MqqwjQ9KB
4DmeA2X96gzm0JAFoGNvXDiIYcicBXK0py039pjh8sl6iQTXN9OcRyZ2yispjvQXkK7UzeuBpLMb
HKPlzy1aM3f8p5F+0Jhzafqe1X6UhB34fx24C8XIKOxlG6Z373sF34XT/jfPHgcs0WEP2/EYjF81
HkdRl48GgW5ccnbDDSGv7FIM/ZEsP4ueMZZL9eh57dmZiMS189GV5QvRb/RQlrTs78+2dM+OF/3r
ZUE3b0X4Jm9eW6ijt027sCM0Gb4USzSeJ7bmKvWeWmfck57np9SKdlF8hoIDyQ++VgshftTBA7PH
L4OJME6t/rmeloXlEH9g47Jeij6rLr1uExE1M+KnzLO3qFnux3oiPYjr3+9A307rLX00t0ckZtYa
BVFBOmaLkhUDLwePcCKO69tCxQIjQMpxMS2Vr+svt6TGOpxx88BeYNq2CSkU9cQIPdp3NH2wCkg7
aAw+Ru6BPeshHxfKwLCspVxS3Wg73Uyba6Dv6ZQ+gjW6BNM6nVi0/Q0XkfhFeV1QGUmeHLpMftrZ
nEzp4D0Y0yIfhtAt2og7TbgPWC2nksqfGVZm0If77HZ1VCt3eXKpNtcJOeiHvk65gTtX0RX/WhH+
ROF2P8D+7Kiz8zzNXNjcmaE6UAkKESy/87P6dLPBMPPu1xAr2k0EQlOSCDGOO6CZLNtO+BkNowjw
rcUbO0TIRaDMbi9Dy3XJxeMyG1ZcR7Ri91XOKEefXilBaKg+O+BtSBaXiu6Oxki298lcs37VZMmb
ZWjPXu7FLjCFfvEZuj3kFWgJm0ATH+djUDe4Kye85mXjqcMEG+bFWonml0TpHtpOwhkF1sw1yX6O
+IJ2tRoorA1va6LZfXbCtgsTSkrHoypyIp3U8n6XOvxjD3b0YPs9OwgHONnHJlhjuf5V6zIY3lvs
H59QdOqjIbq1N/6EJ1piExLwTk9pQA3Nrm8ruu1F/dhK/F8YiODQHtM8a67eBCSQCIPFbcf/mmav
v1Aa871VejqSLyzIizeSjqShopQwTx+BX5PxzLacZ1rkLk48hDwXUIUdfnTd4H45axY+ud6qqnha
BvfooWnHVkhdqtOgOFRzWt7Nrn/XRcAwvIEs9eYa53/VlicCLuq+hwVy1BsrSpf85Yl97HjoqwDr
ksatt0hixSN5SDxEDTF4v9L3yv2Bxo+/tqQeRoSB+5u+UOxaM2b4rBvZ9ZVZeqcLLvWqmhbyqJHL
6okg9QuWtPxM4y+2JTctetTYvnxrFTKdJBOe74sI6ZjuArAuLhGd5xIARwi9JDNPpiuCb6l8ICXr
hOIZUjFbzRQdO76XUkKkLQzYZn1l959kGT2ZwRoAd9C0FI2UlCBIzUZ9h862JbDJ1d6uAXeQSPo9
LZbJcEdpdJ0ZzADxyX1Z+5jemaY0J+eaPwfb2P6rtpHrbdE2XEA9V0a4rwMQI8SF3fWtwi1xMJP9
qhbzt7OH8q7xnXvl1+nRC2d25DBHPkHc8KodQzLGPmyVp6jogqPvjFGyDcb5Yv8cvWFLXj4gv4C0
p8aC78M6XwY9zElGp9HFjuT0PmqXLXCktjNXSLI8GLOeeUy8pwb+wKG13f6vjUny2G/LfGrYmsJK
lAVfkzJlszNkguncCOtvIJv67FQEcaeCKwVRgv898Q0kCk60quzJLPc2f19nvisbCkq0gC4Wq3gt
wt49+gYLCWNLV1l32FVsdGmNVu1nivPJQQ9GCqw/yM7eDJ9b4ydRoYorxhh3T3PPdNcRRmUUa8bl
PLsK34ecpvd5mUljRCHynx2177QRMpnOFsdzRZzF3tWlNxy9ksw77kXt4Qnxx2N72/B0Jgr+RMVQ
H26hLygAc08YsQKIKjUTWd35CxpGxjBd5GHsUJaKVsvJ04CyeuWv4GRyWX63tpoe3MnOODuX2xpa
ZiTr0BSOei5+IFIXeJoNilBTRQQUelZfea/4p62jALJu+WkcoUOgsLSd1mrlbathPKw5TtsQJbQs
p/XRot6sQDu/mwrzWDiUy3kFEO4yYKgIou7UtdW3SLc3VS1kV+7nQj6FOWQ40piAOKJlxeuHt+aU
DS2nuNu9loxQlBXlnKK0qJtHP/Wb52oRIe8iKhO4jHrpmarTG03C8d+tZULQpIA08VN+01UakQfR
cn0aA0VvVzuHGHVRF/aLS9NwxO11YvT9qlanJWPpzmfzDjwgnxN+9OFc6K3nm4/0yjA4tXtF+Re1
snX2V0TZf4wm272zNO1XjSbkre9Z3aF1p7scnEYKzoB0eRaTNuVsU2n6b7D7+sWewvRnXKWTsQ9P
i3OQho8pr79XY7zh4lkYC5VFhxjUt4ij5HZe1JtzWPwi1ulxFUyzXkj4tB70fPY9h6V+RrX4noGn
9GM7N5EDhHmS00EPNRgDcq7dSRAiigHkoq6u2cpypOztgfAtKmu5uLgd0axo3MvyhI81O1uUjFMV
xTtZlA4P4GY5/sVAc8D3xCXhWg9favhKCI3sTdqQ9fXwD7uMZluYspudoTFbknavarSYl2W/fVkb
m27PWIJnwv9vXXhaRrc4zBCUcMNyX4HgjIckt3CyD6hbndD/mRuQRMlWx/3gpUdtDR66T9kn06rB
hvRhyrRhHMXUjfFqLBwiK6pmqiM4wXxOpg/kuA3HKk8lMVwsP3zz7SrBF8t3aFIkiFhz7wa34D1E
Iy5uaAqfIc9j0LyxljIr+L0Rd9jX9kQHeEUNBwNchECVkgOZxrqJu2KFTnQzBqYReBXcdn2s8yHD
tyCfM+IiWZx32CWmYUx36FplSzFVmg77eevuOzP+2PB65xfJQIYDIS2fBiPqsx48dkQklDxEdJrT
Cr2Akbei9D2zXPNP8SoHAybcP7QZ/kXGig6dUVyvmParOErZ/EXZfDcHf3Dx4i9QvdvBPHAtTLYA
inmjq8+m991n0g3TFxAgkrc3y7wJ3f/GsS3FoaiNw+A3QiPLIJ2dWRqM53DDceOBbn3qb/7H0kWk
CrjbHIKxUkmd8RYmlUVI2dPRU1+7eBm1c6mrRT+SEehwWRY9oo20SNh09Ve41d+ZFXa/ublOuJOy
quP7z2QyD5TIxiwHyPCHZV7dAyoY2Mp2IVl6XT12m/yXTsVttvWXb2y+f7sVG9TSB4+RtJb7NE9J
89JH2seB3c/jAcqdl8FmkJoHhIwVMhXC/rLI28Y8suyTaEvnd7qktCHKDKz0GqknApT+VU3AG3Ym
Mjk7UILNHwo77IG8P9oBDcbWvZtjgQwNtdmjH7AiJisRlza8gmsrZRk9F1nEvtqj/HDNJCK/xZ5E
wmXJluhXP+LcBFQhE98vHjOU7X5y4sz9SkeuEggtaZuzHqCK9IdSzJfBNy+9NyEQdvOTMNa1Gar+
I039EttDjygwzeJNYL5mC6Lnv8rVNntj792MFFc3gfqgeyC/9/Jseve5g3CPXxBrBQF1Sqaf1659
IVj1VoekpzwCk7zHOU53W99/juUiH1TJ9OdJC5JRAVSn8lrzqxcYVL8J47xt5APVo93VH312C4mt
ASutxlgOVSIMRjdKkor7aWM5EPLKCFEndmoe/9WN+rG9skGQwiIkfdbQPQwqvjBlNs1xJyw4DDaP
aXp0CupvKYH1cPPT8bQzI9npmZk07nurOcpi+s+dFWRzXYX365jdihYiDAxeCbhtyBEPV25IMaAu
qGlauKdJtHj3izlqnf1SKuGwZ/UcgPql/kc9uDrUFdNNveG9rrfgu0CNS5q2+NV1DXGSlctPV1vb
roTREk9r0CMgbOw7QpAXh2bN1XenbPUbRNrNz12hTB68ga1ZkAV48KXXcXC7KxtIMQXdi+OWDjd7
O+83+GrlG5IGt05eY1gSNG22RZvP/ckykb8m01B5NH+Gi3OmHNHw7U8d/IbDmgLUyfCKf3D/kOeh
64BLjA7uQWmqMPEhjCNO2DaER8pwn5zMTN81X+3qYIXWp1nlH1Wx7YUb1ySwtqFFBbP/M4t6auPG
NY9m1vMHfwoGaKnxSBX5jSQAf5Uron5jhftmE5Dc16kVEEdyx6SvWeUzduckHOwPkVNUcsI84tH9
Gf7MIW8JLjvBYVbcnpMeHtNZ+Bvx3zpc1aNe0d/6INL8Sz63J8FunHKX8j6v9PM2EO5jmHOZzKre
e1bwA1m5rja7UoanXdVMpP9JY7CC4jOhpVHtCz0GaCj9+ypN+GxRTpLM+awuqZzcA5NNj9YJWD70
QejvAi+PKJSNhp/qxmXDesLEOAfW0wRS6i9srOU6et58Ea4eztkSpnukH2TKaAxO0tu8vaXskbuI
PV35irVx7fGsgcUyJ4kx6X6OZH8uwiI81wOlq6FXEl01Y4ts5ngsOpbmcTAcLWpGYEOqFDfRmMDR
AJIEOc/C5nk7ONI5m78g2si4Cib/oW3c/ldla33XD1H1rJcyvXfFXH7aAd21rrGm2FTFmsxrxd4J
pNVdwD6D6XDycvInw3rn+fY3Zc0Yd0S4s1vY6qqMrPNM2PzkZe508FHH4jIQ3QmJBMOCa3Och/xo
aS7cO9MU8vdk9068+oXZu4AO9rZVvlf/b+3CIkiIgegefRjTYSksNLbISRNndn62afySK5F7u7TX
/0Kkm4tYyG6ziW/v4N9Xr5uNp86ul+WKoVuOMckU9s5avW1+AQBGolF6FjYyS5Z/Om9gTGLy2ulo
9P4Fo893klk6ptF8fSHC5cYLi6odOTNnxzIfjVXdFdF6YwhZXbxUxc2xPtcc/pvJDxr/P6wf5rMx
JTmks85JwiWiH9RmtTrptYOOgIbl42tR/njg2w/tI+2CyxA47j/jEm/Wy8TlaCysLSkYwv9WAJme
1sjGsZb33AFg91ynxXmimPkHWJneDfnIhopBN2JyqCSotblJkyXIPNYQvfXaBZW/r+RCWiYVDXVk
2BneqmhIv+TU5R9MHNGXbr0N2Xbe+M6RaU781QlyfjFz8DEorzy2BGwI/pEsRhjq28+8HzWbu6qK
NejSZJod+U/aTz42x41s6UtfA5BMVMa2sIsymJvQqO7aDinXCgZDBpMJHMJa/eWZHmxES5YCvXEt
Pin0WbmUkI2k7Xmio35D1vFBuV6k1SCu5NidmMG5eyOg3DVW8wvgXrWnPvet1tanE1G/gsd6vgKv
Gt6xROsHNtOCNGKGlOVU6SUi3EeGsM++0XKoqLeJrIRdOtDj0mX3StnhW19rbG61QWvZBv/Kk9bB
txA/dT/4hAkmdcqVt7kX383a8e8SWLI4tGWor1OQOSjubnEZMHHdgQQxRzVLg6+pBG8zEikNahpq
h3JFc7JXd2b4JdGUxhF3bnFqoOyS9lYVjg6UlrlOBsV5e/C9JXzIdGkQpx1x6T0CkKtK19OGN/7V
Y2uKBV/XCTMplS4EEK5OtbHYLGW7dyPLoQ0hgn5aF/mh3jprvwWBCdCYbOzvw9qJXRBKME2V7WO5
XcPPsUCNr1yRVftGbB9iEyyRgEgJJNM0w/u5Yknq0q46jY7zu8p5Ua3dyvZB9+vG8rPshq+tKiaM
9W6LfUAtOcWh3QTDKXDEU+gMM8K76z3kVAk/pzYwpmXGJrNM7OOge20HlevhWJrs9jdE78FYj39c
B81NawICLr6zPUsDFY+TFx3UVtV/qdodrlVXpnDk0trIWAt2gUMgncfN60Ki3YOfdGMZHmrucXeq
y0e2fyyltGyYFHLHf6BPJ3rubX9ith9h4ltodgbD3lrAQV22ensHyduettY4T46wZByF5fhEUrtJ
OneDYaQdKiS5lcad9NI/9cz0gVbJ7LAJ+0gSFgOH5rQvygL8VoNnLgVmeKzD1oGEjrpOghzPFlV7
VPr4DHDa/Dal7h7LRvnfUASAuPnI+QrO48aPzLZvW3rrmGu+q5LxYU+Kf97LxVH3W7diXhAVjxNI
Q5qsZ/gyFVD7pFmdgih7lu7HQGbvomQjx/vDEh/2YCli7KN1pa2VMZ+3xBHZrj0u2lZJsTTOE9+C
2wYKZVPlqKJQ0GgrmFUEPWj6b+rTcGcRQjsi6dYHxy7yzyVY7TtlT8ObmnhCcF0oLJaShm3LYk9a
e7aFgzPvYKDCQg5hnACaZSlWNcN/Tl70f80KLAg9fqLZnYq7PlPdQzMv37aU2QNTheK5wtUcDVTU
G7k1p0h25mnrGnkhFww4jzXkXo4+nBmRNQQJycrNISd8N7DzaOee+ueM/VxUIH4VI0XQdavJ6fSA
gLH1bQZPMiBlIMUUITfkfOA6JJnmy+Yg29926oyYVXZ7gDnD1hVRYyRus31V2eS965zBzeRENJp5
lAAfwyipfU+dbBSsXVmsnzDd0MS5IQPmkDYCBg0q+8Bzu/dlqXhJMbawEAIDQ5x+OXrAE//lWMl2
dWvSk62IkfoKH94M5INFAPcbpwCq78nKIIBHRcJ2TBwnzrYbG6l9vJ1bu4D45a7hzXtoKFMghdyC
q5qG/1Ybd27hpw+pJNSerk25H4BN4V7J/xWMrjvpLF/rjMF4GFJxyk39ztQ0xqFtvdaCAW6njNd/
TrLG9uMY5zpVw49HDwfEBML294FLWjZcLfXgCvKgI72ijwEc+6++q1GqPYFRrnNYd+XFj9pClsQU
yX10ZCL3LiUZZ3BS1jlLPU1sOWcTZHtQ9IJA3QHvw0iSb5l7e8XxrvKX0P7DVRZZSVi4VZZRuAeL
5yPOJQNc7znyGLZciI1w5o+sbNKHUE/DtS2a+cAFCWefUcUryw1y5AMO4QJucb7byEfttqH4E6mi
vcztUF+wZvCjw1EyYGuwSrfT6FzrqkNvCUcwUiKDZch04NWvUMjEadoa55ltEB5v3eBImwkr4Nq5
fQ6ZUzKIbKOv0V178Z9v7OaBZw7wQp7/QNLAvFaI9jFIBfaIoqXMrihGsdcCDRXlA9reqHhbdpa7
C72GSR2mdBoqcVhIYx/nnoaprB/YtQYtArvb9DGfLmVikxbwGV33stm4bESO/xgPJ3awsSV2gUVp
t0DSOrrb+FKjqSCRqNdl8p7qKesOdpuZI7BP+3dwM5W3t4gh3x5GSM8fMOn69r2crT9ObYak0N7S
72avGw5l6cx3URUYOPnlb9LWacy7FzevGxLozXo7iaJ+veSbh8wwAy6CNzcn/eTa3L6g4wZT/hvE
jUoyLBYAz6rl2jYtF40xwtRkcRXY517HXG/jpoikq47FpoNDttbDmGBNY0G9RUsspMUl0sXDFQ4L
68xlvESEZddruDZQvVIvym9Hf/WUo/v/yfztHeWKIJg2rrx0betSo1ePMM5ZoWLwZ/OmT+44Dj+O
HvPnQobhU5rjJh6oW3qkM+3Gp0oHzsm6KpHLy7Vtsa7j2yWBRLImv5nLR/wef9kc+w9ps+SPTkg2
sEFYBmkCj8vt6h87Z8uKik24j902a/KMvKXavI+e6rdTDr/kSEaWiL/MbOgj1N2aDiSqzG7zHUP6
0XJJBGkHDRf/rNx7IvttuLOfvLkzzzmspH05kI2wpr6IDadyXC2RvMwNnVHB0nxmFM8mWUTit1pb
Q1ooDw+js4q3oaXyfDTMVY411om7mpsdk49Vee2vMgsxBocWz/PMV0o4+i+3Wxarm0uuptxImsIr
eXXnMeK7bd+CCXjx+X4ALTJ6JsfB2ON7qMh1CvRUjWIE7OHr6OwjruMcVQFgp4wFyZsgID8f9Fas
X2Q7dBxpEs9FE827VN7A5c7KdWYI8VWIjiHH1BVj42jKu0gsa+w102vTI0BNtW3tAmOxDQYadXKD
Obwaj1zAzmt79nF9q3loysxdWHIPtlwvqnBBx85L+ZZ26i8HMEDzRt5WQ235Mq3p8uqrqeVUKgly
hgEucZm7Xyv0tau3rBUzPn6fiMF9Ri8v3pu+BNa/4edIgyVPchtV35Opjc9jE+0RPwJDfhj9ZIH6
PXLb5JfiFMeN+oRLt/RUGpqAOa8bVp4PEHi8+goMAgiP9nsGlQL7GjZfG3Y2aZst24uFJdSuZNmw
z/qtQFy2xIiq2isntgW/snEL3Fcins6LUCXmD8GfUxb/oR1E3KrVvK9NykSwkABCKUpPG7ECfL+4
6JYOBc9KWXyUM2tdO+XArgvrpKYh/6+2JOsD1LKTay3DXVQH7R7PBV7qBrDjXa2ckdeqNS58NIy0
VBZUV0o9canM2k/4JeXJ6kc/1OFiBu+z6FKLgTs33xkg4t3GFbywUHKjmoqAIQUPnqVEVpG05/VS
zz1I/aLNjg53sGRdZ+TLJbsBQeBNsFIue/DcmT54QrfHMiz9VyNk/boWGWSFoCtvwAqx8zWRy8yw
8pmYUAI30Ek+uL9mevMeV9iykLQdssepx3tLeInxzqn7Ayl03tvzJEHvycx5zZZcfzhhhSuTUA8i
uh6RkDT/VdrCBmGP03A3eFb55oXMyO4oJIrJNB2GBotZW9TjrwWs5Es7ZuA7eX//Dguiq9XMLRFg
OEBSg0Og8rQLW3cFbx1i9WtmKY4sBRiMB0iSIH4WloDl8gw92rmzpD/+Tnvfv/HFluFpdgCDWGGl
Y6fu/qIyiJ95cjjOWcMdpFtyfQ5hOGxWhYWD/ABpGE/u0p57sjPl6resK3GYzDJ+NROXCmgkzNgm
/HYEb4wpT0XCCIHLJfQHtHq9TM95HxSXdkI1dbCrLWK+xVqEyTl1nOpXyFKfuzt+hXHtrac+D9Vj
Hcr+2UXQQlFFERaOR8pHbjgxl1VikK8KShiA5xMFMUGThKKYQdiNE60WJtjntrs9RD6jBIlB9B72
KtiaDgvQmUNfdsV+omiiLpcfHObNKbTGICFWvB6hEA6nuadOwMah9bt2jdkwX3v61HJi7L1Nc556
S3VdSSdjh3Uo5i1B06c9HVx1jZYpcHjcuyvjeGFI4cCn4vRrnR9GH4Y0v769hofhTlsMFBtVcweY
kbRpasoaX9IQ/y2ctfzJIXAOlh9m23kSZXicAqMIssv+mPbbCIkjWH8PFEMkxOU5L4ACcvwTZ2Vb
MH5QKgFIy1OSbcAtX8J4cHLYN70tI/Zx29jb/dKPlIXSjnoE/AoT2Ob1axzXenBDb064erknM4z5
n6ZzrLNIyyre2uXP7FPCN7aq+NcA3cPzuOjEKU2XGMpoEx+xC5pVJhJnw7DLppg7I10AiUcnB85U
fGl562jvWK/IjWXhHhfI3LtVkNOeM5/tT5mOh03oAI8ppRntOMuvoTNIdbfDdiXXd56FlRJFRgPf
FcvwX2V54X/eOrBSbGXXngEAD3vp+nweQASy7JeacB/inGsOrCHSU1CSu0npTjk0tCsDigisU5Vn
5aHIJovDNWsOYsWa3LvhvxHhJK5uIDCEHtg9eQXQxAGmM249miHgDf4RaYGVp7ZeMrv1Lrcu4JcF
ehXIBaAkhE/wKky+c04rFnlGuuGzGGf6dkL5i8nCvVIFYF0kXEGGFAhTsYCsvCcs/MOa7mahkkEQ
F3YAeUm3FHdU1QQAsorKc+3j4K4hqMkIEjMKAKj1+itoLDiMbdpR/UX6Jo8252JVXffpTzBnJKGz
w8Tj9CgYge5KaADxIHGl1GWZ3Qespa6GR5+X1GjwPpAIaKptr+YWbmDu/2E/JJ6In39j+EOao+z4
OBs57vtMyGPE9e+OAgrnErqrTnj/dsd64/ArhyYi86kMsCivSIpKR79YyS077pH2rldYfyNJZ0Wz
ljouBiQTHsAYdhl6icJP2YEO2bGCKf8gvgJEIghwz4jI8yhskmd0X8dL2+K7tGaE/bDxbpNc8AYi
gHQE0CDAc+APCbbkt2D6mh9zaWh2LJs2LqX1zUu+8ICLcTCZcvOSMg2yK05XvIAbMqlFm+x+cFov
cW31idaVHXo0xXidXYuB0youiHj5YbUCBibV2f+2PHofiL28y9riK5U2fvQcTIt9T754SKK6YKYi
7kagXtDRC7gYogWePqrIwv2wYazJ1eKfMhd7SQZSYQDyEbCIfWALGX46GexobiXzxbV5OrZ26/Z5
ucH0ykkMNnb2ApLktNGhR2qrZ19HYygz2FojfpFhdK2mPlaKdDWjARqetuyDriEC54Ft4tZu7DNa
L3iKuugudsA5FEe3vh1h1uDRsnEFjShCYMAI8VRtcFRdtz3qTaYvTq3tK+ztLS4c5IFIFu0pYpNx
wmoL4cBhnEmUCyxgKZoP3bAv58DNzwKGYoDJf2Vo7qBa7pZwDPaGdpqDaPri02tWOkDQCfFsIuXf
hZYvPrE4+Ym+TRXzPHfH0UV/RgnzLhtR8lMJjCtRCz7aopgBbxjMw2AL2o+qCJoXyydzy5V5xbOF
/l3V3Vu0Lm7CKQEIjgXMaazs4LnOrTbBzhF8YOqE6FGHLKRwKLDxbB2iq+xplnqCLN9OU2JXID12
C+vSfXhbDsktEhsg1wr7cuP0WD10hOwcjrwbMJPeSg1t692rFNSKOh/eLbWAx2JV+AArml/x2Kln
MO7QOTwQknrr9D71TQcL3EaBr4b6mtbd9tYygF0ppX4yUCv2ZTP9cKhwRY6yiXkQPHxKpwlkEaZc
H7vPTjIo0pWB0AyADU2Czoyxns8dmMBrqlBthh5Nkl8mpuNFODiJR/sIXfsrD3kt7JopB3aMByyt
587eB371D+hny+MKooCgaI9DCQMvfA7necnMb4Il/2k4F2ez5evHiFy+Zy07J2sGva5oxoiJIJf3
LNbao05nriYkpYEq0JST0X/0P1MWCWmgbBGaRQxdJtpVFbtF1ck2Flr2cIZ5BQ10u3/Tra2ufViw
QpyZZ217y++50/XcTvC9vXRhpY7hHHn7dEUeunlyCPvO1GzVqn7E7mdiw9nGxIz1Z27DBT4nWqZu
CizhbRpcF7cjMFtdt/5Z28BPQPnbv/xu8v8U7g2kFZANktBX4hLm6b2TmiCWU7UmzZbKJLSj4bM0
Gj0h4HpMZbONOpMvVxznzjcnAKHTsg6on6mo4eBucA/CkZepm2miOqyi6yZSV/yjismqZfroO+t7
uDmH2x6MToPJ70h7d3Bh2Vcd3EXo7zSf8r9WC4uyrNIicfpipqDxhrysZhzRmN/AWgvkrLmbPgo8
Xp82Qxs+XMKmwYxitYtSuojKbsrf2QunjOV19WJoFnmOQNLjtF9H0FWGijG/Z2XgYb3hf8oPEwjv
5OOQOPcTemVcIdbghK9r7LAFvPxrXzU9kkmvzpxW27srOuvOZYV/rPuJI4ZhxZmYnDDHcDssA3J3
qf0bYM2ntrPnCZQ7SH/0pTp678x7G6DrOYg4j/0ShJcMvzk+DQx1LGBzHpe2/S6dpT5UWdXSmRzc
AuQ0AL5EW2ufXTXRo4BWexRuVby5t0SYHTj5Fb2s+lGCfbSNkezBbvGaDs60HKJxqS/cNdqnbVFe
YtGClkBpoZtAVh+FJfo21qeypdYFXlyETBuirlOMsvczCMonFR4EfkfvnKt74qtwSaaUhUg3ukQ8
SnSIEOzPjZAyfhTzjbIRwjgdjMJdgtWTLQB2vkUUW+wGQ3vgNCkOI00R/BUUXRjurfuV+k2eBzFg
tW/T7Ttta48n4ObtaIr+Lvs/0s5kx3El6dKv0vjXTYCTk/RFb0JSSDFkRDJyzg2R0+U8z3z6/pgF
/CUxCBGZt6oWhYq6NPlkbm527Jzaj0C6KjC0q/xvMCSbrpgmg/rskO+l2cijY7BcVgUhgepB8AXZ
z0fSy+o3NI3EyYryF7Wsy1vSvf/B0NGrje74jTZIJI7i4YvTO8Ub2pyCH9xuwxtQIQB3YAWleVTQ
UdUiFADRU5u+JSc8fupy/AGF2PzUJ/aHshyqm8rmI53m/TAmTS/Ru+F5B+80OAJz/DTyDL8x0ik8
wtnnzORt9NAZ+lzjadgyHLaHqGUu4IZHeYVmlJZHiQmj4Sy1QiqqePDB1N+EFnGWbIJDCz1xRv9s
r8/qMA2Mv1IG/a6x33ZxUH7ITYh5ZjUj/0EOsXkPqq/YW+NIBVQ1xjdllDpc4I3zpGXkyhD3S45+
K9k1nS2BBlGHpyyI8MYoq8eSzPNbihoh5LDZd7A9/gHiaP+tFZTaaeigkosoJIIv0tN7x/fpwU31
/NgZEM15beU/D6X1A3r67F7LOxp8jd6BZd+bbkaebk8oTOGfwZTjM3ixa0PuvVgWWEnfLsisZDA7
xlQ0yYVUVI9497wdbHoMQo38g9FDR9REhfNUdTX3qDTnOI3ej2hQYzKHLN2o0sQUx8gpsOOVA/qR
4Sl0gFjxfNNnvufs1HImIbvFYfWNRME0pBsF/oz6RYwO4lPcmm8UH/klQI0K7ThQZvJwDblSneK7
P0fQWVl2vxy9a3+kVuvfJih+wTMHI0ugeN2RBGb2Tu1GH2kYs6HABfNsFAHVsQ11JGUNC6EH2OSh
sem7Rl4UbQkdggFzZJB61TzUNv0CQprjx9oudRKMnnkPLIf+cEv74sApEUWknOA+bARMbqiOQ6kp
jwLoxBNkXiGNWWA6kLfr9+h4taAwCtJpCXhihY5qzaPJzEkKxBUyb4ABCiafRiYqmomaeV+Ayr+1
jE7elelUHBUNME07KdWJ00dUXZNsbyI73Pt66jwkIGP3hHe4pKb9XAAvPNUAaF5KZ6rZWwgpwqQQ
3ZKP7u8g/OTM2jVx+6g6HzxNfbET0e+jfDQfJ1t81jsBnXzC9dpkFClAXjovLU11j3HDpZc37I9S
gNBOlDY4UV2JIG5ALWOUiGVXJXAsiqscErKmBF+KAYEtdac3v8HNfWzQgQPhNm8burLrsR5x+nX+
oEm6BYyWnlFOaEuFOstOsGupoL/biLKoKL8RuBLugEqFEyZOWvygqTZ3sG2xceEIUoAu8YZNv5tm
pcIcGJQnESnhG/aVcYdG2wSZ1GTTTBjUyPPl2U9iIbpk7ab4gigS3cOd0to3Gi9UoIs67SYVUBDy
erzSbUPDYQI5GuKKnqSY5hkFDPqLweHCD2rm3proXOnMilar0Ks/VVVVu2qNtqNfOvHRHwekzANT
7EHqfgMEQFkQ0s3HnMvnYDU+rOsFBWeTLu0d+B77lESQCRitxOOP+td2sMvHmio+jUaUgGoNCHMC
tPumQ7lo32v9t6GL1SMd986tk5rtL1SLrHtNRlSPpPoDur70toJ39UX28ltgO4DbKjIIFNB+AvTV
DlRveKiGCYLZCmxvTtEDCzFbpLQ6i9yfmh+FSaim0QsOWY3wbu2RrkATBa+96Sv0zktUufJBzznx
hZGeWsXw3+qiSV9M3o2gx5uBxD0p6ns21Y+yoU5RpDkPCCfgNvI69dDrKtDSWlNvbFvJ9gONvCiV
ZFAVEsfthonGTJCB+aH1uf4aj4oTAn0BLXLhcByUQKcRiIQM2ZyxQTILPkQp7OY+QvNiz1LwFA/U
8eAk2T86Cop7eJ6S781IolvYrfKtROiLZIPR0IVovpREmE8U2OChUr3hK2HfF9BmFklX2mKQQR32
VUviqO+AKURR/pPBcaTzgVaPWXAkj6hGOUVQ3w+Jad7UVVm5AW7nFBTwZYL7o0JBXVXPaGMHjYOy
CoUMnZa4WERPApnovZbSRGuGvKDsQba06nujd6ejbkKQZY/Ai7nY1An6mRbZD0BTIJtqu5rupexg
Ow6c+FPjkbl2dIoOdczVINSeOSQTtmtyRSH3VlUw5Vc1EJ3+C3KTpJbjxIZgRIXHn06SYchPlGmU
XRzTAtlpxngAU82tqdJMofZoDk0Z3ZMSyad90zXGUY9rOtSrEXUEao0P9J88R3HsfAARFO3KrLSP
wFygd4LZY0e6P6B/oOX+B3BP04wK8NhW6kfRWCVFB7A2lAlMHhrtWPgHp7P/8WXb+VRIh2F+7itQ
WdExRReN2Of9aJL89YAsw4nbUU+1xvbeArDuEwVGfgyEv4wrdGZRxCCsa2rtE8ijT+UjypEtRX+E
fGrIwYEtSNFRahWwMSpzxi+Udfylb8Fo6ZYC2zlUhmDXfHFfFz4ZFQAbP61+aP/xLfgLTYh+laT4
5ZCYPQLDQRh7dMb516X/1Fpq7juDYn6gc7ohioBTcKYwVXHAu9CBwjsN4P1R35dwaN7kFRVKJzH7
fWmp8bEClntnElkhkEjodlNz3dL3ZsenCrkn2E0hOQsd+lZaqcMOHFvVI0Ws6aOFMMI7/r8oFzSB
ckjbUDmYbTDSygcWCUSi+lNpQWKSkCt/xpYR8lKIdd6oJVNjzPwHZkcnv2U43POZIR5sCwhfTQ/L
Ha/Sjj6DqL4DwwGPFY0r9zolOzhDDBuCkEjc61ocogg63BolrcgF1VEI67tO0T9SwqY10tRJSlq2
dW96RJTcEPQ1aYZ/KNKxegN9uDhUU1pCEIE+gF2FtLXh5tLBgBlI8BGvIpAs8pn/gwQ1CLQw3JlV
C3WNJYBy+kI5OloXHkHPUESg1Z1ij9F9qU2zfa9D0wW3KpkltzTAl6FzLHZT4UG5bLD9qhAuF1Qm
PzoUwm9t71nS0EBYN0uSqBMo11IBQSN4fz6SHISBmO4wgJ9zpTRrza8+4cHnMqMgNnWJ+tgHmXgb
pCRjFXD3L2pR0KQ2SEmHPahW8JAV+XhBTZe6N61XAL9toWkPVk/HJCzlX6Z2RkzqsNKqId3kvB/b
Q9OEX0xuwpukI1FBWt08st9Jxpm9CRENcLUQHvAjfHYAJFQo2WZ2VkUh7IhUSalVo+2I8E2+EUiQ
AIcZqo+8gLVjR2s4zdCO592XmsZRiToCYS0aTjp3FmBYZXiyyWyrp6EEhozSWGwXbj7QxeuBoMIF
kR/T9cq5cZKE81Y4LFuKcE8oBQz4Iks/ASn/aDcWXqZLUTQOERK2JPgAKHsBO/HoreGSteL9lI4w
iiFDfCNLGmPHAAeuDNCUNfzQXVQq4mUCEwUkL6w+IQ2jH50i6d/FgbC4SNh2tU4NleLZRBkZJhkn
1M0HXQfQznWtAVQxWqqpZLFM0y5he8vy49QYDpKYDQKbDqUB3wMsdV1wfFWg3XAck35T0+Zf//N/
ih/fXkIi2//3P9r/BemGaHIIazHkaNAUWp/+9PPC0A2pC4PCj9DVhZ55a/omD+0xd+mCfu9PxS7X
xq/XTbxSgOenq440TUcndQxs6nIEhZrolIZyBaKtb/G4R9qbalA8Pvw7K/qlFbMUUzy3WLm9dN5x
YvJ3VkC+FUib8khUbdxeN7e2LCwIdMK6Iw3TNC7NxSpvbyO0S5c7gNt09DYE4Le+P//9bNlp5E+1
UpWlW36laILQzr/7+bP4/NnnC1KHtEnz883xYCfH3Ntf/742j3+pXn8+P/OmODNAs69NF5hXQoH7
1vkoNdfvIBgDzkdH6Q6OMVgratC0nybl5brlrYlbnJcGwCMe3ixdRUDRui/ajZFtfd+5HFhRpH1g
qYKFAfZI33fwLxdeXn5/hGtEUSdWJptozX4h6fGv5keol9+3JbFJ3vB9n8KvZtJKe7xuYN46r1fe
RjwLXguNTOOlgZoqcNFa9JI7zrsSBCBsXPWP6ybmNbxiQluMgew3wlC5D1eSORyAQ9y0LdGN80kB
e5jxmLhubWNA2sJ/OaCEgMZzFOlbAaTe13eVubGptkzol3OWG4k0xvm0g23I6NoG/zZtmFjft/+7
LL8P7NmBhM/K18DslS4Axry7oVBwfZa2vj///ez7HtTiGSij0u2JMWkof3f981szNP/97POawusl
nlhy+IbClgIhiLV/OYKFy0JCMLHCxCndimgP77SxAPM//mrTOqawJYGXI8zF5wsuYSqPdeUOKUz9
BMlRtOt4Rnije32qVlfizNDCAzq1kgKnqypXUkFDex6KpesGVtfCQTUc9LxJ3L+4+1KbuqlWR9B8
z/TDxPJW+Zzab/6dkcV+QjpysCx0vV0rhC13EnQZ29TlsvvrZlZdiTQdB/S4blhicbjbdOrQRDTw
VkfQg4C/3xojDJdvr1tZXXvpYEGDokPVFksiulpxEBbiuoVcz3swEKTcW5+v21hbdkPXDduUPH6F
XNhA0KxpPKOrXAXyPee2oAvx3xlY3HwW5c9qsjAg611bfg3LasPA2iyZqmaquqFrDGE5Ajh9mcGp
cNNvNdJ+w5GkbZE/Xh/F2uY1NUc4ukbni7OcJi9pPGhim8K12kcl+TxUT422EYrOE7E86aYuTFqj
DUezjIWvcmTi+F0aA4gYUHaQ5aOiOk8CrunY9+/ppJgQwRqyjclbW/5zowv3QpK4K8mpFaSmftzo
8vv1WVtdmrMhLZZmpM7Vp11SuOS3Lf/OC0mU7Zv2+S+smIQNFHOo2tkLx5L5TkRk6pcuiaPw2Ql+
mPHnSd+4SVYnyqJGIxEGNyxnceJ1lUR3AVbcteJ7eumtjcVf3V9nn9cvL6rJqbuRXkQWn6J4pLtc
VnAoXZ+n1Q1mWda8i3mzm4sQa0qLPNLNoXB9yn3DhEaRBhHiXEOOyamdhPFXU/a/9pYxIyhQKxlj
7CWEJen0bgT+cH1Ev0O2V2dGsuq2Zc4+cnFm7CaFk7r1creyQXwcA5C5zi0Ea1SR6bNMv0NjdN3i
6jqdGVyclzDIUyutMAhfJbobgbpL89N1E6uHRlKrlIL7xVg+fIWoEM7OMIFkpTbA0lr+LIV9Y99d
N7O6G87MLHYcx15MdooZeBLQZzvCxA/ByGhE+46ilY/h6/bms75cKqFqqikE62Tri91XwpdAs2VQ
uHX2NvZ+pt4hth9LCOy7jflbO6lnhoxFmE8FjfYYB0POP2H+aJhP18extgOESlpCEyRCVTnP61lI
qQL10pAC5PMGwm3AidEZ2RjBwoSpGlR4JK7MEibXmlhMVZ3Cx5AOZeaOICmS5lQlJz9IN87OmhFd
s+lEgC9INa3FOJIUcHJLI6RLSiwtvnr9k1d8uj5V8yfOlvz3OM5NLMbhxBo4EgsTRfiNpO9dQtne
A2tOB50OPpmm97+wp5ORMg2uAV1dbGkaEpwMoFvmdrRgNPBVm9Be0x+2r7rnIvihRBtHaLHTfo/P
QFfWlKj/WBzYy62A1rxiWPSSuSOgacBPNgRj10e0akFalmGouoVY1OLWUWjfsGhPz12qYL7yq7c3
4tit7y9mLCrAw1DzzqGFNeDe+QWI8s8HYFo08FtCl6aQ8y48Oy1tE+l5S6e1axs72HA3o8u1XWw6
QlosOnkDe3HYw1jVlKyeIhdeZ6+7o94E9u/6ELZMLNag8umslnC7uX1fIibUu1pbPodUmf7cjFAt
QcqW1KCxzNgiRQZ6Nm9jt0F6NrntwQ+ZG+djbSTnJhZHPqBqM4Abid0Elhfa0X5zD0c44tpQN9Z9
y9TiaJRgfKHzGmO8JBIpffBkDXdT93J9yhY35e/zJzRV5Wk0r/3ybVx2jpyqDp5nYKkwQcKuCp+0
9/26kbUjcm5kEcMWA1eBL/XYHS35c1LqkTJFv7H2aza48HkWk1EHymFcnhIo/TSoy6LE1QWEVbu0
2/j+ympwo3BdGbqqCk1fbmFSg1J6YeEq9WdlgGIFThVKQn88URdGFr4ETj0HHsmocCVsdhDqKhu7
d2WSLr6/mKRAgbDNEQzCIkZBWzyurI0RrE6TzgQJOjR47C2WOkzTDhy3Q9EEvNIXeFTijb20bsCe
L1yCO1pNLteZAiOaQ92Uu21nPYqxuHea/LH0snfXV2Ll3rUN/b9m5pk8c7q0XgMUjIfcVQ0V6PFx
smCVGFqkjp9M7UsYfLlubnVhgLCTP7Ak/14sPGIwVq5qjKoPqcvbCCzUfzOgMwuLefNyAZqvVnNX
y5yTnCTkxs9wXSD289ZEMjtMP18f0eo6GbyLeesbgsv3cgJrHwlymI5yd9Kjk03b69iX5W7ylI0A
Yt5QiwAJlPp/7SzOZTiUeSHKNnchzh5hre6sg1ZDiQ1dlXHT2Y2CWEqf/tlTc/aaGLUtSZDM82KZ
yhBdDDbGYnf0dBeUx9a799uNsGJ9/v5rYnHRhGUOdUKDCQnez7r330fFX51VSWmQnJVDy8H8E872
uBiszoDgIHcj8ZJ1v2SJcs7h+i5YXZ0zE4u3XpFOKTBVwjtANLtYuGGDVqz1E2k51HP/3JQJyhbS
H9O0+C+Xo8k8SzMTGgVdYCM7iADeeCmYOU2rb1Bm/6SlwvwLV0fcZM7Bhk4Fd7HzjExRE3O0M1fP
EboJwkNEux8EVbvr41rbCOdmFq6BJEOvBaCZXUX/GYFTMMofQt8oFK8t07mNhXNIp3wEPuZgg8Rf
DS5RJG7Y0dGo+gdrerk+oJWQwz43tnCtij+luZ8wIMnamNVHMXb7Ts8PULRdN7TmVMkvO/hLix5Y
ZxFAqXoqHE31qbBn4gGA26MRBBsm1haHLjjS1/zbcYzFxNm+NUY+vSbEzkBKR0j0PwIP/vNhnNtY
zFel0VhooGnophRVwUlpf7GPz7+/ODhitMwMKhUWP4Rxc6r3soNw29zw02urLgSlSWHw1IPx5vJ4
dgYQb8saUpd8zFExn6um2Bvpj1w//MVskf8lArSkCj/GpZ3ag+lZt+PU9ZSXUNwBm77+/dVxWHgY
qcvffvPy+0ba13A2WqmrTrDGA24N8psqOf68bmUt/AAGaAvdBuMgly8ZMxj8wYaqwIVCFpZJGCi+
GuU9lGZ7G/0os94KPH/XQZbXKNvY0k3b1GiaXixPbtiQlVkJEt2RmB5sRUy7SKmMvTpoCg3UpXmy
uu6Dp5bwJOtiPNAFGB06mINvqjyH5L+E/4V2m+pGh4ViF+oyv/ccQ9tfn5a142aR+DLRqDc1ynmX
k29DywReVOJys48xJefJ+qy3f3G3n9tY+Ftw/6qiqUqGlK6rlM8VWHGl2DjSq8t7No7FbE9yRGNL
4png1Lu39f4F4fkPuW7c06y8R1EYKG0U/1n55XfMcj6uhRtJNRofoIXIXPhd7acq3Xfl31iA6Yg3
kunY+tIZAkaabA3SEXfKIYTs7oLuezZ2G+dvdQucGVkMgwawyabFI3c7RDZMBbSoqABZvv+LjUZ0
Z3AILYOIfLHRFK2zIAFjgfKHoJ+OE52LGk+a61bWrl2CL0BMc4oPor5LK1FRGi3dlsR4Xb6fwvde
fkwlgqXl+yD5ed3UPC3L831uanZrZ7EeRQtNs1pivWH42HdPxsbn11YF1y4tFYgiMu6LQ2NnIrFj
zyCn7yePvqPfaj1Mw4GzUc1dHYVjO0wVBCr438tR2IAnC6ubOJsmHA65qrxVHOf79ZlaW5S5wj4/
YHm3LF1vAU+wBqNx7uK90uYWuTg1OCJI32uH64ZW5oycG+uukU2Yve7lYKoc7ClcpLEbNz+S6FBq
t7G9sSzzNl2sunR0AiCLUhX/mcd6tuoyjxRhCyV2reIfqKdoH99JBMdQ3kC7ima653Lc8AEr1+OF
xcWzBSpUQ8RsAvYZchbGm9KHFWCyUIAZNw7P2vQBnLRMW0rrtbcJwi5Vabsl2YdW1BDBqYyAtLMR
360Ox5SGnGN8lQN0OYFApYOJrmaySv5nkRbH2DpBuYAOYf8Xm4G3CxVYx4Bew5x3/tlKtVWZdRBm
xK6pfJqV4zTnc1NuRPmrM2arVHht0Ouv0CO+bhVIMrA2GV2/Cs1Lz2r/6/qeXpuv+cFvgZg1yFUv
LjYrL0PHqcyEtInY0Xl7o4IEhKab1oCNY2qt+AIpgbkJaP1NCkkLF61ETTdVtI8ikhHWb0ur/Voi
JIdakRHRse2lylsv857DJLxVXNoTbpVE3ELcTI9dUCinZtLSz7ZGD61sJiQ+igieVdR+PsPQGJ76
SY//Saga3MpJl28A6Rv3XedDkkc310EUgkKFojcnVYjBhSifVtO+H47wU0R7NlLnVkkEfr5Xwn2l
9vrPPGlm4gcaFW6m2pA/VHCSw07PnBYir1bfT1PZ/9OY8L8a8F3/quD0+gAnUvTDz3N5gkleuxd5
quydNumOjul8iLoMLSYfgFGoIKGo5kgVg9OG0UgJ6BmlbxAVbTM+JXGY/YK0JTzAnFre+BaCrTpM
z8e/WHbOIdVWyWNruex1ZMagKxrOYnmEfelpUG6KaMPG6no7FCnI8QoB/vfyhORTYhtlgo20qA9P
KiIqfzoGhzQ46WNLCAgElhAIy4Jpeu7TcNG4+TUJ2seq5FMfaI+pbm+4rtdDcVRyyXOZjQsTiPnl
UEQ+dGFXxJiilZGCy8ZTS9P55y/dPt+HAt8CojADkhanMM+1qUw06iB0kdCBElDNL0tEK6t81nls
7v18QL9F/Tp6DrR301E38s9qFG/8jNe+YP4VdGWSI7McuSzCq9BBwrRB1p8KsDuE0UntePCLvD45
ot1dX7zXAfWlrXlGztynoAvWEKERu/Bu3c7KS9Z0h/DJbVG9OJXzJtpy16srSObH1jW6bF8lAPu2
spF9o2ySdt5tgTZRp1t/vN8ZEtkldqVJXWNZt4T7QTYOmUY3hjNU93/VabExaauDoK2O9x6wL335
muoCJYM/zYjcCRLaexgyrq/J2vqb4O5wC3QTUb28XBNfqfRcwKoGgXf7nCTyoMFPcBPa0XsUGzcC
w1VbBrfafHVS/lnY6lVdxrL0IqizI9plK3OgfbIekLoZMti7y8K9Prb5e8sTxi0neeloM9BsccLi
Dl592Ufsbf0YOwcFjcfp9rqJtdWhnWVOlfAAAZ5zOX2QbNCCb+eYGHwbzna9OKCE0m+8duevXA5k
Dp90mzBUx7kuAU2Jnma1jOfS3Pg+6hAdRiAm2nB3r204QFZsIUgEawBXF4FunmgmvMIZNdNMP6jp
R1F+d6ZbjdqTT1/w9VlbtWU7Gm1XKt5viSqtmwre2CaIyWmn3XuLvOZO8NqmlmZ43jGKVPv75AVi
w9Wtboczqwv3Iwk8NC9lOzTBcJojiJ1loPegOggDXx/fqiXgcyaxqMZLaLHRfdBgNMT7sSvyL9lQ
30AvrVt/BgAmUzBvacm7lPUimFts7n5wDDi2ZOiGvOOmbi8z6Ma2KgMr2/vCyPz3M4/tz6iMKMJI
+s2Epici8fHHM4XPoYYHyojRLEN3dczVpKDv150pxZpG/VSMyRvdbzcePGvjsKl26uR/AZ4uMVl0
/8HqleiM46Nef1DCd9dHsfp5ALOgzIDJ6EuIESwJDUE1n/dmdZeTHsuNDbUWLPD6nCvmJh1ir+Ke
YUzrSVeH0AWxOUKGpbyTmqD7nPgT9Q3Cd3vIv8NAI6CEhZ8zyxtkNOA9eYR9B9WTvxguCGrQGyaP
72UaMlPG0ukhO3FRcNojqvUm6L0P102shAra/AAy5jTi6zrR2FcaKtBsvMT4aEFUBCc/bNyPZST3
WqAjsrexgisnFnuECNyxJnXxxWkKCivp4DngavKql1QgP1iGp6b3P18f1soNiJi7SixFpWOlGuUN
Y9sURuhWHgJbnfo1yL07OQ3AYM0v102tjkjOby4cGOW2xYicOsxEjsCFi76iDTtU/tTXu+smVrf9
mYn572feoZxjfbVgkbp+1m8GI7azIujT/p2VhTOFo81Xfagq3TA+6caT6E//7vvzmp2NIoX8L68d
vg9KFHan4a3I/Y3AZ22iWHXwYaBSdFXKSxO1MDqPdy/uBw11hJs24pyV6xTNF5IscMYDo1yW0Hyj
xr+aDnm2hrb6B915J8NP6vBg/2FX5+87h4QeryGihNcJV5KkUTM0ceB2k3ILMfrBMJINjPvaVBHr
UOlmKK9zOaKkSWp+prrB+1zehN//fK3Pv75Y60SOUA0hmwN0Z5dnj/VWtvB3OvAyUnO4Bv778+el
OttMVVGP8CbPP1+DIhO+YRS4dko0HvJkeLYCZbxBtPPX2DVvfHP4QOP6xgDXLgqgT7YG3MzSxKv2
Qnx+0oz0t7t+rD+L7m3RfM+U9iMs75ASzBKgBj3gjXYwtOh2JsaN6Un/4zk+/wXL7sMBBmJkNPgF
tWW+VXPvQxfKP4/kgMJRX2KP0Ju9xMP5lln2faX7riphK36TVu4oN87UivvEBM1C9KggL6ktfFvg
WKWdGJbvwl5Vp/eTca94h+sTtb5WOi8U0gCqbS37BqxQxC29Hr6rpDL7Agd2uR9GrTspDkoRlin9
oynIEeW2p8DLQloqKE2IdUZfuYsNyEau/5zVERNUUv2dXwDLh2Zf5HqFwE/gNkjgpJ9F+cvPNx6b
yzaG2YHQj0GKW/KaJS5eHI88VTsi4yx08bc/KVr+gBEf8vVfTdnealb60GbVByOGpyiYyWyuj2/F
s5AcJmZxJIMjsrg8mo0DXYwRO4HrdOFu+DSFwcZ1uDqBZwbmmObs7CvVOMGfbwcuvNha/BgWlCU3
MPmrY3B4CIKYEK9LK63awypVFwSaE2SLDcpJ5fu/mCWH6gk9mNQIlgk2J26zpla60PUjJC9iAxmd
PEm3UDnr4/ivlfnvZ1PVwLeUFT1WIshlTDAsbbnVhrESQc60ChaAf4OS+fI9Kwsnl3aVhiS5S/gh
QwS930VTVz1MUxCfxkIbn6Xq63tY8bYyhytRHpc8zZI8/cgLLItTpTlFsjcJ1pUS1pyhuUfT773e
dx/88Q+bNP5zoM5MLfacN4B3zWpMAaLzbro2KJ50pFUQDoGX8y92BvU8YXI3vwYhTyI3FMSwCSjb
Y/YubjbCsLVJo7NpJsEghAGWerklvDD2C2iZQnc0jkk+PDnGo4baOURvt9fHsWVIvzRkqJMJbyyG
quQDumsPSo3u4kDPxhZcY22TI6Gtk6y25+awBbjSG6IGSmMlcL3kWOmnLUaP1c+TPCHHIAk6lk+W
0U9i+Ov4fC2f+g9QSVyfpjVvRnEVDAepbyoGi51F2ajQorEIXLiyfSQ9fHRzfNE/QkW5BddfvQiR
0pYGqWggWstcRgFxEp2NeuCOtdLs6NOidyaO0TH2IEtA0QG5hDA4Dla4J0XV7UVUoDIEzdcvo2/l
RqpgjsUXEZwugCTNRUsSVMZi3ENgFfBTpSAUE6CJlDkaODen4haaPViG7C7dZT6srW2GeBasZRuX
1Oqsz7GvBdZghs9cbk76oeBz9xzftQbnQYMvPOkQNkyO19d29QjYrOl8D5KAW7xHUH7IApgAA1fN
mx9OhFDKJH/FJQW3pt6YztUB0YgJ2IueODpjLgeUcyOLHhFZV4slIublWDy3oszu+7JvN+ZuXpnl
ys15bKIL3D6Ld2kKqtWuHEN2UWC1w3OdANIR5VtRWyOCTZr+pvJLc29U5bjxZFndvjpdWHOoKOfa
1KVhqYRWqUZDACwre1sEcp/QAdQgvIT+zL6hDJnY0JnaiCnsPL3Z91Q/oL/7c6Aw1HNQIM09IiAj
lmiYKMidYiqSlAc/qmQGxGFfyq0X/9rGObOx7EJCzM+G5xUbQ3vMexg8LViWxzujj/7isgGgos4A
QQeO1MUO1Wk/0mLUQ101Ptnmzk7f/fkJ0KUEUAMjAE0KC99MinmsRitK4RXvjnX5mbIolOgf9WYj
YFvb/nNLm00NCg8nFt7E12Nl7LwxdQ3a2qGm3QHeVkAP/floeKTgQTUe5toy1yPQX/Nl3KVuNd5C
FBw6d4h6w17376wsgrZoyKvMoM/d7WEzrhCgToZvUQDJvfLzLwyRKwEUbDFzy7dXp5oZDLlq4kbG
3oZdUSLE/G1s/sbXkjGZ35FkyF6lTTwQEJUFk5Tbam17I6v0KTear62IN149a3sAGzYXik4gusT3
ROFgyMFuQXRMyFPkhl/eGIh+TWn94fq8rTqic0uL3QZcoqsk9NouFM63GcyWkYqskgLvdiLuwtCC
m0C9nSbn3WTBg52EH8xc2zhYa1HJnN7kaFESdZY1Pr+Oak1JpsS1nearKqy3OTK+G8M0Vhw9BQ/9
NyIPXN7iktRg8EbVI0tdWYr3Zjnt4ync9yXDi2E0c2iaSswadSl0aoEBIbB1n+bR3VDr++s/ZHVh
eVtQ9qVF4XWuJZr0FP7k1M0hF9nXSrmfkCvf14CN/8IQochv4B4R0sJbxWkchm2Lt+qHOHqPWIJ/
Szuon6Ib7Pwhs9rvFwV1QBCV6hwaLG/ReKr8xmqYXK0+yqcm2Shlru6Ps88vtmjq2Z5oB26QDtma
3ndu2k/X52q+5ZdRAKV4Evkq9XjO9+VlXEUt3Li6n7p+Mf20CzjCd0qa3RuTOPR1c7hubHUHODS0
kNeALGWJntAkbF6aBOpoO880tqCW95zYYmP1tXUrMyMLMqIMbHEZNjK38YZ15tamnkJ1Oz0LDz6e
MLqd5RvMMD4UN+MNVOgmImAQueaB9ox0PXIfQbdxL6/NLmU0eP3ILtI1tpjd1PPQ49Ho2Hdo15ej
9qXM0WBDIqw4DKX9TxugEfTnU0xBBr400KQAimZncJYqiNS+iz2KGe6oPM6gIhl+NvVv122shTWz
+DqwR6hJXuUKCnjfmw5RU9dwIAg5aMGtLo9Gd3fdytoyzhlZuEDJnnMVXI7E9qUSJKWZuhQQj2WT
HntVe0KqbcMrrYXBghQX6aE5ILX1SzOhpxFqS5m6qfZFQhvv+b/UursJ7M8tEtWtNm5sz7UTfW5v
sUAm8uaB7jg4DChbxT+6vnVPrxmYM+rQnqBrAsjickB5x/krRTzf03eh/7BFPrX6eTAiNuEzO2z5
GEpTZEgs04mJm/sbS6luinLaODUbJpYpcXLtE0wdIHyzoEnvxqFMnvQAucDr+2s1u0q0RGsdBQCc
0eIB1PbNWKkVMBERpvYXJBFD9AGUdCfMrj+hLxMfIYjV7som8YD5hFA8t2OyhVda2+WkzSndkkrG
Vy1+hN+VbdJYHdGOMsG0nX2Op+GUJcPGYNemlIhKh2GFM0Xe4HJT2FMQalM6d8B53g5G6x00vden
c8vC/PczxzP6dQb5ORaIPxH7QHv4b74P5wWpcPA26uL7sPM7gZ0riTs5b5J9O2y8POZLYXkPUtCe
+5Sp0Yulp0aCoYvqgui2Mx9R075BU26H0swNdwOUrxKmbKFtjGjNjZ6bXDg4n1A7zBG9pr8gvXHy
YZdWdzpVPGOL+eY3wuDa4BabbDIb4Hxpw/MwtE9ZFZ8y04J4PLpFbOS+h4kFHn//3oHDQCrNpyyz
9ognvm+9aOPpv7pHwFATyHIlcjdf7hHbtzskwQjtzaH+IJP+HiT66c+3Ca0UlIcI/PjXwoQoFSsv
UmCitH4F7x0v9R4cBIE+XreydmnABDCHTfTs04F0OZAuBzMzOlPsDtawD/wPZkT29U0uHhvR3dhb
JLTz15bLR8BENkifacyW71Uov/16SEHNGUjE3xSdPKWJvAvi5I0Pz71Muq0H8lpdlnTCfy0uDptU
aurnEeg2JO3edIhc7zK1uh+RF7sZ0vZhKP1bpUNBo0KCyrFRSUBvb399itf2yvlPWIROejpOUzil
kHggl2nsg3Tjmbn+fSLRmU5avOKRFh16dFIrucf8Fz35MUH+fX0Aa56dPpX/NbAILEQTN0iisWph
Cp+zyLO7Vk1+GOYWq8PCjZDSBhBGThuEOhjRVxcyonN2G5UdJAjT4+h8jBuUQTr0ufzD9fEsduFv
O2QJ/5MEmkHQl3s+DKpJjFRe3SJ6Rr/LLPw9LIS7NvxSFlsbcOGNX9laPHuqwTNCVaWdehy+ZP4/
0kCyAgVoDQnKJH1T1w/aVqlwbRaJ/ijk0n9Blmux480WOYcyHDJXM9GDPzT5ExlHBMevz+HCb8zj
ItgA9kZMy1WzPMmtVlSjCOnDNI17wVkKD/XnUZ4S/VT2P6+bWjr9V7YWI/IbnvWzjImbw0+UpBQN
J9fkoR/Zv6YS0QIF5UX0PvufUr4bYhQH643BLk7Yf34AvWDgFEFiU6y63DC+B6CjzVNoU+5ttFWy
DU+/smKmevb5xX6URlH/f9KubDdyHNl+kQDty6uUm9O75bSr6kXo6qrSvlDUQunr75H73raSqSsi
3YMeoAfGKDLIYJCxnVNrA2ba5OoOY1JyspfCY2UKepG4U3yhBGeJKAqgNa2HFJIfw2gz6jetfl04
NYkA0AKMD6kZDUPrXLyaMTDNgcS7eP6ZlT+6EFxSyHiGG4E5TO5mdon8IwWj12juRqX1oik6ASeh
TjUcqfQvy/0NXp/YerKzIzD9Wumotw+gG4+ct3WhCy4DY/H/yuQTMaA41/KuAASDFbbbwX5PK2cb
gu4sK/3AEWRKFjbqTBaX5UoCRx21CO7JRrmpTy0Q9xBPGb59QaMJmwUhIaYP+QR1MVpARjNwqFTn
jeYbsPdJneO1BjjUx5/roj5AKi92DKcH2F8a3C6fG6RJYfXyNBgO+hfrNntOd9rO/GM0m8x7Jfqr
oQXbrj2h7xvpPVAJgxNT38bZo1Peg/kiDkDG9ZgNjwm7IfFu/addnGyA6H30amMSwpj+OT/ZLCON
JEWO+gIo4m+1etIK889/k8A5r+ZfCRi/LZyn//j1yZZmsUpXo8IRJfj9tdKAhHMjoTdv/feb/Gnj
Vmj6+0xCDeAWUOZCggXSzNINUZk0blPRmV6UMk1xTq0hQAPknFOnEBD/0Ex7AT2Y7eZGcVADTG10
2qFo+78l1dmB++tZZdkPBYy3zCA+YN6ewiTbmzbYqTBsCn7f4MqhNpiGiXniKQGFiw6IEpxjTsuA
obGzivzWeTfNU3Ldw+3i85zS+pg2aQ86U782t2a+E5VFL20bizldV6hD4VnF93WRNK7AUG+AgHA8
tGyfMIFlLH8fI4WobKDSxYcOcQHOs0BSghdQQRauaV976VoI8lEGwoWCcAEkKeeGpxZEqSyZWi81
va9vy0jgZZd+va6gNRdYCADW5sNkTEIDy21gwUsbHoddza7fW2Qo4PNQ0dcvO2aVqjSqRMpC30To
reLgXH3wgaQ3PcqRuwQuGT9fq0U6ZZmEAC3GxHhYvhJJMGaytD4zATpXemCtqQxFbYNMHRRp4b4o
BWmKi1sO24sMyFRAQbHvotzAQsTVWlOGvtMCk9cdQHVnfMFAkd0wZdzbCtZqUnHmuiq5wrxZBT54
Gv5y7lVMT13rGgGPiwIiBkVBd4NByvPvG1LTSAMoX314oCHcpSjvjQdHvd5Qz6Rw50CRhrqpNS32
42LbDKB/E2ixsNFn3+euwAz9RCXt8P2mvmniGzAXrq+S6PvcLuCX42kb67E/vFnRzib79c9f3hzT
deHYmGtHlI/S8fkmxIYdNCPTMr8sNqrpZreIsKTYWxdy8fyDiSJbMZUIkMCHoHMhlNQZ4HMgRG4b
NwDFZ3EXS7c1CBhE03gLxwInYuoCQj/HZaNnHreVZSUt9XP7AXEiaLx1R5C7ughJkaqbi+BudFJG
CW5iQv3ULMMdK0BWa4cDuQcnmvzkpK1PqRG/mnqXgioxB+fi+louiUd8gFECFVg0F4XiBsx3NTo8
apDFhpZXj3XpmVJoPFSq1TwmldHu5RHjyE4iGzcUr25BX9KCOQKB7lM8p30RyaOsS0rt7wj7lkqC
V/VkbWcvXawtZlx1hN8OkuB8dtogzBjURqt9przVo08ab1Bal3Y3jt1upfBmfSmXjAU1kKlPHeOh
F5ARdoSSrdrZtd9moauCR5gYv7VK1P6xYPwgAkEhDhlCgFDxxp81RWnbpVH7QX0XdPGG5b8BFOw6
7Ra0iesKLW0O5vvRNoaj5lw00IIZm0wTZrXfR9VLbYbH3tAE99rSmk2wJHgUAU9X4WfY6iJmo53U
tV86YfcSOJH6lCqNBJAiSRZccUvGgJ56qIOyDEY1ufshBL2nnGhl43caevgt7ZsUqIfepGBczUP0
himPLCgEd95HjwxvgWCYwrz4Pw6Rc1XoCGobXYLQHFzY4JU0dxGoa7M/oxrtQsjv2u69T9qnftzF
Haa+q/iQO/qONNbL+l4uLfTsh/C1r4b0QGYZ8UOauHXN7nkAu1JJ3teFLDmTuRBuiUlb0bRK6sZv
m80oPabD0bDA7Kyh5cpPoiMVne8lA0XQjPOGHjLMY05Kz54UcZoaaTVAKRms8HWDqcFAcNWIJHD+
ySqCTtHzovFrAtrU0TBSlwWCY8YXDKfIA892NMgDFREA9XzBEO0Gcq8bA/Wp9ASq9nLqHVOeHPJd
0YqDHhxoXLkKepa+sFkzqdN5mS1eYNG8KIaR+hkrwPd7U+hvQX+UgQXRgzq2zVwC1vJ1kXz+/x9N
MfPxT2MvipOcTMB0OxjLavwioxtZucn771HwVAV7Em7z6KaLmZtIv2kp0nVxG2dyp7/PdA3jYVCq
MIbcSH8En+97UIhSy4sHDJR6KN5g0gEjD+ciorKhvVQF1NcQv5j3ebRv1J1g+ablufAm0+JNDApo
NueXzy4kYNS0OMR5B65dx0ucZ5M+qe0delY8hf4prZ9K+Ch1Jwwg5FezMcJM0WOFwgYAHS9LmWEu
OSPRcBYGwBS1XkMEBrm0SfPvc2fNToY+DnV8X9M8UKvrIpTgpQtg/v3pZp0ZAUjQ0yxVEngnwCtv
gwQ08URHFyCxlMbL2cRAnQ2RL42gn13fOJFm3FHTo54kmQ3NynGEE+ncvBS8Paa14S0DG4O4B1lx
NKhx1qcMNo5zXsEyzINjvtkUT5znWPl1rR4WJmfR1TXNmyOM4/RIgImmDYlOfWUnad0mU0XFuctD
NAlwgEfxzyXNOfTRCvWQkQ4CGGi+96pcu3j3riuxKGOKUgBGg+cajx6m9xlL0fZB/b7Yk3Sbqfte
xBN0uRtQA0EKHp2Iqy+67cHeEHS6BBEleKiajRziNtymqeDtdGlV51K485KrTKtbXar9XP+WaI9O
vl1fqMvbHN93JvD4f1aK24yWaXg+VwYuCPINVTq8XvZMLV2W3eX0MJAHWxE9l5a2ZnqZYV4Li3cB
QoxyCPiVVJv6Q19tJG1nATGcinrnBEL4nnOl0ximgy3qR9XjaOydbkOVl/WVu/Q0CBendCVSWsCp
53NxQZIQEHHjvMfI4zdbo/ZQ1AbcWR9tYhFw87I6n7K4MykzO0JLQo4XSrO3gI6m7xJ7s67OZchx
rg7nXNClz0YTcGJ+MTRe0gCgzkIhyVBdFT05dS0KSRdeCWfyTD7ZFXdqOKpYvih8CeAtY+koV6FL
lU1jHyxYopTdEnZkiuBALR3b2bbxbaRJQADEyPCc1IBRlT6qAA929o2ImlckRT2/hjqjrUfLgBS8
9ljyPUzuovoFd9H6ngnMwuSeClWjxi1Ac7GG0tFxNprt2SL4oCX/M1+u6e+z+5SZxLDJALOw9Z3a
AwpdoILo+5OKs+/XLWvGgBKowN5Z4MmyoAS7+P2p8QDzLcgN8NtdljpQb3qcnB6dhlH5MNJf63uw
KABzOkiEoTAh8wULKYk0uScaskfJe7RLqrcvfF6Dp8SFCdA4PrtRMzlpAflBfZ0B6N5TBU5s8dfP
Pj/9fbb8Osqe9sjweVmVtshEtvlu/fcvHoQPuDN0DuJBy0WLcaBqQ6cEtW8l5bEY32rknpBt2La1
6G2+6MCmDL2DBMCELHOuSmvLRKrR7OQrfbKVzRBD7mXm1irL3aYtED2KusUWQropYQi1gK0F7HM+
GkibBOluU6/9DiMfg957CYD7Q3QzW8fUuu9zrGgnoaPr8IUlRQMIcq9TKPJR+p3tmdXGQdgGyOb1
ae2iXI+h7oci/25fieGFOA6PApQGkYSdkMp4yw77JB7QM4akZYpIXw+2carepEyEg79kgipQ3aZE
MirjfM1MAvahVFha45sWSFiMsd9n8SgCylgyjrkQzh9XutQ1UqY3PkFSsFV3g5m6lHwH/GNVe+vb
c9k7M63bTCHOK9cWCdo6sSCreIqC155mrhHvBrlwJdmXrTukfxr87ww0OmOwiXPBBbe8noAKQqUK
xTz+XaJ2qK12qE37hhx5I23v9aD7vq7ikghwY029b4BjRDH//KhptFRSjeatj7Se+xQYkbv+/SWn
Mf/+9PeZhUd9HOhUx/ctLfIyc3Ql8mC120Lbr8tZuj/Ri4YgAQ9gQFVwO5URy27VvGx9DJMdxgQk
WcAEzdr+Cz5Qw4Ax8IKQxkIAd66OPFDbSKQC6pgqEP52zuCpqkuRo1tXZ+FFCj+Eugy6SjHAwide
up5pYRjJzC/1yjObfjsqNz25seIHtd4Q0Zt0wQiA2Ir4EIlqzBzwQEtSwvqkypvBN8NfjVcXf60r
s2ADwHMAjRFGvhCOXlx8iTl0RmQxOO5N1+/G/KYZ93Cn61I+0m7nMTVqnhNx0QT0gTE6zjHkcmtl
UjdizTCNoIWnpGKbwnjB/IBuPYBQ0igjD113QO+1vHIoN4Bw9fRwY9IHcxpwFlXgF7XWAaAKnEs4
YL4EXOpyaZImHvw235fjNu3RYnFMfqwrvbhzMyG8PaZ6p/RyMsBB5e6pHL8QfAM771MJbk3jDmkX
IywGP6E3PdADcle7cqp+upvORHAnF0MIaJbWcqiQ/O0knn0nGV6MfuL/tlDTQs78UMKkYSQmdiOi
B4Z8LX1e/75otzk/qmOgDQOAGRaqPUblJujuR+fOsbb/Tcr0K2ZamEOqWUmcDn5s3AIWyzO63M2d
oy6qvSybFU4rngwYUuJvhVLF8LUclYNP7Y1ieer1jWPTnn9+n9MDPQ1KbPcwK2XcMe2QZIJQYeE2
OPv+9IaYrVOQ2TmaDurBD8dtoOxI51YimpNFERjNwCDrVA3g+S00O8yzqA2Ybw6uVm372DVFsGiL
uzATwa0S0WqW0zwc/Lx+MHtvJC/r1iT6PrdKUa2lBjAoGZpIPKvb4Nytf39piT7Il9BrCpYBvlNc
ZqgVdo06+ob5ksh/D1XnJomgv2PhNYgpR/h93FrAbORBJIYBQ80srmQfTa2upPoh2KoTkPJZx7hj
u3V9ltbLwFajZWsqF/PpfIVWUV72jYyw5JbKkkc70VDgUhyCANFC2xOKkJczq7U8sjJEjOKHOuBF
cMqLVJFdo9G8xIofrWTcSyr9OY3rjImooW7pzQG9MEIwoYtcDKk2htGEBN0NvkOnLm07OarhMdN3
TrBVrxyX/nD6IO7AyxADJNO8wvkBzeMeqF9SqPqtLm9a9CrWIsq86XDwr4G5BO7w0LHpgsqChL7f
hA/Jjv0Jr6TI/l8lNKDdwPIAH8LdXP1QgP2j1BVfzjdW4BXpIQkFAeKSydkISFGCQ5EKIfH5OllB
oLPRiEa/VCUXvN9uYwkO6aIE2DLacgC0ccG7LiVSFYG0bvQbOwZ+XOL+Wj80S04A1ScDiQM8g6DF
uQaDkmmNLuNtaTTJVsnvg0QCpPgXlmkuZFJy5u8xvIt0RVMN/hi4AZiqryRe+9jp+fe5bQAozZgQ
B0po4b6RPWZs1hdpyVjn3+eMNRvUwEgK3FcOwiOlYq6hPjdGvq00gbtc2m2UCJCrR1CB6Unuvaip
QUB6ILz7aTJuE5XiZF+vCpJz6BsE5xLap/lMCt5YzOq1vkcaKt0ppXyvNb2bMWOL1hRBeLwUnmNC
B6D4mKNB1wt/OkBgo2WGRnqfBbTYyA5T3LLsdVcvbHlbqHnsaZ1KPUuqmx3RK+e5pYy8qmYhHQDK
pXpDJzMRh9fCVp79Jm4rB0NGLwzaN/Aij70m/9VJL0R9sGVBTLV0U5zJ4S7vmEk5kZW697W8cFn6
LCcnQLS6rHoiNgjuAXN40jG4vm6nPFTKdBCA/IOuB/SDTgyx3EEwFORe6zTs/FTTXQuQTWrtjiCM
JtuK7a0wc4Hh58nFqz4+1Zpokm7hrldRBkRFCRBH+BGcK5EwKepIttX6ivPXBM+NrrvCBmj3bWAI
+o8XN3EaCAdtAODJ+WwCxdQ3ph2Kzh/VP5lN3aknphosN6mu7qcDUjegutFDissKIf+540oyOgIo
ru38vt6B6ikat+sbtuB90WCL62ni27hMi1gakTBRzHq/rVsPT+b9qNRerYnK2UtiQICJUAHz62h/
4cxC1oa8JDphfpxv8vhA9RflSqjxD8ubi+DOVV3HKaaHIIIB31j2JOVoiTIIIi24I6Ul6kDZCBGa
tBviWwzCKSITXvC/SIPAK04JX7DHcPsdTWy0DqT4+j6RN/aVHOj/LNLn5z+cxuwejFSrqGQNn+/f
bP2hSa8Pq+a//qMQOPu8bjY5C+BDcZdvE+m2sLyiF9zkSydvtkAfDmgmQi7DDgOf2IPwrW7csXSB
MVWIBmYEu8Af73FsCodGNfNba9MnCZzW7/VjJxIw/X2mRaxEtLOm86CzH9LPrPjzhc9PTfNI2aG/
h//9UVPpNi1xqiVM7LcY5Qy+kC5BGfxTAqeAqpNQpgUkxJWn3mjp9isKTHEGoC6mpOP5+uSDqhdj
RHu/Goknx7knqlUtXRXohP0/ARZ3zoiddbYe4Ha0rYcs8xi6X0DNvJGYW9qChvCP1eYijQmpDlm+
D7gdPidcsmR0RqCH+1ntK8Y27G605ORU+069ayxt26j7MCaYkd72GL5NrLf1pVyI2qYHEJwvUKcA
xMNpWoVaUdZqTHwVyIkOMIH7Cf4VbhIQcxXAUkbR3i0sLTKa8GA2+n7A+8B5SZBCN/iDU/lKDv6t
4KBH91LN3JpEbmqKBqWnX8+t7ZmwSfvZQSK2FoS5Zlc+aJzdsjh27U6iz2H2K41OVqq5JtME8dDS
es7V49YzwxOnjeKg8oMi+0YbOKBI3TV0OAI53iVAolfH3l/fwgVvgfzR1M0PrhIEktyjPKYOcZis
VD64C4dfpeDrCx717OvcWdM6SS1aC1/vHjP2Nlg3Srp3itO6Cks9IGdSuLcZ7Z1CrzVIGYZDD5Yl
PX6nYbxpnT81eqgdx5XYPqBHCrSvdcmixeM8lVEzOzcZBFeYZUeq7wtX6pli06NhZoESpSQfMUzn
o+mgyd1QVOmZ/v+8hduYi0ETIF5OACs5/34Q5V2DqnrpG/b3mNyp9rFOf16/RJgCxMsZwKCgh+H6
c7Kms2Ityio/u5PGjXElptD06NDnn+fMV7YSDCkNeeWDBrXrvnWtqAixtMW4I1Amx4MJM4eThc+2
oO1BaiBJWukDB9yhT0EtwoBdcmk2pg3xuEESBLHxuYBioOCgRyjjx2V5Cza/XZNQNzUqN6T2Vq1E
vGRLJ3LqNQDvkY6GDd6DIjddNCDTQrOB/SKVgZeXADKSfUsQWyxYloFWQB31MEQWF6NCWSxVYUUL
4sd/ACZA/8Zo17pdLbhKTH3jIjDB/aNe0N4jwzZKzZgRP0vS1K0l/Vj26TZp213vKJu6ajCAdTWY
BDo05jK5455O+P6BnROf5L8DSQLozhdSk2cSuAOZK1ZQqD20qgDXYue71BbNDC6Y25kEzp7z3i6B
1AId0poConvXdq5c7zEwYJnv6zu0ZALIrk4TQbiuAeRzbtjUlizWByHxDebbzT0J3NbYr4tYSkQA
eOZfGTy4A5M60ic6LsyaAj838gzplDkAhjWf9OAx754S8mSoolt6wSUAghtRM4DvbSR/OMXksjPT
0VLxLrA3AHXUms26VoLv802ncaPCodX4fmbf69qGst/r319wAfPf73AeJ+riWjFDvfKjZipQqfYm
Te+wWP9NCnf1h1FX9mGsQUru0egGOJcBcOJNQbJEtFbc1Z+qEslaG7p0XfONaOVdUCWHdUVEIqa/
z24AVG/JP8tVRVuK8nDjrX9ftB3cmQfPMNVLDQs1UtSNthI5hpI7ik6jSAvu3AdB0MhEhhQr3OeZ
p4pYAUXfn/zObJXaslXlIpyeQgg9MWEIPkCGm+xtfa0Wvdfn0eMZDmpajWaXQ4uUeJ18p2KIXt4l
yVMiaunhAVynh8XZIeEOeYl+Ek3LcQgdVIfiMNn3Y5a5NhhwVS3Wt6kdVNsxVfeBnN7YUuuqDn3P
YvlApPKu70LV6yLr+7ry64aCLtHzJU5KBTgZBZa4zLdR4QH3P/2O8cd1IUtZ1pniYAA4lzKSPJaz
FCcqaBVlg8dP5gZV2G5SGvduVGWji/fYS4rN3sbRWLt2bDO3dQyQYGMWWeDgl60KZU8dsO+YjeCs
SolMh/QE8V5Q79JyJ4n6q5fiZ2j7KYCL8ZyqUka84Ss/0eoXC7hlsS4BptdyCYjGdDU5SLqz6xgQ
CqGlClxs5DD3NZGf11d9eWs/fwZnbaOcjqgm4x4r2zuri9y80lx0NCOAtgT7u3yC/pXE98sXkdab
Rg1Jo/42Rrel/FREhzK8FU5oLV7/nyvLB5aOFdRt22FlO3UDfAVQZeNQrK/a8vU/k8HdMYBH7Yug
QIROygEtECezfCD5Qyzf69VdLe/78OcQDdt1oSK9uOsgVO2mQoIHt78DrPKH3EZw/qWr83OPuBvB
aoip1pMISVO2St0+G2Z4M5R0V/fWbl2b/+e4f8qaLHPmt8dwQKsEMXBNRw+N+ivXT5b11ge1K4Ne
wan+7tSTM/zIjD2gZASmKDB6kzvcFg27rNNgIVTZ02YnO6ci2KatQMPF/TLQL4kmZGTl+CYNKdOq
sWhG7JdFPbBXta23WV/D6XByUTSq8J8SOD3swFCTPMRVYdQ3TnvQS8+oXlNpR6JtqNwOVFB5XPSJ
M3Gcy9LAF9CaVo87EOCXlYus27o6ou9zvqjKwOoUm1gwku7fG5FHFywWnw9A80UqDwoWK1I2SGrV
T3H4O4hdq7wLva90esx3RuPussyKO5CVQBVDjTCLFrqRwG8LjEvjHBABAzc12wEnNdu1IVqlH5kI
glywHXwPQ5p1LEpaLFgJCo+XLhFBdS+roE/ckxMaPt9YVKl5wgYH971WH4Kuc1t7H46i3qJlJT6F
TH+feRmDlY6WNdMbtz4MyVNvfOWNbnx+n/OYnZLTtijx/cHYGfFN/oUhTRjS5/c5L0kxbYg7Gouk
0OdUOlrRdzXcW/koOHqiveA8ieWgVmCn0zKF2wSknyByF3UGL97/hgVHiKYh9NZyFhugjgYIEKTs
bbaV+j9psTcSzANZP0o829cdyaJ/n4niYrMOldm4N5AACJPDoL833bcWw/rUEoSAy4v2qRFnW4Wl
RL2V40VDw29m6UnmbZoK7hDRonHmpbZFkhYmnqF9c0fsLVr7XT06BtT2zCtJTP+JO2aLxlnaQApA
bn1kTRw3A2Fk7glhnRb3BSSL4PfCfy4GcvK+khjCGzh4km5C7c4u7ktyb7YCDJWlM4+BBwNFBfT6
XAzkMCsvqzZhcL7RFiB2smjfF19/cwGcKVvO6GRJgIuwre/S/Gdb7jOrdePupbGeDfo3CLw2ZSdQ
amnt5jI5mya6prLY7irfNHZF4QbpTrXAD/2+fnKW7G0uhTNpVHmiVGmhmSq9k2Gf5Ojp3sXKZhSh
RIjU4Qw7b8ykphlF1O4Eft70R0LqXaZEupsWg+BVO71L+GfSXCnOsi2rNfKygVIGEO1TL0iPI9uq
bNPLT7Z6Wl9AkV7TAs/uG4UBrHzsoJeiboYYDcyHkd2n7AtJ7rlG3EusaGWqDRksHKNZVrXRBiRR
BSHOsiIAaZ6Gti95whUiMye1cSO0pnlnVNWLYvf7GC9LYEt9oXvM0DH487+y+Lxj2Qbg3JteS/VN
eJDR0QyWmOtbAM9EcA8yCRgyat4ihWHne6V5sPUvvAPmKnAuoQ3jbBySKUUCkB+Z/EXrULAhy17t
c5E4BzCyhrVJBAmWr42u8n3dbkVf5w5+iy4pdD7gPZmXe5Nui69cyfP14c57m4dpaIaTOckHUIyb
6VNd/YwjQVfC9JXLk/65RtxJNyKzTVRTrvywfMrTNzl+kbrtf1so7oDHg2WhZRVHjw27UPNEVfHF
9N98obijDUL0tHMCbHObphuSxJswfYvQ4lhUt1L+pLN8h7Zj0A781NmxU+8j57em7XJDFCKL7IGL
xUoK+AsrxJFs0VHRgEKs9tfXcd2/oCns3FGGVdVq4RTAqMoz0w9xvmPRo5K8rUtZVwP96udSAjzP
xjKHFA2RnnbQBsETUPR97tgrZtxndYUYSSUYjLjJRJ2SiwatobMYfYyWDfqX89+PSSXTzqoaYV7e
odlVc21W/wwqVfBgXlRjJoZTo4wVdTA13Fq0fqrj9wDo/F/Yh5kAznnFg5oQIIDgHVvhrmp+m+W3
/yZg0nB274520zcdgwY52ygjUN0F3nfRXAF9BuJMlK5lvum6UxI0QwHwBf0/XlK7mblXpG3WC6J6
kZTp7zMtVMlGrptOFyHGEpiy7Y3vJZ78mSWqJIoEcV7M6Yq4iwIsVxgyl4avevHaAbVz6N++sC14
Puig6cA//Izt0DepNSZw+6OEPmId9ov2qXURi0fkXxFoljhfszKVszgY4fNlB6kddwzea1GyfvF4
zERwpzC3ugDIizjlxt/ggGl+rysg+jp3+AJLshkbEOI34Qta5VKBoxV9njt6tVTrRC2wBZK1LzRg
pAvWf9GUZovDnbyg0dQ6tmCzhbm3d+X3Z01UGRLt8PT32akIqy4n5lSWNjJvSB5QzS1Ft9HyIgFx
E0096O7jk4Py0KCFyIASqEynvZcKCwaLOuAAgDQObenw5ec6EDxA8ywlyBPliQuqFdfsb2PzoY+U
nRKD9SruNkr5YjU/R+OYBncV5voS5w69j4LdEv0O7l7X+oZktKvwO4KnodmZYGARGcTSWtoAEp0Q
8EEyzd+5RRI0hdH1ORp9lIOTFRud/l4/MUtKzCVwJ6YMxpw5bZf7o/YnLB90cqMBnOJKGTaSbgDB
UMElOBH/cMfGyAK17wZantJKig9RGZq3yPZYN9VgOoK7RZk2/+zZ+iHLcJAXQ/fuRSskSwFxlpVj
ecqp6iUJhnqYB9ySTZsfWnrXZppbSqlHh8orm/QFtBZxVh2UuLjT08oNLNWjcYrudFmwBBfJAPws
E68OdBdpE8AEtwR11o6DVHXkFFLL1cxmKyWvJRp7leR3Ywsi2gsvwsnivAhYvGxi5YycbPs9clIX
lHRelKhuPMYCrS6Mh5M0/X3mTQbZTAlBbfdkhsF2iBIXprrthUNDi4tnYwIQ8TA6EPmZB7j03GhL
Qk6J/kuqiJcrj3EYusMobYpSxG9zceSgE8axYaYm/g0g2ec6EStIYuAUVSfAc78ZTXzbpZHASEUi
uDMHyGJTl1D8OQVN+TOV7EMbBII8zYIIgL6Aug7/xYzsR2g02xl96IgB+t3q1KSyV73bxZWM9IB7
AYr3TMBkhDMBKDioipSU1UlNAjftj/AaO9Y7W0N0514WNzlJ3PsqRNEBkzspNgT8u0oE5NPGBd6I
m9V0M5Y3oJHYJU2z0bJo3zqJm9bXluoAamLLoMIFrgn+4SesiFFaXRn15Ukbi5sIyrayIPJZsO+p
4d0GeCD6R4GNfb6WVl4pxlBH1YmxYN8lIHIN+tHtwIzj5tQI3JKKqNEXzGMadgdnKWbx0JHBrakt
2WGUBJBYSCpu6J9M9PpeEgDiBw2otdPwMT/PZXUoxCSGUZ7a5scQkW3niBCpFrwcqLIxTY/JNPSm
8ovWpF1TYri5PBkId+Vnd6PEb+vX1kWVExBUcDbAkgDR2iVcWQb61pSVcnmKwU6nTyS18d+FQW8b
kKoqvekp9paJaKGWtfqUybmGlDVahsEvXJUMw5/6SyO/xkrhGWy/rtuinAl5AhYHIkh7+vvs+OZd
1QJZoYVRo/WpZ2O9DRO0xvWV1Xk5wCyvvygcTNdO3cqY+8Scy7m4iLZZBuTA9DT2BOWWbNujI4nI
VwMUYsfw5sRZBRanjELouRipTQvJCZxk4rIaNqVoSHHJqOef5zZHDaOxBUh/cqqyunisDb06WqYw
vXd5qX40XYNaZmrmv0CIqodcldDtH52aPtpJUbEFA8q2VkSoqJcPJYyLmpjDBQMzaGD4E1prrAT5
D2tOmP/aJNphSH9Y0dEwbmVnV2Q/183tcuXgDAw0207QF4Cl4PwNNfN2NEO8AIch9Fr0XF/NEGKD
Kgog/8iL2Ogm54cgOqts2x7Um+hz0XdG/1Zmd4kOrKHxh9Vfm97lRHFHh/Vx1dSVVZ1y03Vyl4jm
ORbWSkFfIqj10HMN6C7uNgi1DHhq6IY9JXnQu7ZkZi6tC8ET5PL8w2oAqQLXbOOBwMODwaySoZGb
9gTuHLnamTXm2T1bBH+3oArGFKZXLyZ78arhIiSK1kIl7sfoBPp69aFmRb417LgSZKovpVhIJaGZ
G48dAAbw3XAGgrCxDkjwGtaNsQGnQk31zbX2ey6Ccyy2HEm9ArCeVyN6yZlPD//t85xjCaR0IA1w
HF+rD6vN0qtnnBA/YlzEmSq4U8WY8796YeQda4j9GnRkOzyEVN9ercGZAO5QmBqQSeuwtl9HUHZT
GxSC19ZsOQ04D1KD71JHtGG/spJu0K3j/u3keCeNV8Po4q2nTrEGGGQUED9zKbA47eWhqOz8VAy3
QxGlrjYg361eb7PnYjiDGlhfDsA7yk/qnkRsA6Lrqy0WXXIY20GCFQEnMiXnV6E2qPJY9056wvCv
ax86ub/6Sp8ETJlInHA89PgdN4Ig1VopPRnZI4a2EuVH3PrrRnXppHBfAFIbyJXTkAZ/nRdUKfPU
7lLsRYPxV6/UvSbaVk4qcIaXDuRcDnf8EiXIBrDRpKfAcNzqrzgRIY6KBHCbYacWregAARVDnMx0
T4mvrckCSlJHzmNirgKVOD/hloZEG5TO7F+BJIZQeWOPIiyxi2cJJBjyNCs+XRgXNES57ZTMznr2
qrebJtyE1ravBY/Si2U6F8GfPURaSWEmEKGgMPfoiMAHLsyJ+zx35pImsEK7x+cD5dj+CRJMAlTH
8uoZikkKPCxeosA4viDWy4w0N0FswV7joySDQBbT9VeeCgiYwlBUNuGpLqbymDxSGmtj9zo8d+ZN
F5yC4b0V0TNejuPipoCLwlzpNPJ5MR9VQHxg2r0KAALcGL1xm3fEA2Xt09iCFxz4xpIU7PRB/1Ni
VEuWRBfuZe32Q76BfBlwRyZcqXP/VZAxTGySq0DryNzKUDaadsiGwUMJz+v1YxXdd8Nd3IRg5t0H
wORk8cFsXlqRn760mWkZsNrGBzMCH7hkJEIAmHSqb5Wh1wDSmUbZxsK8XcGufQNMCisIOMEbjuXm
W0QJZhLkiAyqb7zL3UE2rs1icJ+fzt4s4Bt7BTwYFT6v9WyLtvqoETEBLpsM7AXoUDLSvTxGtEEk
atvEgAY9Ary+dEuMcQfxVncwm7BFq3Bl7orecivhPMSlb8LazSRPsc5MuWDsUy0bddWn8rEe7/vw
1o6f10/dpW+CCMTJUE+doPs4e8SwJWnLSFX9mLqd5aXjZv37C4amyjjSuO0AQog49lwFgJYEYYUn
O4oa24YcsltKwHwguOgW1mlK3AGtGW8bjFxySuiBpEWxVui+VPc3sdTdxRq7J2TcretykTiZEPYx
Z20jtgA3Ev/sT+tIbhS51tEk9r3VbwztT4NxmMB5pOouI2hIkkWDxAu7g54nBXPKOKaYMuIUI81Y
FE6hGX4ZR16tPjMiyKcubA9yWSpcAeJMVDA4Cxtrq2YkiEyfRs99N7rljxotnZXxur5yC3rA305I
xzpQFBWd08PQRssqM8nwO2enSp4m0EL0eU6LVHUIkrb4PJWfDWRf0v8h7cua41SWbn8REcxQr0C3
WpItWbRs2X4hbMsbKIqhmOHX31X64p7TFEQTvc+LXjpUSU1ZOaxcOe+kHrYEoMU4EtRgEwE7q/TE
1pyktRpF1tmuS+/dyfawDxsHWET8VHRMF8kUeZ8zEvV10TH7nI1f6zQCX4MWEOdmWwqNAzQcYfQ9
RkW/3DyA5DPyVOVon1Ug6Unps/j95l12YB3gQKnofQyuzuVdn/Qi1caBO2dTO3ZJYO4RIm/sAmIg
WH2ViNYAcr6k0NXBSBDKO+eoxUFa8UAPt04ATN+oFYISgRDsxnICdkc4G8EAejaioCl8zm5+rBbj
rwzBCA8VQzjhrGqP7V9W7uin9WVGzyyAT8Q9Rj9ZQ1r/ggyN09padB7y1ONkfiJj8+T0P529xjbr
47oUJH6/eJfM2k16sLNHZxofygdlPOy1q92aiSB3R6du3Vgzro66k/QxZwCdkMLX6A/b/Br3ntao
Ow/H+kQhFAUZcDFAbrGi7GlRPK1Rs4pfZ9MvosfEPN98oDA+Mm46urKAV1JaKFaNOm+6Nn5FYDDr
T3SPFGzr+2FVIYiDOAgutnRg3QGLVBpp/KoMRWi140MGYskdu3xHhnxoC3DkxA0a2r1OqKcd1CNx
9s7tWgKQ6fDnXcfCrYZZvDxOJKdEKYjmntsA2Ot277QK7b9InSNKcDm8OGwXp9XQ0yJBUMQ9T9lh
0EffyFXf6J5aw/EjQ/Pj2909yIM1gh7qsHdX5JttnFa811MCymX3aLfkuKPH17dvOb40H5vMrCmq
CPOZ0S4niLrP6u3v3VKE/F5PLDe0DCJ0+6i0XqXfX78X4v/lLRG01IKIzLBX72k0j008O5ly1ucR
LQdgd5YnNz4N0ROJ4pstXMSJLmRJUZAxzVg9TpDlNiGiwqTYQwtsHF8gWHSk8eE8Iu0oGQeR0zuk
Uqzo7H6joOdXk5u5EWFzfnhrgHJu0HuqsYl+J04bnZuH0iSH2RgO17dj44YsBIgZXtyQGqCKpo6a
6KzR7C7unAf0jLHyoNYDW29PkeEer8vbOMELedKFt5WRMTvDhJilvidZd0qT/DQx9ve6mK2NMYE5
0ERjbgc8SctpdSMv6jTHtCh7AfuGvRO63RwefUjg1+AkrwiiaW6mwApUETon/ChQfF/cnPbDvgNc
BOYlNCuFVSUdrCHVGm67RXSuewCljly/2apFR3E02kQeA7Q7q9BXanZTZzfEOht10Gs+Y8H19d/a
ZnhKIuCMBt+rOGdfAncQV7Z5ZnHxlJnsk250dzEnOzCDrX24FCNf8KQuhw7uIXh2AvWPuleUKE6J
pKsA+PvvLKQgpwWScTAcEvNcgJKRp5k/O9SPLTxUewSCm+sFxgBoKxcJUjnZ14ItipaUWqhJnH+r
GfncoDCopfTu+rZsrpeNuKpoNAFUhqTc+6rtHHBd22etb/2mPA7M+TcbTxDhEokZAQ9bXjzwVqQV
6JVwsOYZTXk4uEQP054S2ZzGhRBpGqaaM3PoIQR8zEjNvOTprfk34epfCJC8yooWbhbHENBNOaop
qPcvDIWFAMl6U5sSxRtimcAkFpDPDrndnxH8Y+ClFtlpRG0lPauWjJpJ5Bhno5zvh1Q5zNWO571x
ZBcSpJ3Wzb6LRAOlc6S8Tc2hZqfbjxKUqwEtBZo+DTAi6SiVrNLVNrXPcTTeK2gmUI7c0/vjzVcC
3RZMFFEAxwhuHeks6U0qOL0j+1wln8xn9Jq7fXhEQNHSAYxcyDZIybfcbqKx1wv7PNBv7rNivP2L
4QEhRBxHgIfldyIptbIYOpwjhIuNn+n0+/rwGwrQ0QDtJAIuRFYYz9ggOZsrRTnbP22r9zVm+5U1
+SXZS6uvi2YBEtM1PNeCgh/4LWmdSs1h82x1yllN54M6HIriUeVP6XiXapnvGIGKgLhb7jwfG0f4
gzUdQWqCBiKOJHTWa1Xh2UzOQ/zGbetgVtWJxTc7ggCMwXb7/0Kkpzw2VLReE0IK67k8spuhseAK
xsIBESk42VfndzJUJZnBtnt2MvTC6+rPWaIemj7/DELXHZdZXAXpOQT2AVAeQGwclGlLVyUb6mxO
u4icZ9TLO+S3bYcRuze+UW0PEL+xMeI4g1lJs5Cdk1Mlqp22NR4XGO79dFfDj9JqlLE1+t31471+
R8BObAsSUDBcomJNUpIgBU9qM5ra18RuvHBQ93p2bo1vauieDeQLkIly1GpULGsu+7x9LYz3/M6q
/tz++aL3KNQ72nSD9XqpIDt0xRnHwm1eyfjFTXyt/B/HlxRwVM2lUTcYP3Z95+vNrV+J7UDxYt3x
/fCdpPdjIPM4jxGJv07qfW0dm5ufcHDuY+nh/gsgqrz2JI+AaHLS+rU/OXZ+IPUe4dJ6cz/Mc1jp
poaoqpzKV/QpQrg7569A2JPkoEY3RwyX40u2bavGdmRajIOyJ/uce2nBdwSsLxlWHoQKCNchuq3L
6Tk30+LZLdrqtSTVr7abfNKLWgHz5/VTun5DoNCFgkKOFykUGdWaoIpALXrWvDbDj8w0/AkY4AiA
gZzvJZzWO/LxdNgO2OEIEGDi9wtfltR1MlhVi+vc33Hi8T1GxL3xJXWRNr2SGi3GN+JgdLz0/fpC
7Q0vXYjRctGscWjaVwU5YOsnunh5NwsAYNGEt2chVL/q1WUPTcUjV21fcxCH1/caOtPfLgCPNwp7
Pm6EnCspi95M56lhrzT/3h6Km/uywgLBbUMqFjUMom3vcn9n253svKroa+cGDbot7LwGG/dhMby0
/mmsQH6J4QNm/eT3Rffj5tVZjC89nyxvjEgZML4OIphflZscr4+/9f0WgaFhi6ZYCD4vl2eaNH2e
lYy+suRgTndadBj1nfjjOloEzJoG7KNA18KPlF6EjuRuPKuUArL26qal39aJ31LwHLsOQECFN+wV
1m7cCeBGAbOGlkJHGNkvNvuS1bOb0Fd1UL0iua/71+uLthZAQDaDzDFcFSQnZdTo0ESoTlUsFLhm
L5Fntjc7ScvhhfgLlTSlGUWgB8PPdDxa4+SVWotWLfbO1u/NQroZuPFNicBC8cq9kgZoPnR9kcTJ
Xxp+y1lIN2MGnyEcGQzPzMmzzG/KYeq+A+t7s/pAFBUZdvhKsMaRC10uFrB/oLBI2fhal5XnsNSr
d56ijWUSOT6UcCIiuMYZlQxdBjt97F5t3+xemH6zpS862CAFis628Chkn7tR0G2+z9XhVUs/lTnx
k7i4fZ+FMwHEhioaIsp2MbIZ9TQ1ZHpN04f4LiE3RwWFM/Hf4SWDMqFjnMQ9htftty5/tQ/Xj9Fa
QcEOA8EGajTQVA8W8XJ/62riimWX6ivI65WHUtVyD6EuFyiktt7l+ZT3Gklc9DyGR2lbUIarrkIm
g9+Vc2N+5dr9F6adrk9FvhEfo8O8Q4NwRO1g3SynYmvTMNOKz69uPrnPIK6vQk1hzZ3NVTRxZlnE
/esC19PBVFzwrIj8OmA70tp1rjOjTiMdwuR76R5ivuMJr+ezHF56OxIg5ymtMbwxoZVU+103UXB8
TPaSP3uzkJYtU5Naiy2I6U2/cr2Z7JywvfHF7xfqFg5HTJoU4xcEafDpsWE7XoV8hGFZArqLuwcU
Mqrn5KyrFsG77sehDzX+qpHAVXHJX27e6UsRciQkNhIlqxHeDDXdq7mf7Fg5G0skukag3IaIayjX
YlBidDwz8j7s1Du3+ET2Uq5b4wPHgKSFAAoA1bncgk6ptbJNkz5EhBNMcdS7fXmA0Pio8TNwGzTJ
BNFBpeQaaBIQiqLCFLXA+Z/r6y/MsMvHDluMtA6cdTz8JgBY0hlt075JLcAnQqu6VyJUgXqRe4+3
LlNerwvaWClUEQoeOlizol/RcqUADGa40VEbprYXxYG2Y3rsDS9+v7gLmeOiq1qF4Qf2pgw/zVtJ
ET7W6eLzxVW5HH9K+2IYML6q/tDqkIbXV2dDIwHegJgsIuCielmylhXbatwpK7oQxC0/edUcnUHx
lM45ogfBjt2xcakXoqRnLzdyA8mEvAtTftT6d8YOZRfvyNibjnRsS6svbXvEdLQkiGigsAPhnpLu
XG7ZPv/Yk/8umqw70KUjrVEo34VjPXhpqXhg7fFmq/Fp+o/G79t0b1pblwWGntgoVDWsKvsmu0Kz
xrimYRU70U/NHdEQMqky8z5h0fQ4Uj49MG1ge/QLKyw1JiroMgDK+z9WOGk5lYoCf1E5NKzrzHxG
V3M7wmtSOCDOGNDXxSH/DG3SHSNm808Vlj7xCqWdGm907eGo1B366EV0LtDIpMmPteXEO+/Eertx
ZgF+dkTJI0pWxO+Xl6M30rTlWBfCT814aPvPtkWDutzr0rPecMhB1BclK0KLyO5L3c6ulTWUhnb7
iY7JfaFUwQDqzBQ8DHkI7O/OMf6AI0raEXa4iiA9TF1g9SU7hDCeM5rkWcjbit85qIFFk/dWsx+q
YjAOkw7u2dY1QdbIx+7EXZQZM02Lj2gg8wMYUfVvz2a02lIq5XOBUIRHGcmAPs353+vaY+NKLz5T
X66/hnKniKPUJmym5Kkzi78KGn3ovXN/XcyGjkXvKLxG4N5C3zdXEkNpO5JJh/bTXxztcHOfLZxy
B31qROkvQDlENpjntLXssdbrsD0q0Supwtu/HpWfwEihHmKddE50Ledmw+uQ9b7FAmvwbx8fmWBY
SjAG4M9JKjwfekflfdaEZvpIT13+Lxb/cnhJbUe0sUqjwfCT9Wrlb3wn1rGxt4JFRuQ7AMBYVXpO
eaq0qaI2YW0ELj3Ezk74dWd8OfnEG6VIkwjjD1lgRt6wYydt3IDLz3eki1q0aVUOoKgJzaa5Zx16
MJLWn2bndH2P14pOgxWsOvCnEWu3P/J6F4qO8npqS9Wqw8I6zanlzXWYWrVP6O/rcj6iV5LiQRGG
bYLExEZlpJynLYzI5rHWFiG+xvDd1jV8rbAzn5RMPyZKSvwKNFMHBs31mJCiDmw29tBN4OJ9B3q/
PjvJ+MOIpvyfeUrpM3poDK8lT9I7rY/dZ06d8dhQvJRqPOa6N9aGs/dobewIsjSikl/478iML3XS
oOSmGrsFC/tuuDfR3/zEWToHdWR8v75WW4JQ64mMM4BDxupRMPMyd0jasLCpiv4L6gjURwfs9i+z
Vu3VRWxsP3Yd+E3wSgCLKuefDXdkaV4pRZiNpy67j6tPffoyVTve6cZVEWAShAFFkQfaii5XDlkK
dO3MnSKs0k+ae8z2ipW3FuxyfEmTcLSDtN0S41P+opPPnD652c513JuCZLAYvBtRdQsRqnY3Pdt1
cH3L13YYqmDgDoEiAqaYJcNuSN7pSWsbY5ianm7+QMZU1Q9x8nt+vy5nPQ1RbaOKFrWGIaKmy51o
5zR3LFDVhCU9pYes3tEmG8MDKyZ6ZgMciuSUtBGNzlO3MZs5HLt/klN9a5UCem0IkwUPKbDfOEvS
ORp7q8/UmPRhg54LxltxMx70/wSAnwjQVsSdVvZAD5pE22JDODTvuvPObn5QgexHdBGOL2wlhOqW
q19PM/KNyoQgUBz52R149HcErC8CBAhTHkA05CoM6ZQOThYD0srH0MosL65DVz1H+a2lw1gkE3R5
QCcBuo53VUJdMNSFUYenVtiiryf0X7sT5V3rJDT1A8kNwn6gZ0Gia7lKc8cS1Bvldmh9atRvbsUO
GSkPlvZ2/SqsICtiHnBMcRuwZMLCkeREZtQmPHXCOgm1P2COVsxj/U8/vYN96BSXOx7FxtWANEFt
hEjBGkswFAmCsxOkdQk4UsOy+BfbgskgH48EIR5ZObAyx8Qt1bFoQ6bZ3mfCb+UMxnJhfGRzhKci
wETL5erR66ROkrYNgaX29QMaMe0cXqEclhaCSA7iULk6KuuByl0KAK+Rk6Icug3tZABa87lNn5vy
0f2qfKuy+XB98zd2YyFLOmNFriSkiyBLKRGkS32F34o9FcsFXgvAOohwdWXSNnNUTHtq5ja01Keu
MU5u1nujo4E4Za8T0dZcEJQHMw+Q2aKMUlq3muVwYWpE7H619l3s3N2+VHCPoLgIareQAFgOH8MR
V2KaiciH1zkHu7nZTgcY6WJ8aStKLQFuLKJdWMyPCvWZs4Pg2zpWMG9RKQRPYB0wrSoD7a76rA+p
+becfjTJe1X/ZurPfPzH0vaaHK3IHsW2A9EPPBIMErD/CA19YU9bvTLM4FvsQjISrzAPKj01LxP4
K1v1zWY+YfcFe6h+c+5Xkz9EAc3PKA+G/4Yq0ev7tip+lj9FOhdlSUinK0YXTk6FLt9PvfJzSn9S
5SljoseE1YZz8qynr9fFbjxBuMBgxwByFWalTIUKEnijzrMEauh78xMoC2AhrgvY2k/QICJvg0Mj
EmnLFR4r1VBM0OuFjtMeeHqqSX3fz7Wvm6ecpMfS/XFd3uaELAEiB9eEKHtZylNdnrJGI00YWdZz
rUTBWE1f+5sZP8Ruwb1ANAJMDUILLsUMIy24XsH9AnmBUt0pe4Bi8f+ydkXpKCwzWJgIdkimgTmD
EUGJozpU609NYgfD9KVzP9nVc8vb4+0rBvAfsUWOUKAal1MpKjPqYl2HY59w4zCbpe4l08DR19LZ
I1cVmy3NCkSIog4aoRYYnJIoK7JKOx2HLhzAUfW9yMbmoCVvZTQYgc7jPRryjTUUYDcdCTzgGWA0
LCdmA/zh5CAOCxUOmGYKHvIHVz8lM0jqbvaYsHY4Dh/FKXgOJUM6oU5i9rMIBMcH1rZ+71re9U3a
eDXcjzQ60qvwPGQaiUaL0jyZnDaMyggPU5DUe8VV4kTJewNcHc4BDvS6AzmhjI6lUgxhG+dHMO15
Dh2f1J6e+ok8Z0752TY499RY3Tl+WzMDLhFB1Q+ORHlmDKU3ca+7XZg54+mHYu/RYmwoBLjKaEIO
JwcIfVW6qboaT2jXMffhGBme031HO2I/nrTb90f4OAhNAnsu6pSWZ60e26g3KsQO02/a7/nXrZuP
iDPKc6GmUfu2gp2Lak63Qo417PvsEUbXIwJlO8/uepWWIiSzoSsbN2qgkMEXOfhz6Z7Qt/szWivt
QB50oX6Xpwxy4I3gVsKfXcE4Oz6ak8GaNGRRU6If2NiDJD4yfWfunhxS3pva95g3QaPHB7e24088
yqZfcUqL3y46LxxJZg/eCCqSu9o2Y0Hr0ntlWZhBV7jxkTBzD+W1fr7AM4rtFEhs5MZkAyHW2WBO
c5yGKc3vYrP2Xe2umKf73h3vbZjVQFde3+uNXAskQgsLRjoR6JNOUtdzRkDiScOMqZpvaplX6p+8
oK1IQNVqODgsHjxdIUZAXRsIp9j4U3NzhI2Q9YehTbudB3zDMMEHCfIsB0BAlFdLT9HccORUUYoV
Uvp1Ykg4qQeePZbRgzt8TlrDY5p6aOvfxN5LFK71NyqUoYw+2CXtVc11MuvDzJ0sCy1Q2M7V+AZy
ztZLBrf2stZ4KYwm2Fn7jd1GaA3BNfQr2zAHdb2qcvRWpiHa73lT8zhXmZ+QU59YgTm+de7RVD6j
p1Rg6A8MJNWF9p0Q0JFaAVJw6eTr+ffrH7TWjQKNj7bH8N9Q4SVHYbMcVBZz1GfoSXxs4lO854Ru
3PrF+NK7xcHhSNSsy8KWv2RN4TUd97Jd7ta9WUgHqMoskqGwPQvj1DpU/Je2S46+Mw9TMvrGfLJj
a2qycHL9urwf9TtnD5S3OQmwvAmTEkaFHHqNDXiDeT1lYf9O3SPRdtyqzRlcDC/p3wbGLGFgIQrh
c/ZAdoJGbo/iZsWDDa5OkThGlhRHClpN2ofBsllsK2YWptPDQCqvtY55/wl/HfNU5FmQFb7TvZjz
9zHaI8jbuMogFBHVllD68B8lpVZY+mjVbpWFOvlkZcd0zn0Hppj6jIqEHXtiU5R4goW7gVi5JMrU
eyQbTI6NqoI4CrrMi6JTFnlVf3NGyQB32n8FCWP3wnfsdIsXZgVBpvbiVp+b+9vvvo2HHcFfBO8c
OWE1DnXP9ZZ93P0uOw47B25zmWwD24FyHDgY4veLr6+HFjWlVp2FiuGjr7PyZPxCp7dir3Pd1rmG
b4kgqoYQKuLlSzF2avKKmXg8pjFwCHLCHirery/U5kz+K2KVEyu1XO9tm4ZxccBul/qLm/p9dGC7
JrLYUcl4AU/4fybz8VJerBmNpmhAL3rADDSvpUfWHyc0tby1Y6a4ppdSJFVQVw13i96lYZt6w+CV
e4mxzVnADYPDAmAacaQtyVR3UFQ7ycJo9g1EuEavyO+tMry+K5sbDygRwjiAFqMMYrnx4CYukb+0
sCvoVWzH35zxHpRh12Vs6WTwnQlScEAkIGopA7ZRZ0xWVYRoyaSlx34P37i1UpfjS3MoahSyzVpT
hDP5aoFBNEVQMAaqPCN7XXU+nGzpaIGMEYEoxL0AZJGXq8rzKHXcuAwpSxrPGcwfLHHRf0P31Qo4
86482cAXZUZyV1St13LTawx6aJxby6Bw+FA+h67AUDmI2cjhmpSZmWtTJM706FA7R5fuWJMbx4LA
ooFBA8sWbpm0pFk2dpxbeR7qrHqqouhPRtr7fEx33JmNkyGqbhx4yiIjK7v+et4A+0obiEn+/LL2
suN7o4vfL/RAOtc1aunqPEz0L5kT7gG394aXjrUxAgpRIywXkvmNHGz29fqt2dqCS7CU9PUD+kPF
U9vQ0Opgarwq1uuttYbiEF1KkCYwo9hGb7iQYB5y8zC8XZ/AhpWORJAFihZA0lBvKD1dTQ/e/NFI
acjzxAOD6IOTvenjF8U+RNW9Pux5ZFvbgRuB7kPoFIFonxRGolOWW+OcAPxGj5GHRO/12WxtB7J/
olMMEu4rRRlrap+PPcMLmVdB4T42xcusn6/L2FBkyDAiawYSEjzCMoysaSqzTsBREFZO61fohhr1
r4B8+lmmBNclrWcjyPWQoRNVpgJJtbwavVkTmPtQ+3pW3+nF107XQNb/z3Uh6x1ZCpEOwGTXLdqj
4sUHxtNnxqtZ7oVz9qYhOUbRGCmNOUIC6wc04nsmxLfL6mZduJyG9BDbTVPYRQzbyKhPSXU/l4/q
Hpfw5jyQGkfZ9QehopQ01aZ4BvcFtsNRjvOseQPq+ol+s5eKeVwIkQyWMSYVor0QMtC3NHmvo52g
0fYk4D+IK2is2HNmalpcHbFOip75dc7BTIA0YLtnF20EOsQ8/iNHhvPCnu/AeQ7zrv1OO8/MgoLf
je3RPQ6O37yh7au+h+fdSGovRUr7Y+n9nKKqmoZp0Xh0SgDhv+/zTwolPjKDpXZkYMHN2pvVwVKq
tGHGOMztMEJqL0jNgmo6Ocwzb090AiCDskUwzaFr26pF0FS3TtyWCpZzAJt/9KQlf25XA2gRSOCE
CeCgnLhQzLrsklRhcGEST4u+RMmOMtvSMwjn4pFBnhZ4KGl35mhAyyXK81CpHiKiBG7R3V2fgtBU
S7PPhI6EqaKB9wPaWZIwOpM+o1EyC7s2YCbzXfqpah9mmvokvX0yInbsitAiDE0ZB5LnwIXb1RCH
sVYejOTRme2dyWws10KCNBkSzxNrFUgon2rjUDnH62u1MTyyOKKxiYkXZpUCUSinU9WrSVg096Vf
ZTc7E0hCgAQTxTQ4U8DlLF+uwpxTTU1YFfLhFwMX3+/rX7+hxBbDSw8jOnNWSVNh+Cz1I1xvag+B
fWtPNeAXQOIJKiU4XYIgT3oYEcDuI7fpy7NqBmVRBeg/EVj01Oo3m9dLOdLzaI5ZlSsd5Dj1eajw
QL5fX6z1ViNQhPQgQbIAmCI5u0rsnAFil6Xn9o9tPwKVcX14sdbLW4eop8Dd4DIILgzpoHbUGdQe
VUeA1bk/bHU60i9KUt8hwfXjuqD1pkMQ/FKwkuLEohX68kzFPHOnNO+isFG+FN0xno/2nkO1sVTo
8QSfCvA36Ft5LnppkLEC5OMcj4fqd7lXqbg3vPRUmIXJS51geIW/ub+rdgdmtdZ/SF4BYIUct2jw
I0Pui7op9Fpv2BkttwzjnOTfCTvbaRDdrjzACQOPU8AdcTdMaR4W0OvOYLX5uVJyz7IVz3EO1/d6
Y6XAOIUaFDwYyJdY0gXvTSO1O9Mtzs/g3/ZGtKn638aX7nZFelNhVVSczflgDqdi2NmKve+X7jTQ
/QNSI/h+fTxl49HdWZ6NqwAkA54dA8Xa6K4qGbtc4ype0pKdqfuLK7VnUYDJ072uDxuTuJQiB02b
YizqXKvYWSFe+cd+u3kLFqNLeiMzG7fM7YKdwYgxj4fGvPkJAq0YqJ4Elx+CYzLwuucD9pek7Iw+
q5wG0x5jy+YeXIwvbbGhRW3GrISdHfSD6+EQ+PleoH9PhLTN46wgBQkswVk3jyQJUvdO2+vUtqG9
L1dJRvjQno2lA9DpOXOd/n1CI/PQ5GjsYTVVdICJNZ+u77pYFem1AH0mCFxQb4feGrKZOYKwQplR
OHW2xhG9oWkQj3el9bexMq8wvtfzrSS0gPygCQHwgRAGs1l+NDI9yim6wbNzrfxKm2GfJWN9SZYC
xO8X4auuS5ihVxzHrH6x+T0fjtcXbG98cUYuxresMS6nEVc9mk/oeLoLcVyfseX3S5q2jCmfO4IF
ivOgMoKePLFbm8xjD6DDhY1gGbDNdUnZFpE1GBOqS0IEyAG+K/OblTnGR/wdqAKUjsDeXC6Rk8Rl
HuexHer1U3Wy9+rm18/qYnjZ1p+rqjaLTLHCsq6eXFP5Sxz6AEqqACGNO7enwfUNX99I+GDg+QCL
PPx86PflbBhn3ah10RSyIPldJce+8CeyI2PjUKESSdTzIAcLd096wHOQS5PG6tUwq76M48HYg6bt
jS+ZarxOHZ0pGD8xwqr9ohs7Oy7WYKlFCBxhQV+B2j/YaUL+5aWgwiVjdh8W5YuhxvX9mNZPoAT+
i2rBf/hYP3RmmzyQ5Hzj1qAqCVySwMDhqIHlRdqaROuVaU70LlRb6pWmZ9WJpzrf4v79X8gBDhLR
GdGvUZ5ebXSj4qoouE5RaN30Qc6Dyqy8l+tSVjcfswANtC6MXZCtyj5aNHYOz2kJrFhxh/Ru4gRG
davygghR/y7YiQTsRXojUaXZJRpYukO01Z79tAumhEw7Z2F11oQMpFnAX4OGCIhjL88C7V2Gzlgm
QLfRXd6evl1fpI3RUV2KPqYCLLZmy3YbcHYpUz6FKAbvjzE//E/DG9LHK33fN2zG8IP7Sbvr6K1m
KKpwL75eLvOgRWTYdY/hW+UYHyzz9u3F8Eivgklc1D5JX89YhToCW5/C/pNWnvr4/vribBzQxfCS
hch0O+ojB8OjA4Lrfjbp5/RWji6g1OHagzYIUE3UhMmdLmwlRUFlydUwbSIvf5jIHhJ9Yw4QAAwa
bjMugpzvaMtRr4YpUVFjGnmxYnhjzv1+2ItVbBxTtMnEYwFopikoVZeXwCIIIOA+q2FuB9UYuHsF
MFvTuBxfyL9QuGOvkioZMX6jPufpl6I8zumOZfjBrrJQ6tgL5OrFPiDNuKoDBIW4i6JiYw6zuJvv
FbWqjnqjsyBq+jiBrm1eksa9M93uO96W4Z3rM4UxMag887JM18JUSQvfNDPNPIBdNEGVv5t5pGno
PU1i5gNPWjwlTZK+w2slo5eZ6qAcdXB5Bp0z2A/u7PTHPtGLO8T20G5jKtlPFLCz57QYqhEo7rl9
ckbSeJrixH7mDlaYGXrTPuRWFRCHB60xccu31cHNA6eYmmPUqNOBTrHyAl/ZOHZMS+7QhJ0FlTok
iWcAJnRE7+X4tz4mw0s0Wj+Vph89C6BEj6p9Nx+qxgHAWo99VRvZaSb1TD1Dp9on1JQqXlvPbeXX
ium8JWXCDmaSJo91Rlu/TljzUpXT/B6bRv9YJqjTzvK5891US3xXadRjDY5RH/hUfs5dGvs1KxvP
zbX+iAYBjdeirOaPOjigLCltMxyNah480B9F/jSV9jOaeWh/MtcdqV+xib9A96sxIClWb3lKFJEv
Ax3pkTvx79aM3D1w9fow4tHHzUVUDgcezsTyMNYzM9uqT83QMMGNgb6H6SGy/1zXPesLtZQhH/ih
43UNwE2opQF5SvjNmhPDiyATghygj5XrqV2jMspydIzQHpWHxi+BAf0X3w98mig4Ry82WbEpZlkX
bYyti2E4uHrY0Z0Z2Fjk5W3FDC4EiN8vNEKPIq9YGy0znK2/YDXyahp7PEOtz14oaFMQYpco1Ya7
uEK79SYw7SziZpi552G8MyJ0Lf/u6nu9m7YOFToMA14j1OgK5GD3TB8G+L+oTmy8pH6gAOPS+uv1
XVm5EoJmRvRbQSEkzC4ZucczdA2p69EI59EIZif3yvGJm/da95Vmf6+L2jrAgFcCeAusKzLu0tvc
lOrQqt2ghQZ/HZUv/d314T+SKfL+o0sQLDvE9+GwSE4d08dU06JeCzs2emT6J+PDHXJIfpI9EPdd
bx4o/zSosa80zqGqHsf2K8pUPG7Xh7kIteJpaJ8K/seY0XB5x+jZ2sn/fhn465cnc24614gJZp7S
L3z2JqAj+x3TeWtxRTErCnTx3IIJaymC2SPN6VDrqIg/qdPj/OX64n74ePLiwlzABbNt1ITKoAxV
7VQdTxrOvKH6Tul6hc78EbRt9MRY4+sTC7jy2XHBchcH/XBklXvU0r8RmCTi8mdZnPT6pOyZY+tJ
o/YZbN3gaBW93eVQimPPrt3AGXtRae172W57+vVFX44vqdxK61PaUIw/8X8GwzmYenuY2L3b9jd7
DEtB8u7xyDCrAYIMPE3gjc7S2bu+gZtTwToBqgf4xgpUk4j8foxayRfTLL+ASOrcVtX9wNuf9biH
e9gSJUoNoR1BprQiHu3gfEVpV9pgIhqe7Da+a2okcBvCfF2Pv16f1vpm6YIi+T+ypLBBGWWWQxlk
Je13A7cZnV2rPR9765QhYgtII5rXCJbK5dXKyDCYURpZL9xBu8e29fYaw21NAlTeyKLjAiHzJlkP
RULRFwLvzUtijp4KLV9FwwGX5/pSbU4DqFDRAwlGrQzNU5RxmjOw574Q0AyrnoJmL9cFbE5DPCPo
UITeHHJUyqZmE1ntjGl0DD0T1CCjzWunjDt3ZY3jQMcdxL/+I0dywhy9dwHdVK2X1I38XEDNc+1g
8HOH6lN26PvOn9TSa/Lvhvvt+gw3llDULuO4IXaASjBpo4hGE1Qk2eoLj+E5eUQ7Xh9/YwUX40v6
Jonb0eYjxlc63yCBmfnp23UJG3dzIUF8wYWN5KQZSeMWEob6qLk/UgBe/9C9YoetZTLAiInXAl1e
EWRZCukjsNK63aC+OM4zS573Kgq3VskANQESrqhrhrW6HF6JbZ50Rq++EAN9pPoDjVyP7uWzVlkB
BIUvhUiBtWiolFaNMId0LuBA/GZT6Tv2F40faXpq+M62rKf0wf4m6vkhdKWdUZgUczWL/h9pV9Yk
J85sfxERLGJ7BWrpxTbVttvLC9HjsRECgdgRv/4eeuaOq1REEe1vJmLmoSPIkpRK5XLy5AxM+C4b
71IrqPlGO8OqCBQ68ASAU9lTa+7ULikx6nkGFOmA8G3Ij1m/YQCulQslDXT+LRN6kJNUfckUpAjC
yu0ZuFAnNJp9rr23zVM5vXWc25IiOZez/I4zJW6gX3OeO/OTAV6qv+d2YxnX6rsM87LAeAcSOuDD
FfXNKga6Qa0BK0gdzkWERrDbd3Dr++blz68nr0PqonWfcr6zbbBjFWTLRK6cBPw01KsXPtQFGngp
YuqoSXOHJU+TMacvbZ4kJ+65LwUICL7wAbNBc6syQXwCFGfAe23eL+3Ngc/Mh4SWd4Oph0Ot/Wxs
zJWU3qfby79WxIubpT4TTeMOhl5NMEFZ/cEtnRdvrO+9hu5ui1l86kuH9VKMcoqyAU52lLjA8/Bg
JYesfdKzd6ZPgS7cSnWtigISDo3oQGCBD/1yt2dTM1Kry/WTk/+S/Mts8michkOWPpWi2MhJXZ8s
luUAKwm8L/q41VccrYotSBhL/QROhqjUX5LFBYd3Zbzc3r51OfCsgalAh6avGFmXgyVMdzr9VKQH
w83Ciu0o+Wixv2+LWVWGxYH/V4xiZiWRZm92rX7qUxpyLWuD0taC0Ug3lrMmZ4HiOQvtNxBgy508
Mxl4pZiT1plxcr1jakZiDvw/UOtzCcsvOJeALmcDuTzj1LnA4JbHNgHwcmMVy69UdfpchmL4MMJ+
LvkMGTkJXBnxLfKX1V2CdV3g98uUOCVCTyUyqkZSGKeZvGDKJDx2f9jQ39UlgMRyMa3IM6n1F56O
lT/Q0jiJYgiGo4fM3m2N2hKgaJRZ6rnNu9Y4jfaXft+1G3RY1x3uS+fM7wW8/v3snEnhNLXZ1zjn
tnyoUT/uejynljt+devh6HjoF57LQzJ1X3jvRkzDoFzi7nQQyggn3+UEXV95iWkGbIoohg53bRYV
udiAVK9uAtIBC1EK9litP4NOP2ts4Runge68NEIfxR9s8u/vqzY8xQRPmeSOccqMA8vu6i2Luvr7
gZFB+wdS71cTYVGVKNIhMfH7nc9e9+nz7V+/ZtuIh/cR/8DhUl9HZ/YL2ZSpuTiQd/Pkh9I59CPd
jeMQ3Za05kWi3fyVqQn99eqFMvvWttJWh7WW7M71+c4o7TtJvHA0tD6QE5qlvS3K+NXVnclUXiOb
e20mc8hEgSzQ/Lu5fDCtOnCbn7fXtmoszuQobgxLHC6LetZPsnwGX4Vtf0/TP8hagBjs9/4pAddg
tB0UDTKQfXrXj/Jdb6AoJlBzSbbw068FqSvjeiZr0cmzi83z3k3kIPWTPmXRMl0wf3TrXeZgLoEU
uxlDVFIQTZbN12p6FjpigI+393Pt3DDREv4D0jDIXiovbqeXswWGHuynDZ/sA7j4MYF32BrLtKaR
GAgDZwVFfPxPkUKq1kZVCqsc6bucfWi6d9rwqaWfQA6z09uNsOaa3xrG8lyaYoxZbSXTNEIaOjzv
bQyoyEA2M5E6hA+zM3RxV9vDscpE5DVNqHvz92kqoq5Oj7plRD2fv6WNF3Z1vWEer/syLn+XasSl
SDtqLWft5lXg+z+t5C53keXrA7040twPdIPtkq2e7NUT/r33qp9IPTPLkho30yQyEpQ8O6MWiazd
pWxruOSWKOVydgDEOkWOi9PJfTnGYoyq+mhttbWuPoZn56sSmI6lnGtM6dFPCabqMWPaJ04RCF49
Gk0SyBTdxym60DL5ZJfFvivKuJ2ce1mD7YLxPUubY4NWCEbzyEqLgLGpCWueHm/fq7V8EWaWI+oF
OzcIElQ21zETfsv8ReWL+6rC/EJtb5C7vnmUDTriefJIa/ieZR1MKIHelr32jp2LXiKHM5vi5X3m
QP31U9Pu8num7W5/fvUyg6jsNSsP1Ixi6h3UazWEAzBZxS8fTjrnfZAxVPS779b0QukWNmRF3jJO
CpS1CAqATVi07mw5eT74reYzJEWSXV7t9V9iOkhrbxuf0i2Q4WIZFGuMYGrha7RAKgfusktRtMh1
36EcO+fIX403Bwz8M6WXPXmJjk6tgUeAau4nTe5vb+nKqwa5WB4sBOq46hxKdNDQJuFUPw3pwWGR
TUNrazr5ilJciFDuJhKng90TLE0by9CovwBZ93a1u5CgPJuZPjRuznFOLhiEwAADDqXhfxShvJZF
qY2jKSEiyT+27X32ZpQs5lsuc4Gg1bhArooTMtM0LTgrEFMzMxrmHTAx0dtPGqxuAIAujeRX9ehu
sGmf+9Z8KmvyPR+LCOjAn+UmQm9NoTwD4TqqFBh/o+aMWUNZx3N3Pmn+ve8cai0LZjT93V7LirkH
E/NvIcppaCWsMIqi88lzRaBVGMeBCdbGY55tGJytxSx/PzMARTmWzM8JFkN2tA19jh7GDREryZRl
BApq3kBIL3XvSxETCjBVR/z5lBp3crqHyzU8j/abk6FgrgZcE3WKBbBxlQxtOoe6gz6fpHFomkNT
HgDtuX0ka/4kqLHR8+0CyghGWGWvmG61eI6kPDHTPCZ6GmR5/6EHWmdg7m6ogDc3zANv+1+d1T64
jIRDw8PO2jqyFWuDnwGcAvJSYKJWoSm6P2geqS15ckJW5CGZq/D2Qld070KAonvUIAMgx648EWCQ
i50gf7WFHvDmrRyMUG9gB9FagoZNQC+U7UzaVAyoxIF3H/yLgZ9vWIM1LwFM3Yg5QdEBdl21OxiF
5A4EgJqEKzOA9pYda4uHlfuQW9oera6BNN47SRE0dqy7P96+g+hxBSoGAAy8q4rK94mZI2mhW6fW
2XfeD1dQpP/31kYJf+VioWqG+iJIAlAyVRmBBiAX5zo3rBMrHnnXRI3MQA7zq6z8EFXTP1jRQmmG
2WgOsjyK32+CA9mSvUVO3vhhTl6c/kNhAB3GtiAya7oHlCdwP0CVrOQJGpPQopggh7U7Yt+3VWD1
AZo5NnR87RKdyVFBsa00C3dAA9Vp9N67WR30bx5oAO0+F6B4cig2AR9lQYCe36PDttiC8F+Tgy0C
QBCxoIYJsESKJ5qNFGR7lU5OlVnoh9bum0AYfRag4s0frRR5omRu60PtVC9mOxoBQkcRtsASBD4d
tgpFy11VnDtcYwPXeJlFhpTspY3ndmJVVBvtU9U91hjcUT4a3UaIty4Cb+5StEdrt2KV+q5LgToQ
9slpxUtB0kfPr0BObO9uK/qqYgBL+/9iFKs05imdOx1iMgKuW2+Mpj/IZ2KvfktYrsDZk8szr8sc
p7JPBeYE7ybz4+0FrLj0oENceNtQ2L4OjjJjplkpDHJyushOHkgGJ2XP8gfMYtyE06yeyZksRQdl
O+GpwCN1KnszKMzQE8C5bqWMVk/kTIiiW33fSNa+CunCn/rb0dm4Ruj0sME8B+dUdRwchuL2kFEY
HJy1VWmPpivvbp/Iqk07E6EswB1NvdTqDDeVVt4Demvb0NFAQ91iGlkgSDnt3y7PRcrfAcQZr5+u
vD7Aa7VOr5eQ15EIA9wCi/QhRgVG7dux/9gwAzPclsI9hlYoRs6VYtJ8IchJq4+CHY+317F28Hja
8BIg9gE7uHIVc8spODdSmNAi0F74Fn3ImvKef165h2XVOzJbjmUgOzvHrO5Hj2zABFdiXjiLv1eg
3A8v5QmGt2EFaXkAXr4qUSE4ltoOjdlVMG0Nu9takKJnmOnBU3AFAXMmPGTA34+GAWDf4fahLB9R
LT1mz1juUq5cGJ0urRcowkhXWoycsvzjoGG8KFqDU/sv03oWXpzDDNwWt3Z3ULoHYhYR/DLg41Ic
+v0bH4RqBMgTExD8Z2fQomxkGFS4uy1o+dD1un4LUjYvAbd7UZsQJNGLd9+y6UNPwRqX0+KZI5sR
ebW15eus6jcoAMAiaiz/Kve08ttR5FNOTtMUe3SX9Rs+2/r3CWJUJD/Q5KXcziqfFhKrmZxsehBF
4I8bW7amb6AlhAUwFx1X7yeK57VXCGGerHHfl3uUJPJiI6xbO/5zEcodLeg4FmgBMk8UIxzmaDLv
K4q+iA0lW9soMD4Y4DTAQF4U2S6VrJ9TUFebpnnKu7oJMsOaQ7+rt0CByloQnGKaArhoUY4FjR4C
yEspOc+mSrqaG3ekc+4ok00w0zmJiDs++xNzNl6d14TamUb/I28ZAIg1oWSoAnxTFDXdHmX/GLE3
/WTbNP1QmL3x5HLL+JXNfhfh+bC/dDUy83Nlmk2gV0n2DkggngdDazR3os+8d15mjREDifldTfU+
FBo6nNGt2ocAOE3oD8ndkLbN+Ejt2ThNpEmDAdXa0PUT/2td2kPAdaMIWj3byiso6ve6vqW0bSG5
ByOrxo9IjqTc6XIvzoaob2v8+l3ufrptFdZlAJm4jKxHJefqihInAbmnF3u9G6b+tOf1Bwze3dA/
xfb8uxLwFGOkCYj8VVKNRk/6sa6ZF1tzE4yUHJOUvEeOa0/zTAsMV9t4WNXQ+B+B6GQE7hEJEzC3
XKri7MG5NdPei/VK+z5kFhg8AJ/P+UnOZhsUnL5D112gNxqydOSp8MuNa61cuCv5irHNyyTXM3v0
4qnr74c8fehsdyO7sHbbMHJ3GQ+K2v5V192YdnNjQMvjBIwl95pvNh+nqvcQD+XenUUnsrGnq0ta
2DKQhcJsbHV2WmYO6CKhxI8NVE7zOWSA/N3WxS0JyqYVAnwiNXB0sTXtTWenv+21+OdMEDCACxJk
KEgsXOoEnabJL2nlxwMfAk32wa/bP19Nn/0jAJOzFspU0MyqExekpjXV6E1o3CoPTnrf/3LLB/TR
ZV7QyN34VyJ3okKeJtK+3RasOGGvcoFZxcy5xUqg0+FyYaY3m11Ve15c6O958mzan8hQBTUo6WT1
dZz/6rdUbzkI1fAiQEUqGi4L+t8Vo0E1H4PCOPPjEjWxlCWPpsbvK+6BjKKRQ9Dlib3Tki68vcw1
9TiXqpyf35SUt1rqxxM3PnHZf+1Fs5WVXt1KIBgXLs8lZ6d4FGVCWMaReY8J+vzyBDO0OQu0+Rvv
Tj156ltQoEw/bi9rzQKj5IxKH2oH1wmh0c0Gt6Y2LHD5QPKD09xh/vj/JELNBdVdO3KBFFucMvaX
3xsfG92fA5q4b8vX/aOIqO0hQ+KhOUMNNW2eEZGjnypGAfOHZYu7cshpiATPT4P5Q5AIoh9ur2xV
Ez3gC5ephUiOK6ovgJWB+g9enLjJtPOHTkY+eiXBJsd4qHedvkunGqxjJNkqLK49aRbyurh4mH4D
KOXlpUuKOpHmROgpme8aM5xo1NmHJr9ziz8wW8hIYsbZkvwHtOhS0DwA1D2Ihp5MYHCsB2JvpJ3W
rhU6OdCDhu5tkKQql7n07LYpZEZPpHrQisjfCtpW3in4/qB0x+BdIJdUOjCmj8jV1akbD8N0SAcd
VR57V06nbnr7g4hA2kaoDkOIXJ2iC0OnNUY9jE6ciDSoDHanT/NdTx6LIrqtdCs7hgIJ3CUcBpop
1R3L7Jrold7Zcc+cANzXvtzKCK3YBPDvLnR5S++GYSkvYZOC+mpmph0Te4xrK/80as2nrqje7qUs
HJLo/gVR2wrmmuR9NwPaE7PxobHuzDdyyiz2YHFMUCJA/GTgv5eqm9UGL9sps+PBinJ5qLZYQ1du
/8X3FdVlaS5MG0OnY33cVd95m+/ahoHlAAhxZJ+8Lazp2rkvgxhBqba8smqdD8WWfPaYT2JySNJj
mW/YslcFVZ5V4AeAHvCQfbj2xbW54gI96SQ2Zq6/n5LZ/4Zp0egjJ/Vwn1YwMWixRxKnREhg8VIP
0TzqH6pqzg5e7+HFb6zyUPvO9OiPpb6h9GsqiR4mFAbRFoq8/LI5Z0ldjCWt9dntSJyOHqj39KOd
VlXkasnWCNoVwwrsCxqykPEEkk6NVXmhM5E4JYktcNtDSIC0RdggBDKyg2tuVRnWrBPo/nCVUVfH
iHrFjINFSwouOYlNLQa3ARKkaeCRz5t812uqCogcyliAaWB6k2LFPa9sSUprOzb9jxQ9y6b+btY/
5+Sx0h76LYdw7axs2KXXvn77ChEiaF45tV/YsZ2OQ6jpoL6xs96JnNrV3+6UueeilCsOaItjVjyH
CZk+EvHkO1se2ao6oIt34cbEzqk+BXhTBm9scOnGwqt3BOyVUSF0ecdc4N2GwXYfKW28jau4KhQk
WAhYwS5wDbflRe9NSD7HYH2KkiIFCHqXEe+xK58o2/D/1jQD2EZM7iaI9K/mLNimaMu89ey4NMtf
hIqwdNHP0hjPxOte5Fh+SmqgtW+/YGsKgrjYg5HxQO+nxnKa2cnR59BGkFoAvxYb5hHj7jcsxpq5
dMBXBnVHgIrOnkuLUSa8TMfaJnFbvgfTROBszThcXQUBDMZZ0GRXuIse+XprSl0SCzPSq31tBpm/
v71RK/GACwKp/0QoVo8ZWePOKFHHPSoZkmuBlrnR0P4a3PdD+TLM6cGfvt4WqSIUX1/N5fIilWbC
CVAJskTWtz338QwAHtN9mKeB3mdojTqgF45EtqgwvMRJp2Bmsx7OA8bpNl7fvm8qaYI3gP0Urpji
PI1ah+6rBhTxLE3cgxjbHCV60yuCwfO6Nw5G+/c3o/0QhL6OdTW7h9iD1bhoOo69aachArSOPrJm
bjC8kU7zH0HIDMFZRbPbVcmEDKwccwp7ndYsAMsKD0BntTWXau36AwOAl97HgjzVwTP1ytTcuifx
rH+RJqyO6wdD/ZfZiIAZWyQQq9fkH47N5Zao/jHK9L2rjzOJ9fmD596B0fG2Pq19HzQZiFJQAFy6
li6vYVtQnmomnCRNZJ+bfHxf6FvIurVH9FzEYuLOfANKJ73T2oTEeWOiTWnQ9tSBsYQLu0sBe7y9
HhUJ/aoCuNlAdS7dFlezJy1LK5IU2eA4bVMnrEDjYGndA2Xlbuyt71phvct4vTPL7Lmfy4161+pK
YTYRVsI9wXldrlTMXDPGRofsasGjNBgXq3VwoCtijHsbLD4bj8OaiUO6FNNLwGIIY60cnrBJ1xVi
dmNNN4I+tQ6jNAPmT4fbe7qmI7hU/mvmHkXi5e9nB5hVpWW0TuvGTh0n2rvi9AefX2b4IFFvIRZY
dvXs81NtubTA0OuYyEMdlVucGq+YbdVxBi/ef99XdsmYWzcnDN8vuF3YAWkYB2mJdD54zCAsEFli
HUAjJXmQUVYf2kRniHN5Eowu1cJa58WhMDndu7k7hrkBWhnQWg1fnaZhJ7+SLGybcrqrZOUf0xrJ
Q8sX3reqoMnd7X1afqe6DgyQAV/Dwgd31QOVurxCw0bjxb3Pw3wGH1BxErRALTC9J2yLv3JNl5c2
RkQzmFgFb+DyVECBpTdtKr1YVEfiP8uHrDiZ1vH2klYUGBWhhfhgqT1duW++aAxDmKgv8OIjsJiB
CXIrslWl3xKirERP8x7jahAVmZQfyHyQA+oY/sZKVu6IBx5JPMmYcQVFXlyFMyUGy7JntsJ3Y4Ch
P0u/jeyCbk3f2JChJuqSdDamZvbceCqTj2knH718/nz7QFZOHcsAgAZcsagqqV2yTmanPWmwVwX9
bJbPnfuxK5+zj7eFrK4Dw318JFEX+p3lwM72SnOangHQhXUMAXhL30j2v7wAqGYiVsYzgLKymqVN
UZibvaFxYolJcTKqnI1M0orXd/F9JaipjWoUSF048SCqfenyh6Edn6aSR4PlvAMJ54tn5t8AnN4Q
u6ipev2hWgh+EU0v3aaXuwZUi+lntPbidtzxMtLv+FetDkBzmCQb/v+KEsDV+E+SqmdMYx41itaL
/Vo70cT5mNjimM7WB2bKv2+rwpYoJcB2rUSjOfrfYhi3oCjsaPZEkIEIL5N/3Za0onQXi1JOzSjN
SasYrKe0I4D7QRN5+/urKwEafpl8i+HqqlLLcqitOoEp65l9X7sVWGt3fWe/m1LtTxThTNLyS86u
z+Rklj4tRrPtXsoS41f9Hx6ZotqeA6v9m22VB1Y37kyc8nx6Ca2ykhQwCQ5Abu4SMWzYzhUDjdaU
31unGGhbT7j0JYxOlR+lA77IL8WWE7C1COXypEyyBjEOHprxye3+ImTDRdpYgsrjjxdhcCnFJgn/
M0gm9Qz97MUWz4aKeX31bc82SsWb8brxmlZWyO+1E6I38Zlg+C0gQo9DZXzUve4j8eqfItEOlp3t
SOu+q8xhd1vN1xe6FDXAPeBcIQKKMS07z5zcWKT+e1a7h9RPv4lxCyyyJWY5zzMdT3NqkVaTAIv4
/WPumz8AyUbV19y4Sqti0FT+ijxA+7CiFgZGkZie1rtxln6psu8i/VVkGwWaVbsAIMmCNQBQUKXK
YxSMIHRIvZhq7+yqDhybBR77ZBafbh/MGqgBaeffgpRblIu+G4kAviaRTVS3U+iBTaodPiwNOqb8
kvJT17tBW5V3cmvs9+o2AkGK9BSKXqi3XZ6WQzHYVGSZF5fJu5nfZSRkW03gqxf4TISiEGZuOFnV
QUSLURzDgdZvmxD0z9VCQI9hK/BLrsbSWAWYblPwycVZ4n4TbPhiWsnuT04IPskiBTw2KuDNbqkw
LFAux6n+LU3pFGii7sK2zIrAQdNsB/pi6soPvNLuhrnbT3P+fPsXrOoiHG6sb3Ej1JaQwswQXtjM
jfs6qO3I+VoAcbDVPrPiHiE4+S1EedIToZeuRiBkNHVBI30Qf6EXoPxSde74pPl6/1LO6QjS3rZD
b2cyb8Tgq3US2CdMo0BaeGm1u1TGAogsk3HhxgZac2mVH9zBiLqkDw2z+QSE5UFS+UOk7G9rau8c
N0P7yHDv8eE0mMM9771ft/d8LWoDSZX/CozB7VjuzpklG8d0xuCpxIlnrQfnMO2Gx7TKeKyzVj61
1CeH1AT38R8IBRgHxB4Abl2BWTSZ5fqk527sFfeZ9eDVESrthBznLfaetcOGTUMLBkAtAMUqN5/l
ZVngRzixCfcqyByxL2zSB6wcnuZh1nfSrPap0R9Bw/L09iUCrAOLiiNe5v9e7mvqe5nezCleiPJ7
R36I9p3T13vHP8otx3vN9JxLUjxHNie1U0vNiXMOatxwdqPbKzHWriVataCuaGsDwZzyCulJMc9F
bzixWwguACnOvMiQTb1rMvR6zLR+xpufB2att7uR6sW94LR4HO1WnPpxGO46RuWxziwRSk06u7pw
NjI0a/b97AeqAYFDmeaYPU5ZWuy+q6rQBoGvcP7ABJ9LUU6U5kauAeaMCj26MLvI2srbrq4Cjzws
vIOig/rYFy3RE2rhsQe/3veWJPegXfuadFsZyLULDwsP2jswrAPVoCyjAFTS0Rx4SL5dgdFIhFTI
942T/DDK8avViDf207y+XOfyFPV0O9/utMlA0nHWo4RX78HIsOHdroWeWAyyw8Bqg3BTsWGIsjvw
13kOQEghS6K23o8O+uUDs3mwtuKo1VM6k7VcljN7OUgrk3YJeymAc0bzlmPUobnlrq/eOCS1lrHe
cGTVui5mhic8zZDR1MRdldAAU7iONdMCayjubl/u1eUAVoi9QzYNRbzL5XAMLpXcHt24sqYfQqKE
PLsfAerYOKENMerLjj4oNtUNxBhExjXJwDfi7dBA8un2alZNoQtS+AVLiNHSy9/PDicr86nJLACq
jGT6mRbVo1mQDdTJ6vU5E6HoWt2VaKGvFxFIDtmhl+807bGZMFtgIwu1ogM4fJTcgabA+6VSPg1U
TiNqY07ssCyQOPt2j5pxTT7f3rKV9UAMAanFMnfhCoaeGXlSt4I5iDz1O2QPSOAgh27Ifm/R7mjN
YgNlt/aaLErtolN7aYJTC6s1zfVe86rFjJpPxPwi6I/00SnmqHYd+oS+bXrfFdQKZr/XQ8aNmGNG
QuKwCnx4hf7S5zq/A+PyVvJyRUNR5IXOIJmMDfcV1TGbvhYL02ZsOg9a8g3U9qGFEuAfbDYo8Rb8
LhKYvnLbKLOYCRQKaE1tjD9OreIw68XnuXSfcQr3NgqPt+Ut31Nych5e7X/luep0FlF71cwEDGOa
w4WMvL4LRB4yN5QeC7IhbOYNc7JyARFfeWhtQ3kJfL1KkMeRRM86d4IvglFC4BbccKq2Pq/s39Tl
bqnr+Lzdf53udfdPPo/CxcJGunTMKbbdK6uh0TV8nrsPfvUe5dnbx7H688++v9zFM/M0wl2SbYLv
F3emsa+z/e3Pr522BU8XbSyo/l61tWP0iMbg1NpxW/AuaB0vyub2G2g/duU47MpK+2l4uR1qw5Zn
tGaqzgUrd8cffSR8TAkQiGDhmPfhYIuQmD9GL4luL3FtB4FcWXgkMDrj6rnKy5E4QLfYeOmfwYXi
bzxTG59Xn6mx5uVo1vg80zEZPXMC/e1wVcRaS6IXhg+mXYlHnNbsBtmPVkxcEG21gJYebJlv9WKv
nQfsK3rKAAvTr/IdHU0ReQjNik1+KOb9WB/N9ohC4O2zWJUC3D7g34DIXqmbAcZpoxgqMxZIDEyW
e+dxDHSftDZCMWvLPK+4eEhco0ULLyEI21QcMQMiGtxDnRm30krRGTDec8v9UvfVtwag7aBw/DRo
EDjfXuLajUJpVgeIAqQHQIZcXliek3Qi+WQBei4eauA0PYGWAYu9yEEbwz6rvlo+MvV94b+x+fC1
SAS03dKNhqmJUPdLyeg8y6XTplas9/0nyv2HfOYbL/Hai4eEHFjpwNR1PUy5zKa6oB614rI9alIG
iRb19NvtDVw7tgVrito56BaueCWHzAcuwK8AckqRVQiMkf/gfp0EZumUv8xuyo/FSNMoqSx9d1vy
6urwlENf8O5dlW5L8O5ZQscdMNpp+C68Znr2hIPBS+Y4b1yEVVGvQCvUozGAQXmVitmRpqvVJE7y
6l3m8WNu0PukYhuZ2jXjBKQN8FyvYtQcPgr4UyNoAzH8UJdhvsUAtb4MwOjRjAMmEfWKGcxtq8nB
9+fmXS3v++TFMz7/waFgVgziNHQdAC18qdWeVmZthdpqPFTNs42py36W/F333v8mRmUBnVHnSsbG
sfCOg/G1Mqm/l3jxkbSgzkY4sLppv1f0mvU+e9Kpo/czLT0rFl1IbYoUEyg+nA0FW/PRlxE7/27b
a93lTEiL9HWmyxTQ6swBThARqHbkbkV2su3zUOfA8YzWJvRqbWnI0SEsxEwkzFVVjN/cJsWCTyex
zncaOdL0Hcs3UiqrIoBFggQ86ABFXeqD6GVGJq4DvzwXX8ekfm8VoGhnW90uW2KWl+xs/xwj5dSu
LBJLjdef8oxkEZrxtW/jbPS7DQ038S3V5UZDLzI4MKn6FUXgZOjcsmhqxy46fgKMKBvAvZi1Ye3a
BcgCU1Y98lnKfVXWFdgfEicUAiM72mTIcbElAM95lx87V+O7KTXsPhh1vTi0/VSFZqW39540anDz
dWMwu31271T1iQnMY8NEnnzfgenlmKLdaK/nFrq9qj7gOfpJpGPAvDfOj6S1qjKw5y4Jx7FyAjgk
S+f52IcjeCl+atwEDLXSv9uarn1FxGjuNCrbx1ZOcIZRRCT7hKBTGAl0I1gYlD7aCUgnWUaziJRD
d9fYVbbXh2QrabVi+4Dex7aiOAF0kRrYa7mZ5qkLGKAwdjJKxcaprbgy+Dx6F5YhGrB/il1qRlEA
gTfZcd0+6vRUVQ9tc8z4ViPx6irgvSz863ArVDBjjhnRLhpP7biwQmcKQGq7oXzXugd6vQVPjAAA
8FtFz4e6ZZjB1doxF+/d7vM8B132dg95ybQBrbbUZ8BPcHmV6g61p7YFOJ+Tj+bjwN7uk4C2AqAY
fyFwu+p8lqng5pRwO+7oX/WIUYpgyTHmjTWsnDasKVoZgITEVqm+VVVnU0s6nwAL5UeWxTHOsUFL
rRakIKJ984lciFJOhKaU1P5I7Tj1w8J51yCJYe5vi1h7HJDyBHzQwnKukF0F82dWuHi2q6F7XNLT
okpS8N3ZH8rBI/vS9jYqWCta7EGBUSTUTQ/jrRQVwFzltO01YsXAzb24rtwDSfb2hP6FCGXbMDIn
GYbCgmtqGJE07Cd/Mo4LivH21q15pz4EeQ5oHxamnEtlnkHBoZW9a8XTyJ87Q9zPzXxwOAHan4qo
S/s8AFX8Rk1/dftgOpFwBdM2UTOus5aa+ZAhpnD4Exjh7H5j71a+j5HRsAJYGcIWtaBXSNvOe8yF
iaWDlkuMN2vATXl731YuECKTpUaMwQ7gFlJKCNWU9Fo1welxPP9Hanb6x97iYscFWCrJaDhvD5pR
RUMFz3YRAF7NZRy7FoNtBzRvuRZIok07qocNs7O6oDMJy56eOQijhnFgYwEJPU0wptc/9hrGqPZz
6Pbllpu9ej4EXWgL6fhC2Hcpy9eqfl7c7xjDzWpX2yX2G6daLbEjfIv/JKiBQu5I5GEweSaWLHlJ
HWCKp1F88SZYudt6sNx0xdcBshu3Z6FLAweHcn8wXWlsiiSx4rETP7XEwKwXUKoH3Gy2JC2bckuS
ckACDa0zJuNYsfa1Yzvy3DLsXdizSJS7WW7c0NVlQXVh22DikMe8PCHPrdCcM8PdJm33TBgmT3NM
BJbexmvtrriKkAFq58VqA5OnXCNizg2o5kYz7iZQaEmdA8RMuI0W0LaPs862I5Bg6ZhfPFtPVtb2
n2x9koEFp78LnIZNQeK49TJOOm3+5sD3AaWRDHvT7qavhTc54cRa79ESTXvneFr1CXPg89BIE/ER
55Y/8Bm2lWStHUqrpsduSMADk0jO92ZCygdMm5jcwBWlG7qUOEfedM0HW2uKBz9NaCTz49z1dw0a
PDHvwisi0A0cUpDJT0aIEd1TmkSl4z2wtCbv4A8iyc1FE+ng1nmilo/GB01vHgxvsE9266W/4Ad7
O9tn7b5h47xn9Sgj3e7tZzHC8e2dOgvhVbm/ZLUMe6mYGZii1yJC2mlnJV6xB2g6e5oyy7r3E7OJ
OnDNbhzXmo3AlACUY5B6xIzL5TE5sxGknlmNziV0SwDS/lSnUcl20e37tCoCbQyg3F06tF9LJ2ci
2qShxMLgw9hJdi6vATLNAs5+DOLltpy12wQmkf/kKArugoWMoi3Djin7TAWIhXez2OVsDLNJBIbo
UCjYyt+t3alzkcruAX6BacdgQIj9cQ/woTPv02F/e1Xruwc6qqWxfWlVvTyg2kZGa/IH+I46Qp6s
RtobdG7zyL5pZIv4SnG6ELIupVl0HyzzUpahxJey9Ez8H2lXtuM4rmS/SACpXa+SbOdaWbJzfxFq
ydJKLdRG6evnsO7MtC1rrPG9aHSjgQQU5hYMRpw4RwM8J1EDBEibZDJvnRyhJJ6XXhvzrWbV3uWx
zS6Nf9n7F00EEoLIAZ3aG8JIMUsaqYHBvPitXyPjnU3df38eLg/JJTxd55gk+GtnGmmmBtYYha8W
E9qGl5whOhl1xXOMwVg5TIvjkZc5EtRIg8+DlGFSSqprjQrhower+gbM4eX5mm23fw0IRxXauagx
nr0XObTqi5YRNcgp8+v4exiDxONKboh/GYHzBr8FoIVnHfXc6lSlGEzMWmW4ZDJ9LSRbPXvSmpUA
aGl50HgNPQV5s6N163T1m950RjvB6nc9zb3MyF7UAURQKoUQo5bRNaqapc19bE5O7pEbwsVjpqyT
5oyP2H7J2TbMt0X/ojnv16+SDHUkwbTkRJ1dgBSMsRkS6FAd6t6t4TOctjxZyTAtT90/JuQdfDSW
WoXY39TDhMVvE2dTTbd6c4te/MsDmTnUvzvheCAzd0CLxk7R/aQGUF+exDa6jyt0Z+2S0NX+hGs1
sEVj2NTIVKA95QxAiHSR2mrIiASsbsdbgvjukJLGApsso7cGWKIAnqwH0wcJfkrcMBRrgLDFOQWY
GbwDMgMwP7zgasrCGMWegEbdY82zn6IJIeYBine3X+VNWjrJqMX+rzH5Y44WEPGDZYxKDs/HN/x3
kd4gf3V58ZZ8EQIwwMVRuQYYcbbd0XQ3lY70rb2xT5JvZnl7+fvLI/jn+7MR5JnKSkZSNcCDym3U
37y4Gf8NMTy8w/6xMbvR2ZhOjdPDRhNOwhPG9IadL1N5/dt/NpjZPd53UZdSE+cJoKsdOP1dXen9
RPEvW1lbktl1V8ciFZUOK/DveMA21g06V/4dp4qGbwlARYlonoxjQHJVvW1RbCw/elSIxx9FtzKO
xaU/sjGbLSvklaKAuQOyap+x2Lb0puv/XJ6qRRMo8iIjJ/+Z40xB/hdltMRUqfldEX6USF6QIVw5
ImtGZl60atWctlqIcRhPhDtuKjZ6slblWFz0o5HMnGja1SAvM2AEZCYWpA2up5LWpNoX4kPJgE7m
vYNhQ/pUDIYWNIjg+Y+BrAUd5wPQCDAJaHVG1oUCAnPqqiaiQgNKAeG/uJ8q0y3atYr7kgE0wUOn
A2A9ZKlnxyKko+BKZuiBkZKNLTIvXkOnn7t2iP/ItzyS00i22+R0CLUQeJMKsNZr1Rg9RAN9AQoD
Qn15uXd4shIEnscZePxCS8lBHoSiJ3224FE4ZGbWMT2oW3/KPvgER+KR6FPT/MtnZGnecJJhA4Bs
pCrk9j66Qxo+xk7CWz0IH4G5D4sVB7/8eSh4AmOqoUFhNg7Rqk1vpCDyJdl9jy7t5vBv/Hy0DBDk
jLD683w1L/rQUBJTD5rRy/tdqwaXv39+uiW6ASoFUKqXlDGzMCy2cgFiqNgIkFJJ8xvAXrLr71iY
AIWDJCPRzpOeRgkF5hrazwFlgj5XiTN8KgJMqpcH8vfZdZQmQhwGknhQV0olG+BrjNkBcQoKdpB2
pIEiHLeF5AISpT8E8hh9+AouF9cWbMeTu0Y8jRNkgarfeXddcvzvLwCvA7LieHWcP0Jpr1SRoSsk
QKGM7MpEXYk0Fw4okF3/+/05Qmkqp6gjakwhpDNuo6bZiCIGzhlpxPA6uMHfkYDYHchQHfUqtE+c
HhqjmrhSFri79GbcfOtqsbm8WAunBhQl+DpkKQB4N2Z3CtWLtEyGTAsU+6MPujV1x8XP49BjSwNx
d4Y8ASsJo4ASaYENIdjhVb8+4gKJxj/fn/ccNFFeWCa3Neg6Iiv1ADlH91piC7kEoJ7TkW7CKxkU
67Ml4MhoxAYdtCDDmUzQE7D2gj0/+YA6oqkDyQz4FRz/0zUmrdBaWdELlHwLVmkgdJLIv3aZYQLc
LaBQQAHXnqcWojjM+0qPB8hpvIQxyCjalQDo/ETAAGYI3fQofoKc7HQMVmfEurCUPtDycotLykNd
vVG2ub1yHtbsyL8fXSIVRI4p6kV9ECGM5woKh9U2NG4YiveXZ2xxUVBYgYIUiOHPyh0tVVku0BkL
xfHC5y351aMvUjPjX/+ZGXmAjsajgtp+NEAIFBStvtXA/ZlX5U9by39cNrM0bcCxIb+NZhMAEmdb
jAIbY0xV1wVpGlhaAmU85qbG6Df8eu1fPAURHCGch7vCmT8dkNFOrdlaWhsY5q4Aa6NzY0ata4N+
Mvoxpu+Xh7W0SBLAjUvfMDVkAk+NNUabITmotEE93cRWkGc3WrNylSyakEhkZEjIOZwXMAg17+qs
C2J0q1ZkLxWd7DXkw7IRSdCKkhFwcjMv3ADDmBFdbwMkltCkD1iHYa94gCUTYNIAu5asc5yBvkis
9LGiYz/n1TPapd2CPK1yqCztMhu0pngAoU//LD+a8o7mYOwY4I2zO6vSvzmlsa167leGvRLtnUet
sthl4B+ZLzjLlSaZVSE1k4vAnjrXYrdDgsKF6mvDM9gbrn53ndqavR9D7rQDRDlFoA8vtv3KQe9Y
J8+Xd/Ly1MlNhsQvNEZnO5nHGRAXNaYuEp802Yr0rpo8e61hfs2K/PuRtzFoVNAUHbaBrogdjfq/
WuyW+o00K6Vc6bZOQ0BMGfYZGktRWz3D2AxR58QccPQAEhEuWiPdfFwJwZb287GF2aIYonKy1OEi
4NovUd6F6W1trDXNLUSyoGVDZIRihjyW5my+irDldj6CaJiLt3h8ZerdlJkb3UGdMErdjr237D0q
C09R77j6gOaVlUH+BS7O5xFAezyWoIaBavLMb9uRHae9pQ7QyKvee0u7Swt6AILpabK1jTaZ3lhr
94bMMJqQIZ5M/nF5W/4fPwA4efTQAqIxTw5XBpQUBxU7xub7Qv1D+97nbFsrt6R7s9NNV9209EHX
rs4KYd6BCfofqzN/WIzt2DATVkejcmsERrU/Jj8jY8WJLB2HYzOzyK5O885IR3MIavvdLD5A1FNB
h87aXp7DpbNwbEX+/ejQqWNpxERacazUjavEjT8vG1jyhcB1Ax8qWavPUtGcTSWoSwZsEp5WHhGN
H035TnHsTUKiD8WK3i7bk0frbFPicSfvEcAn5r5Kg58a43AagrCW/ca3FKw8nbilg+qrwG7l5eay
vcUJBBQNjMmSvXV+OzpMS20tikRQvafhi26uhGDyOXo2nKPPz3ZBnoSq3Zf4PKm+Fx0IkiM/ho4S
SkpuK1mge58oK3jl840H1AlepmgKQy7h7NWl8ThB+jYqwZf+4gwq2Mw2SaR5VfJ67czJdAi4TZGn
0lHom209peuLDoobRVC65hh5Dv69bOB860niVOR0VJTKtbMW2SlWC5FOYxHEW4duzD/OiHrYJl9x
g+e+XlpBagdproV+I0XL4ynpYSXjsesCJ+GuVZLPt9iJhfmDvsz63LClBWpvcxAwrBFSL35fd2S7
EcqUwAie+oC40ZqucibMU7pnnraG1FtcBtyzaPej6FWZ544mZkxDrA34vDW6LAEquP9QFJ86fok3
0uUlX1oMDWzvUkoY/aPz0y+GHLyacVZAx/tg4TVRbOy1Bs1zB2MgeAQTDjqSUV6bUx3w3rCyuB/K
gCSZT7u7Zno3rAqPiG6TFFsFPL2Xh7Q0fUf25lmE1OxEJfKmDGq1d2nuuKWRHHTmUJdU7CYq2Fpg
sTSH6PlBMk56gfPWMDN1jEInRZCS5E0VKcKk1BvzNebhpV0nM2BSbhTwSn12jeppYbMusXD8p8K9
HeO1fOLiMPCeQBSOSijae053tdKPzGaDUgTotAN+3fqiRVq4IhzWlN0XAjHZp4zXONiX8D9zMJgm
VLiAOC1xxeVuW90q9W0xjS4xATxSbkzztmHPU0fxI8A3IJ7yYnP9Djm2P4829aTrign2zaz6wXX6
wMK0dQF92Ea8+K4XznXgN+SccJnr2PlwGEim2vICOY4Z0jC1mzFqgjgHlzdHkAXujnRl2y9tj2Mj
8lgcGZm6rGsSASMg+gdJYLi/PGcLn8eeoOhrg/gEbgf596PPN6PWoRDNeGC4CSpVa35o8fP4uCqT
WuSsnBA7OZ/CYqwgfBm5Tf9WroS+i98Hoa0sJQBi5MwOD1fCVKQc3w+rV7Yj6cvl2Vk4O0iL4vrX
wGmnn6nOhCG1oo6lVeB08dYkfJOZT/2aY1saAy4EieGXl/Rc5DQfqqZGsqwK0uhHC/r0VqwEMmsG
5N+P1pj0jdEjeqoC1Xyr9T8OPVyeJbnPT2MzWZX6ZwByFo++nzZ9PBjtUAUjmHZ7YydC6PHdk+r9
spmFC0A2z4J5AbzMAKHPQsByYH3ZTkYZMMITV3C9Rm9kHKC8+Bb29rsStStnY3H1bQhpghUJLm1+
w4G8s8xbm5aB0ZcjUtYo9UDe5l5x+BqfzdIKoeKKxmDwzoI+aOa5xrKq0VOj1kHS+eMz2HMvz9zS
53UNWwvELki4zPO+TpjlzDZxSqIKyH0xMrEvuzjb/GdWZu6wiMceikzYZiVR7rJBh/LeGj5kYSAQ
YUYpBFEs2qjnDHyQMKQg4FPbgHyK5k4UVydEUDs4+vxsGaYaDiZO8HlIaMTghN9dPUFQtkDzCYiL
ZLZ6dg5BwYi0To3PR59696Ep8coyL+xX3OEIxUCZC6Td3Bmmla3U8Zh3AQF8naBmn0O3ZQ2/tbQE
0PmBjhlcIirgs7K3lRClrwfWBQzEBdkmRL/e5Vla8Cao3yKXj8yCzE3PFqEEo1rcGWEbjOa9qO4S
cT9C0nhNXmBproC7kd1ZIHc/Y5By2qaOUgVzNU7MjYqvRv1SoQF8eShLc3VkxJ55rB6AltLsMVeN
8V57XbFy+S2MAXAvPLklzTNWfLafABOOeUdoEyjhLlXBUBJc/vlr35d/P/LrtCI2Kw18v2ohO/k8
aN5UrbjYBZ8u29fQ7o6tZJ4tA2i8HSrsrA0arDCno6+r700BCuZ91L1dHs3CYjgOitpAn0pmzTmI
iTScdqKoePBOnSAfV+bq/OsAG0DJCFgZ4ALOUnBdA+ouNSF6AEhzcxO2K6HmwucRnuEKUhHrSLzJ
bCkm1ajiQmjw4CBv4Klrbq6dHeSzcTVAzRc0AGcMFR1RLIFaEwAm0dddH/++/uvoGsUmVVFlRpH5
9Ofnfd1SmqKDYXzMm29oq7j68xKnhLZUPHVly//p53Utt4YaEOPAydWtVkyv1FrTPz/3SiASxWsX
fa8Yx1kpIy2MJtHBZ4W3jRsbHnf8kN8Y3Uqkdn7i8P5DAhk1eNg47+lM4pYwcIUEdhttcnOTWmSL
3pCrPSys4ALFVEFT2Zp3JdZ6LexQqVWAWAa3tG4V6JWOAdFXMp5LU6bizSkZrCDhMgf+Q+HAGp1o
UoOSFjfEwEtwivJvyLESl0G58eotgHQEshGIcyieA7Nbw7ajOFfCRgkst+Bvcfh6+fMLCwN1cHSp
41ULiY6/GfgjV5gMsV3TurKDpG9fuiyEEc11qPJy2czCMT8xo55u5ASMmyOzajtgaunSye3Fypos
GICiG0EO8K9w97w5ojNbJ8kpDqLOf6nParby++Usn74EcEIA6kNDv4qLdR5ohuDsMotSNQKW/4ra
bfVOygehbsm0TcSfq6cK6/1XKgzV47OqMrWbJslqDUisDYnu0uHm+s+DOwk+FxodyNjPwpzJ0OKp
J4oZFJBhQf1kLVu6tBDH35/XjBKSjoQmVkAPPMzQGNatxB4Lpw9hjZSuxGHHOZc7+mjH9k7jFFYZ
0aAAu+NQtm4WoxGwYp6yRhy7MBR0ECGmlZ1eIHOYTVWaKawZq5oEzV3ag7J6pcy09vnZTPVqnSZK
1pAgc63QTfmKM1z7/OzIVVrCJSsICRLDT2MvWdOSXPAcaGsHaEDqfJ6TBtZpZ0xplE4B6/ZgKNSz
T5Fe75xwdSOrjMhfJvlnSz0qVV8rJQfkOLXdBg1V1nini5VlWBwH3hSINiE2ecavHuskm8w8pUEL
5qpMBKLRXKt/vnzqFo2gyRP3H8AiKIqcbtpKszsl5SEJKvY0GV9hX3jGGuxw2QbIvrAsoAGw5IY4
Ohhd2iBFaAAWCAr6KGvB8PE0qO31p0/mKRBSoRSCgzEbiGB1mIYZaNdI8adUH8L4NlSAuHq5PF0L
e/fEivQBR0Mho6Xzso5JoBlfJfmehdvL319w51AKpqB9kHyXSPKffj/OU4DD84IARL3X01eluXXY
rQYR3Nao3WKt/2hpNDoCH0Ad8aw8K6MPoJSwsi4nQdgbG2tw3sZubRMvVMplxhbAdgu1a7wFZoFo
2KO8WzNOApWMP/mgbjoGJqIprG5yFLFjo76xhb4xS3OjojuN4zZb2RgLuw9NDMD3ATaOeHKOFUCz
bkoU3ZkCrrwY46MW3+b97eVVW5pHVBOQ7kejmFy701Vrk7BSikidAjO1HrS+/RY6/cpbauFyAeAB
GStZrziHWdOQmhHPpQmI5THNrZzCHcb/h+DToiHkj4FTkpH3nAGgxSoYVT3A+ZNyctFhrbtkFD50
UxKvqsTr5ZlbWhyU5uUzBXkBSFmdzpydFHhl1CZusjLxjB4JlOQQJrF/2cr5mxcBxZGV2Y1jl4li
cNUgAVOMRwbeobboYO2HkrQ7k6y4iPMh/Q29gfpUgcCz5v2QLecRT0Q8BWlXoVJOPaqzjaq8Xx7S
ohXQ6EjeIdxzZ8cqhmYWy60xoKESuU48fZ+GwnSVMlq5heaagDJbQ5DI/B9LZzVgkkDGN5OWqOoy
dgitN4f9MZLnpmEu6dDPF/8/0hTn2xBtHpBrg8vAf8/aCrpMIXo+qGMw5G6XberOdTJ3Wqs/L82i
7F2QrhZvjPkjP1RNgd43gVOVcGCxRjz0vztrKrTn3gFDOTIy8w5GVzcVZ+MUKB0BicvwYGjNygZf
HIe8XJHQAWxivhuSIe0mszHGwHJ2bHpSxqfuSi1NuQ1QCwDZJHATiG3npbcpQ5dVkzbl/snmuouH
yIqbXpgl0GIjz4xjI18Xs1lyGgV4Yycu90ZYuDbN3Ov7k1BUpkCS4n6VGMnZRaRyI2V4BRf7LvfH
Yhu/XD6QS7//6PPzLC0okuFNLXw+Vl+iaWvGz//G99HcLEVgJXfqzFMm4A6nqU3ZfgK7moqabrkC
IV8agCTTk/1bSKdZ8/mJWM7HiLF95jbhe1le/Q4GwAPsLw5yj0jYzYviEykqyxak3quF7qE/nBRr
/YznsRMsSPZapIzw1p7fwoUuaEtLWu+NzouJWzr3KXUJeyhSwGBX4M/nkwVbwP3J0g4Oxvze0vpk
qErScuCeH6rxvp7WOGWWDADShfIUsFDoDZsFgmoMqF88GfU+HjOfmcyN1xDc55ci+hIQlqHHBegx
JL9Or96uVYqJsKne+43zzXH8rvNMl66JqSyOQ9JRgIEAqYM5QoERK2miwan2OoPAwuR4uDSuPRgY
x5EFuS2OQnJh56jyCFjIu8IbEuIPa3DT87sIFtDgAu1lmWeeS7g6zDKy0iHVvs7uWAlI2k3T3bXD
5upxoKwg1X/QQKWh1+10HNEILOuEY75v2mpLbbcw1h4XC2sBzAQYYgB8kUC7mYu14jQWTmTX4Ot5
KcrvzdVRMJQdQaMC6joEw2ceXAnLieZJAuKw8LtIveJ6ByWVI9FfhuVGyvH8qdq2lpOH+b6Naz80
NLdVbi4vwcJCq9A+xhVqQLsdd/bpEoD3Hmy5rZnvO31bKY8mv3MyP1+jS1mwIrErBs6dxIk58jI/
2rChSfPcHvpir7gZ//rKnF9rzmPRggoDaDlA29E8lWZ2VVmTSmAltLvK/hEnz+jxR8vhynQtOFyZ
/5AYRPCGI8t5OpAMWWhhtLjyFCN7SAfDVwbdr1tnKwiasN26eb+8PAv798TebOLyuA57nsIe5Cc2
pt5uyFojgPzCaTYVCD4cdGTWkIU8k+joSTqJTFjFPqy30G50ddut1+RTlkYhG3EtaAMDgDbny41K
GhdFSMt9N36q6te01ui9NAYgc0BrjXSILFSergrNLavLbbXYWwetdR0utYcvr8OiBbhCZDoR0oBp
6NRCDhIscFTWCHXQ+2MniQexHndK12q5S7tYetz/NqPNXm11hm4qbsBMyTZ68V1JD2gAolcnI1G+
l/Ii4M1CX6w5MwKJk8pmbVbsa+eLHbq1TqzFxUZ5DG80nHncUqdTxfPeAsaBYEM5iEiGfJOn+cr9
t/BAwxDQb4+tK5/t88wXUWvFblJa7G2iuJALMyBsEFVfaZpumDK6Mao/Q0XcSlQrc7e0D2SPLHzA
Ek+SnccFbyaD7avpS3NeaP2qjn8ub7WFIAX+HsEcYANAOc671/U46SI2IOo1mePRUvu0omw3GcVv
u1ZdJ1ojF1oakTyXhID8EI+pWWJdb/HAaZqQ7Xt0s2pV6So13WjOvzFvsh1MpouQQp4Hj2Ua95Cz
h5W6f7CtXS98da0/eunsgI8Sjd5A6WFfzII7EeVKatW4Yzp2D2THJqmZ2wzfmmENnLKwQMgT4Y1O
sf9ALT2bsUHVC6Adx3jfMvHeF9RHKOiSSHHNtt+IwXq7ej8gjQjgJ0IMvNrn5OlO3YJhMCvyvcMC
gv2WvoB90R3xLwmfL5taOLrAIBvIjOLZKJ3D6dHNBEOA3BsIBqw30+3V6y8ztIqAAwzdPIgC5psg
HKcQBIs12+fPSeetUtot5F2RKcTmAm4PNG/QzDz9+VE5YWU4wuLU/BlZHhPpzm6Zl/XblkB3dhs2
6aYsvoXqWsS/sPVODMu/H4U33LSaCdLU1V4ow2NrDr4ltIeShbegaFk5SHNNXyQl5CBB7ikbuBHa
aqe2SBnnoGBCZK6BZyxKv9nqo94/ptUH65yNaf8wnWctqfzQbL1u7YgtRD9IxRLsDfh1MMDOjhg6
OiPKTbvaV/rvlt872gPaMDbWuAvrm2hVxuFv2nAWmiBekB4DT3NIos2udV5DbjcCVeo+Kr+PovEq
WyAxW3lRxrzc+DKjG73eNOhzUEHvVdXfHW1TOh+Xj8TffvjZj0AeFQ5fJtO18zxTVVuZrg58bxDQ
qddd46JC5YdxslUj7Vlj6rZrtHeUxtB/ylwG3YxeabYRHgRsbBnSroVPEzD3ca38cfmnnfkhPJFl
x7NcDXQlz1l/I2b38RSS+jCIJwhAuSPdcr7R4x2Jrs5UwQDuJEfS9EgU1cwxaKIaOs676qAx5u2q
KFvZ1UtDwRtHlrGQ14ULOt3UJnQo1dhu8X3qluroQ1/Pb3419Y+4/Hl50s5cnJwqgvcaFA4kd+jM
eedZ2mqi0PnB9CaxYfH28ufPTgiea2BgxrLgmMra3+lAjEId6cTN/mBof7LikIgd4btB2YcG+If0
lZthYSwgiDTQjgm6CDyh5aweuR21UwaumSU/QI1QIXf0++WxLH0eD2cdGo4WEFvzKlLDsrDX85gf
uPYn2mjFn+s/j9IRMFWoU4H+feY0Ze7ezkyVH9Cs/atdCziWfvzx12dzU3XM7KxE44ea/fBMbSWz
dxY0IZ9w/PVZjKunbdSD8JkfPtNxr3wO3ev1c4P8ERyODsaXs8qu0gx5j0JVfciLj7ZovI7qV29U
2caMVwASq0gSz31rCToZhSZY3Nh5FAJhs/kw6L81636cbpTm6ncNoiRcysCD4ZWJNMnsWCg6Lka7
TPlhiJFwY63Hiq1hvUDY8Np5gx1A5wCEgEwnsMOnJwJYF6fso44faLIpk81wbb5YDuPo83LTHR04
AeWPpsjx+a55SKqX/GoCLvl9EMVL9k0o287TuZXupHEU4vuktX1RRk91zTxKmUcgpJpp9vPl2Trf
xQDtIIJAehpGkTU5HU7uNK0VTWI4ANfo0uErsl7NYYXv8/wcSoY3gMURMOCZMaebGaYoQ1iZisNg
Db5Rcl+92gnCAIJxTBm+f9Y/EYVNHptJN2Aju038GCvXfx9lYZBRymcLyDJmjgRTV482yYxDu20c
sDGDZOLyKkg/dxJgQEUFd7g87SYB3+VsFSaW5ZCrio2Dk30a6SFhW41s13oaFpYaZw8HHW9ydEjN
IzdA3UfEN4l+aPYgSvbbhm3iq/kCMZBjG7O8Qt9aLXYbbCSJ6ifDaw0lj8tTdX67wgLYllGVkznd
+RNPL7sOLa2wAJ14pn3DxbLNiy8y3kLnICNrEIeFOcNrCx1T6CyTPHXy70ennUCGHbAUTT3YE7nJ
iA+GMqWNdpeHdL76AOACjYICjoSWzj0jeL9ZoWY2OVD6JcAHP4jQE32CNEbnXW0JV4p8O8i30Rm4
eEgAOkEuZTy0o+oobj3w/l4NLfUzGxLHR/gVXh0/oFcO2BDE7njxoef8dP7sKRxxwbX6AXzmTb9p
11pn/2bDTk8O0FtQ1UEbB9wmzs6pAa5ZoSjLQjtQpzU2kWLkHktyG68C3jxObIoEivcVCKftuIp8
aF4Pt/qgW2470fp+gvbmbVWwZE953brRwJMd3qfWtxCUEw8aG4myG02ze6Kkzb5p4hOkYsDlmhCT
M9ptTqJhU3AkAhNSWYUbGmnzRCYr2giDKD+bPKP7NDXF9bsFNSXk1kAKjjfRvOPaAdsCMSeuHWzw
LTj58wh5KDHtxnbFa5+/MmXxCqakGiEACfOAXGRIt3aJrh16I3G14XsHxIVu/xwbG/wOkRuJh67b
qezWrH0GCMvlnYoHzMK1IeGessUIJI5nLKo1tD7CITS1AzAar2rlVI9FRPIbkehpBISmug/Ltn7q
TJV52MPajqsjeIIHNDi6zsQE8xxBRtVLHbPeCYPlD3Xb/mxs6yfJgO+sjNxpN5RF1o+JxsnLZJZo
ZrJilIM9XQtDbBPtl6mj9QsYO+22zgqpcuCI1E+5Um2GrlB2DjfFPhad2CujY/6AOo9ZQ3jSUrYt
rSg6o6I/VR1vOwtq0UmCOaprJcPXKff6yELyGBI6t0mY/kyVLN5WrcldR8/yrUbj+isTtHsQoMm8
L+wWCXmuJp9xgUYcNx5HFb67RYyQR/p24mj49+rY+OSsNVAytZJ3bGczc8EpcaD28JoPTelP1pS9
Mccq/S6h/RbD17ZwPMLraTjdJHlGXLuj2aYKFYR/bfYCQp0IKmMK2Wid8nMadZu7fTupsWtFNvuj
jCJ2OxN+Ss8q81s10pdwINkLBxn2Da246tlGZ+VeBC1G6sdodNM2nZvS+q3LWud9QHW3gYpHSna0
6n5kdf9GnUK4tBzVe9vBpLuFQyKPt5X4gJqahcUpjQmNyYy9jFWJPICqOOHtqGmNx9QUSjTJoJeu
zQuW+0Wh2YHeqQOqZTHzwpoBsZNRHn23tHL8lZD+C4ILzbaums9iQo7YjTUloq5OYlTY8t5+hfzY
q2jsN3WaRoi9j4wErQV9RyBTQfeujJFPpsKuXNZH4LU0HVFyr1OU4rdpA5+WR2Hk9U1Y7BPkK290
hz+PSfxpUBFERRqr/gCRjKQhXy0duBuWpniCpMjQ+o3dGeVjA0Ga3cCLPzl8VbhFUwuoLpreeDaT
vu68sAIjgk9bDaTCUW83tmeLMTkAN/RemG2BGEuBlNmoDvuMJ5+0toIxbavGVdLifaDVLxHXcP5Z
rHtFBgaawYgGDxpylptUsb1tKpPfOkpnQkUhgZZLXqUx8yEYYt+3U5zUbqXV4F2JtMolEDfZmBBD
35XpFLm90VY+RVP8nyoT1W2WsZd8hKsgZaZD6zh66xpFezULtbwdx+Z3bbZN75pVVNxV+ah4XWt8
dhHE7n3F0hr7hiUT/Q3nE7olh5o7Irx2o4Lfmgdwx+AUrEFcxoYOqntVViLWTxI/h7SOj1rmK6No
CLkBL3AUg+og6/SnkABdMzV8cmujLX0RahluWcf0rTz5Y6Z14VtNCgulbeRg9KqLfAtUzYStZKiu
OpCHdNRI4eqjXte3zch0FzSH1DPTofaKqAZ7Xl5COIGCdo6gecpDerX1yZgFagxH3eriJ6iU652Z
s8gbQt3wHLXW1O0Qo+brNaP9W5uUhj0MGX/MoPPwWAwFJFXCkr+ojD2MqRLkVlkpu6nHjeU1OunB
oJo8hyL/oHYKxzMkhj75RjK8V2AoG+64naQPRs/h1roi66mrUPC0szSNQzezovqx0gha7TInG14K
wqLhtjWU6GYwqugwgjpEQZ9cV+ENYhRupkTaDrd5dFu3rEg2qWJ14Q5b9SnjZNeGUE7v1OzdIiB7
QHzIfRO/wGusqvTiTOk6N4rU5FG1RfydizDzh77v681oDPcDqXH6iqQilV8IYf9SEUFuRRySXyHf
dvm2R9vChoQDDgDoCZ5EqqshAGtmBDJnYn/jicoSPysN/mZzbXxGlfwn6NDJPWv770WO1VCoTt6B
2LMHlyZN7DmZVUdupaMJPo6bwp2GXHg5QHEPkQHVmhyKPj+6loc7rbfZC7THIQaffqCrrLq11dp4
UHNTe7DrMt/iOCteb/TQzgVdn5sqBJKLmhaC4aAYtxPQgw9KFirFvWb2vXBzNv0EhVaq7DRUd9Tf
dWPZYJRsddXPBjH4Hby9m0PYx0cFXfc7s66BzWuNiUCnrnTcYdAdV7PzX32tDV6u9HCuBVqfbkUV
U/aYSbKZh44BpzYCvNH4PFf0Etz8RuxsSga+j1YluIhUc0AQK8CSmFSQImhutG78KMfc9k0GVoBK
ndh9NPGHZohbt+1zoFNp/tNBAAW+qviptSbVb3qubQwDShRkgGc1hl53G71SPnBx/Bn1JCFeW5ad
b6sjxwz3eP24RUeqCkMPE7qzcP9l/pTnItuNY8GwT+OodPWp1WKv7ZLcjQsHjblG+ULGuqpcy0aW
WWtD4QNMdZNaijflaP6mRQF6VPxEojHsqnzQdqWiqZskVm0v6ez0URMZc/Mu30lF7JBiXdoePwxX
dXcAQp98V3lUeOhaxyHV+xrEMikIy906b4tXMO3m22ok6sZIshCbNmwOphBgAA2rOhiACbnRQIv/
APBwtMvFBK2tdvgzYio93LiVZ6M6/N0E88VOptR95mjDRtOHHpqjajh81Dm4/QhNvwO9FW4KJW0/
4AeHjzwbRx8uurwr7bjZ/xdp59UbN7Zl4V9EgDm8kpUVXJJKku0XwkFmzpm/fj76DuaqqIKI8jS6
0WgYzVMn7bPDWmubeZJhHAy1cFyji+7leBi/Bn6cKXdCI3XfUeuW7bEsFQdYMfetltxvZZn8kipd
2+gYBVuMAtlpe9l1cqGJ9nrFclhG81tV6kexk3Cu1AI4lGA+mXmobMzG10sn6IGAKNTrSFrq7k5S
ymrl5n7moLUaOKprybe07g1tT0+rPWY4tdPQzNZRUBon3rLivlOi5qBFiM1EMrejkTMjdOj+K267
SG22rhx1N5blerbp96ZM8FaPdmqmxR3ke/Wb0oavtWz6L10dZrbWm8VNjA2x5TCEqljhOOVGwc3p
8eaO5lhY+Vpoe8X2QiX9XdWiseK38qDTGDOxB1f87cXUu1dtLp7Uuq/6naC3Uf2lVSX/VyXjyrRK
eSgt+aFWk+AWeVSLAn9hjdFWollJ6YxZeSsGxmOkdxFHmb5culZ+88z6mIdFthOsJHDkyN/ir5la
j0Zsv8HQbsuqafeRLqgrSej1PfKBtQMwv7BLsZXbTZCh3FdK44TV48lWhqRy5BTthEZL7r1R8dau
6pfrXpBa/o9qZXk/yspInKYQyjVHBAkkXVkFeR7avWWOW57bP8og/ezyboOkSAqPgiJYZG3V0FwV
rvbbU1LRHiMXOgpkVtsoA9hOYUKuOvBtK+yYhE7bZPId413eBk95579BA443fR5VlAOrVyWi8Vcs
69/GQQsOUa196RQZnTQz/5NkqXkfemLzG56WeBuYbnMaTdfdSnGKuIXQhc+pV2frxBWHnZfrnbUe
1FgM72hgUdhCYnk3IkuOTjCUfNPoMmLSstFqW8kEXK8IGsza6gbw1ybPmZY2Gc6bQKOfirfyaz7w
1tliofhPKirKgyMEhfKj6YzymxxV35Ej/tF5uusko1/htoX00elOLh28H4uyxuvzMS+3YlW3+SqO
9Fh0wrDrS8fkQfrdm6O5RZG9/YHLUK5IZWo2PSmpIoZ1Wax9TyjWmhsPayuSwxvEHcovctKJx6rW
g02h5xqboEeRE3pVYtl5MLjPUZ0DZ3XlKjZu68bIZNtT23FceYYgbwRZ/OP6dfslltPnUteTNWaX
gEEMip2U6i46QBlguVZIvB9BldZ4qKVesjqV5W8zzJHTgYj5rgpldkPQgIDdKPh9d5uqSSGf4lxP
0x1StkG+0fFsUbB3w00UF9EqCvwT1ebfWYSPl2mho2jNgL2j7aZgjX8sq60x4Rq2xuDXR2z/OonM
6BU0onk75nK47kNIAAO3+anWR/z3rKi/B7JW89n6GEuFhV9v1ARAQ+OkVZGo6yxO0FpMfekEYMOs
t9IQBiFOX9p6wk1kISYd83ILcoNrSimtbooCh3FMN14nwg1rBP1bywZ9c2NL8+60mjqLAfpyJwZ9
pu7zVrqnjN8iytkqmZOojbiLQ01p1r5ZkvT0BqqHsBfU+0IPTKh58S851HBm0Z28l6ygwxns/EPr
gS6zJbKzL0KTeftAcb1ulcsItgipjkgYTJjsYBUJ5iaPI/+11z3TFoyYdQCVho5cnkHBkZRsbcni
D10bIxEyBg6w2pvHvK5yuyr9AozwGDiRF55EaQicsEyfErF+zihpHVQrx7/zxpr33awc10+SL5mY
pE5P0uI11dPjmPs4YmJjOHojcp/9zN9LvBfbQMrNLXomMpdZMVcg89MDWp5i+QixS7ZN1S3SO6/z
i+QewZbHWhe/0zyram5dr1bNB1cUUdoaxYZuhEX8K9Gak6jEz3JRapxXtX31RS1/NuNKym1BHsbX
XG36+7Yob83E01c8lBGn3jK/t8H4Sg4h9VPewFwQd56uCd/DNBRtEklwHQKjkP1NYHTJo4sk0qvu
8evVLDN+tmND4kFVHlAs19bDkL9kYRM4aci9SMzqrWpNj1uWvapdnzrSSCzo90VmG4WgbQs9Tp1K
ge/V9JZ4wu999k01eEW23/iBgJ1/GDWp4AGtjNiOeze7dzO5b5wsJoKNYSGtY8Artw3CY+JGGj33
MTNTK13RmSPNd6PaPFapHnW3QTRJssY6QZ1vwV9sOvdNaoe3qG5u2iJEBV1PfgzG+JSRtogImPI2
uWt885fipqqdFGCJ14Xf8Bx1otSg02iCLzONFJFDE9kzsAt1xobTckDeW3VmwBxTi72WiT/FXvup
Wk3oZCkGUkvEn3IFIVfGFNk0jM9sSq8JIIjeZ80Kt34ZwWc5gym53KC4/VOoo2DHmuE5Q2mMRECl
793WadscckVoFDvq8lt39ASIqxoQq1BuNWkVefprn8MhkYLh2Me6sSK0J9TrghDDYp1K0X0V8kCw
abSubscgzp1hVGIaAJr+Jgvdhp8WFA96l7bE8PnEtHHD8jsKDPUqGPGwiU8x2P6Q3femwhw6iKfR
GLcnoRvjHxEd5b5CfE3bHQJs5ZcQqL0t8/S0TmeoTyOyac8FMh07g8xe6Mi+GN2iq6c955EXcMP1
sgauSbcuG39R+ZaD9dyPct81KzcTjGKTZom+bZtio+Wp+EpA3K0SAID3LVKx6yrJKmgnivQjzupm
2LUebH1iJ+CtHpaCV9CyrVosnMq0xm3em19ZetfGH4E7ZOKoDqN4ymK120UB0b/R7ogEN1ZQWwex
NDq6frhBc1/XUaneWvSnXTdaIB+CyiwdcBblSu3qF0oGyk4X5G+WX/R2n1nPfsvElEijW7J264bi
U+fWOOCR98uo8m+4ZMZ69BVr35Xql9wCptIbUfeUe35dr8tSjJ1SpH+sI4hiuioUN1iVJvFMPbg/
DfTbHE2IEaxU410Syzu50HeZMCSlg4tc2IY+rgscK0uPd0r51VR2tV7Z0qC9yb1Xbqoil24U3weS
SyniTSPz8cM3auLvVPSalR5POspx+oVQ80WuvGgdtW2Cx1mFm84yKjtqqviW3O1TMBTit0EI8psk
MYxk1bn5D0kYuy12NdiV/qjfu6raPXTl1PC0R2JJNMJTUo+/Qi/Tti2a7YNdKX54G6Jm+ByOTfYj
rrT+ZMbWcyqIsQ+cUCfjFgftKuJaOFEtWfsiFpJViEJXZpNyVn+5PCLPwJBaaTeG4a8cD+HG6xXx
LvDIiPZd39oiNuZmNHP5Sy0lKrmaRBDtVnXRZzaFr5bcHdVxlLZlqnbrLKyD205GSNqFgmgHTfrH
9IW3UstU2zLDJyNC2C7HU16ZgfjTdVOkdV0wdO4YGHtPS3T90CNc96KO5Lsqkjn7hqjL9jL1uW9K
PVq1XmmajuZJ9Re1DEc0MrQcf8ASfNKniWE3UpsjmB/mz0HqMaZvvLaW3K7a2JQeu07J34KmoJWO
iwVFMGIcv+Y8C9taIbTd9ISCD6UuEz/qep7/qpQIzdyqeCylWkaJGtVqpw79rnYkOT2lkd4feG2p
ausFIr5kMDci/5BuKsjJ5D97L8I46W3XPDSVXHxFQmlE8LNM1l4pWPeJ0XibcEzfopJwMYRpa9BR
O+nJG1rfSQqEjlcn1esI1PGL3sue55imOzJF3JeDLheBSDcd19h07tA5YhPSa0E2X4aqDN4sUqBH
9MVeSb7ru1EeFIeU8IhB8Qd1Pbr6q0QOLx4xtDqtDdCY9KNfTSnXzkCn3Ji0QhsGqy4XhsdIqaI3
YwLiBG6HUbQ85XtN8HkjjGbx222mYyCqR353tepLSg5OQcZsJVtNuwYnV5xci8BWaq1HufVdp1Uz
w5aVjMuZJp0dq4Hq9BihTa1m3o8QENAjih71o1RV40Ye67tW75Qj0M6wsTs5mIINIVI5XkrfY3aJ
iou2lLZpMJIDAcYO7CYnQ3UYFUoWKo2Pj/BHzTu1o5PckGh0W8Z4PNZlZ42rUExNO7aE1ib1zG3y
FHSyJUBSulNISrSAU7hUhENyR5rKfVCc5ujHPFclfK1BeTLa19FYt8ou666v8CLnA1YHYReYVOqs
bhkZJt5GEimUqFdSuPOWaPqXahkgp6bqscRfc1iiRg5LIdekPCXCmu7O0pLy8oXvT5gKUE0QXGiv
OoPJJZHoWlFlmU+19hOzykH8vBxzYQvef3+OENYroyPxxvfjvCVntFPTvUcG7vNBFiahzGp5ZOcH
k7SPCXLjlqdFWCicXfo8ECN6KoA/hRE5/fm7Wq5MtofeOroBnv7w5i21oPj4dfQfoTeA/KJdL2Jp
5183B0sRlKBRngBFCnsz2X2+NhdqxGefn60NIZ0qVz6fF/Nby9i3474btka0BNJZmsXsHpChpO4h
1MpTOv4a+1Pw8/NZLH1+Vg6W8yr3QE8oT3m9I8OtLOzwxUWiXg8jGGyArs32AAW8VA9yjV8vbszI
HnJbfcuWxHgvzQHGBK2Z6NYNk2UGCXBzyY/yEDBI0vNKDplNb9frV2mScJn0YAH/zznHQVhRkkYT
+kklJxmo6yS7lsYJe/P9AMb5WdXDbAxzhOSeGqW1O3PlikuMgkuLBLWEXiwKJHbGOh9BKFqFzJOs
Pr2QR7N1d6k8fOn7CN1MPdcm8sccBdJZZhQoeaM/dbyHePFGJyxswrQGM2DBBFji5wM+/tjRt4lU
6qhqbTy13f3ordAj6bblo5VefyPOhpmhCIUkjDzLZJic0sHKi68HfMgAdjVYXbBIPvT5KTJSIL6f
GTjN2l3Ur7Rkq1IyLknMfH5mPz4QYFjAjkAYgMYOM+d8w2tdUtokt4g31DG4HbT0iRqF9iWn4cDC
SB+JPwDWgK/oXELYFxzk86GUKfBOTdF9kr5UhoY0rwf04leuPltB5gi5IzWkGhbkID6eN0AswBBg
rzCwPGeXuY2emUafu0++521dQdg8fL58F74PpxriwtSPC225mVExBrGLdTcPTkXW3adSclCkq2GR
k+rif0eYbOe71y9LaqtC2zE4NZSU6rWgX42L5PsAyyaAGbqU5mxXIo2eSI0SBacwxCI6i/y+iyuE
2LvOCwtYbs5Ys5q8EWME8Z4kGSRAskXd9h+24N0AsxNcub2aDwUD5OKmOonywrH9+PtxzsBnA7b9
2y9+9nmxrV0lIzvwBK0vylEVvtqm8312AL3cyU2eMwEiyRPqrHOFp8S4SaVtZy7Yw48XHDTq32s3
CcEiWnN+fmShpgGEpEUnc9yn1inUN+lwuHYHzoeY2cK0LzQRDEB00oQV1KZkSdPlwhb85Z/CceP9
/nDJPFSLIy2l+Zwq7pND5l19AyxJBycKyBUG1QcoWtv5cZeMQnhKf/mgm9vrDxAcc1CPGAhsnzFb
nahI5KQYrOikkByU7ez1+sV///lZBCG3pV4bLZ9P0huzuSuNhZ8/nY/z93SiyP/fz593MVapokSt
yvelxskNSrKyTXqSaqETmEtCgRfOKlEi4G/AY5MG1uyu9aGu+7GVpCdDf86a1u5pbzYuzOejrzlJ
zP53jOmwvbOnRVIhqgJ+6iSs8y6w27U0pW7WV2/K2SCzZ8HUU4j/LoNkCo3TwpsxvfpdYxZoUEHU
hS8HCHU2i0Jz+ypM0xMGfT2qw8GNm+0/zOHdELPN6CpXT103Tk8v1XDXh1c/a3SdQv4HdRuNx2du
lqK4LXuPAtdTEv2sM0eRF1CQF2wG9DOw2RYLBX99ts1xBv6hz1z9qRdXwR4kwNWLc/b52QZHAkxW
4P76Uxv0G0TAsmhYOKcXJ4BUKjIk+C0gf893OJYDfWzHjgUqwXcZNLPpFkaYfuPsZoOW4F2jqxSp
k7kvHrqVRPLJNJ66cgOoR482brv5fJkuXDb0eYgnSHH8vdXnk8gAMcgZBZ4nRG0dNbzPhJvcK534
6v4FyEGSnaGLJ6qNE7PyfJwc6HCANKT55IX5jXtIFr2kC1bwbICZEfdl3y8HipVP0R9QVHWw0QLH
iOGKLly6uZMM34JiOLpVxMITLHrOjm8l1a3y3hBOtYE/JlNjlQ9C82JAXWia/WgNK7AtJGP93ec7
9ZdF8O40TEQS0OXAhtHCAs8+z3SldaBIntsrp6GntA4tM1Jtj/rvszUOyjagwTSp2uwlqLXuzU3k
5q3LdOsmzTv3T2LpySF1xZechhibRHYtW1BGmWpWC/pGEUAS1kWFPsUQ++ajXxf0MGtk/wsKvR0t
3pHad5JDqziwTLrCowzbPwtmSnk2r9b0mre2FIHzrdQoAOIAXe0ravW09oh64LmJFcW3wOv8x87S
TtA6xdXnCzPt7Pt1mXohAzcEr02H0glZfX60Yr/JaDkS+g+W/tPSdmFwSoKDWlp2YVV2Zyz1yJhd
SqRuGA6ixJQ2RRxtvv9VBoDS6wqf5qt7qaQN6kuvXOfv/GeI6elgz02YQ7PLEkldgctmeg/g9Ezp
KQ2v4w5M3zcwWywXHX2nW3m+Yqnkj4NFqfVYgPeW1JPcXGfb/w6APz610iRtSlbwfIA4TRtBrlTr
mHRrcWO019n2v5/HoTXJx0rYXm121yUzNwbJ06xj3N7ftto//HgIpqQc0eqXPygF9qKSSmJmWEe6
e2Taa5cshEMzkzv9eqQcSVlj1lHKmgf0oS6EyuB33kOl2W74S9Ed2bJL7zqX/8Mos+fVs/og7bzW
e4jjdAvK54dRRtd5CP87BLxDnGaSRfN+ka3otglq996DPgxbipk3JVjdz+/25bX67xCzu514aFeN
PUN48kERVqbm+Om2XspBXLjSkwwXiUHkEyBiz1LAltLmRQsT+BiXmj0oiPXsi6fPJzJzFqa1IkZF
gheyOzdi3uFWMt16LGEbH+vaUcsdJbLPv39hoWhbQXocp4coZp4kT8TAjIZa5MZlb6LQgUk45K3s
dFcKGjEPzi6yMBKsZRbKnF29PjY1D1yndRx/1dGX+KVpr759DEADSglyLnsyFz0HKJyWmmeax9S7
DfaFfvWZnR7uKQNMxZJndHagJKEiUxPL5hEqyXCnhfvPt+HDSYKCSxLiL4eIdgnzalGvCaYbB4V8
bLIb9U3ubiTzWtvHCDAxIYyj9DUxeM5Nayn0bikMlXrMS3+lVgAHxuvyHQrniC2GM4l8KTWdedMH
0JumX4aSekxiu032iblwVP9+4OzBZoe5ZgplHbJyaB+cT0FrvbZK3Xw8+nGzAjVvh/627oHBBYe0
GAAj3gfDUyd+87R16e7cYuEIzJVMpgli1id5GQkhIHnObGvhupRAUcejpD2qpbzyXQ25gpsRKBCe
zJeyXFl/Rm/hZHwwAJw7glqCZlxghTTP+aQ7ScA3RhzlqKcAkm+iesHAzA3AX+9QoUSG0gOSdvNd
82QLY2y0yinQbr5us/Q2+vr50Z5P4O8AKnLrTONCEiauqtoSxUY5ia23gmJVtvLq/zfCLGSuklqS
VZ8p0FpL2Lr/MAEZFX8KNDy6U6eZ8x3wUwonWSXxeVXYBqG/W/DalAtbgHIB8hQqchHiB/ULpQuo
nJiFcqKTKfLnbhTde4aUP0t15h1FDbFHQRtp3pe54cpFPNHRoly7A5YEkKHtjGpjKI12yOVIf0yq
rN5CqZT/6F135w5xshPlzgTCIYSrIhTyvTVW0jbUBBhhRkNSTKpAUptVvmlroLUthDPg1X7vDAHi
AA6Qr8rOo0b8XdCLwW5czN844LiCT11SaL9gAznflEYwrxcq/k0cCmrS5MNRRMmluVOrg+Bf68By
mXDPyBIh6EyCZWZB3LSzFFcV+2Ms/5aUAAT42+dHcU7RnGwEI2hE99MbROb3/LDIHkAar+h6zGxp
B3UH99UZa7urvwjjEfriNy3U11oPAL7ydp+PfXH9JgEiWoLp8FBnTxQp+kzMgrw/Ko31Qq/kr9Gg
PynlUtg0v8/TDGXcf9RtafqBU3I+w2Sg2ooU7XCsCrFlo4JyH0fxEsJk+srM1isYWSoLf2V059FS
YCVC1YbCcPwLMqx5FcU3+qY4mpgAhX/8fOUuTundYNMFfZc51D1Af2nu8bBUAK6SFeCNpbdrKnR/
mA+VgMkJIu8zn49U0v3REjQOt/VkxgA+9XjbFN9yqbNL2XeSwbOTaiMutSC5uIy4wcg7cig/cPNb
WAcR8j7D0W8qOoe1+qmnnBXpmeNqzbaKxYU3craSKt48tG9cXvqaTyHcrN4v5NnQtlWoHAf5IJdv
Xrok9bc0wOw5JJ+v1BT7laPYrdyDPizs08XPQ/tHWBz1vQ/E/1ZX8wTUuAJNoPhDLf5Lk8Wrzw/b
bEv+s0RQ46Fwoxr2oeYxFomESLAkHw3L3Q3mKhcNGGHPQ/kAxHOhRDRPOv3vYJNgOYK4KlXa85Od
tUPYiXGiHHO5XltjSKmi39DdekuYvJOa9kuoemtVhwAp9frp84nO/bX/DD4lIrEXhK0fkv51FelB
pihHpYhKpyrVm9o3t7LkA27L12MFJlaKYJINpvBN7uEI+Ja3DTwUWxOv/belAL5BUpqwk35x50sh
+03jj0ahHPXoUOY9FWp4s95PS6lXrjuuZCla+fkdSM7PV2Fmlf8uApePCil6aVPC6XxYIUuAsUuD
fEzMG3nce/Whaq8L2T8MMTNf0CnyUet6+Shmz/VdHFz3aH74/GzhxibNC8XqZGzIV8X4uuD9XLpx
79dnFhhqYJBbAyD9UX7R+noFiXnhvi0NMHPfFLWhn0LNAEm/00VITd5SIXla33e2/T8LRPeaKX5D
9WbuVUhZZKlCrMtHPWx0SL+Juq0HqeWtEiB1m/WV0L//jKcRFhC063Rzmx2pIjHGMh1l+ZhW2oqU
HNdFdNqlfOWlWSE8TKqJnpOU7WYbk3gqioUkTo+BlNql9Giad0n6PYoWrMTSMLPtcYdi7JWBYVqp
tDX5UTHue6hNkucv2MJLdlfSTToXoLZCYWQ2UFbLqeEHuXwMc+CzRbLNGmmXm42DQiWWwNW2n1/8
S+duyruD0gToI0uz8aAcJJKVc+560ilBaNPOZmFGCyPIs8c2KaF8DwD9j1r71NfP2pWQrr/nDIgv
HhguJW7l7JwhHB4UWqpwc9J61WvBfRUuFQulS+ZRYoloyUBIT47r3Dy6ED9hj1XScQh0Deq85a2N
LBOf477sVlmuRy8ExvAFcjU/tWg87NNcHpxQbtxVgurQuvSD8jktROvOK+Tg+fMtvHRkyOROSROE
mT9ghMuxVbwuHKWjr0RbXFJzJcrNneyWkAzz5KYuzSsBt3+XnMeSB4qAnP+aHRohkaOh0MkD9dqh
2CwKpV86MRTUJrkmnqIPXqiZgOIRSp83MDXsyvjpR0u28NKSgQjn9yOfRJZ65nAkhlXDdHDlo9Af
w+y75JlOXtX2qB6abqnMeWk278eSz8/OAKM+10WP2fiOm1a7OIkWQqrL/tO76cxiqrJL+yGF/nks
Jx1RYciyO7qnwhkCGb+22kHcaGiJ7rIQZCtEsmINm3Cpb9ilaXIcEBomPUMRdHbN9aYIB8EftGMk
Sjt/REAvPX1+zi9dQm4gAtBULugDMG3qu/hHlrjnmTJqR4o7tpo9CvoxkoIFa/XX3Zs/k6j/YXkZ
CsDe7EGpeqOgF/2oHiVEJr/UKR1oe78XwQsKY5OjWND88lDS2KGeOtrJoHsO7YQOkXbXKaqr2F2s
upBTEu3esygS2XLrqnS0HMvCzgYo+1qbKF+qSlPWfdboDozeCsKSAhTVlTySkoGk/xpEw9+Pfsub
OQxRsBl6Xf+aizH0lMQiuFSHDDJDIT/mbdjanpyXHRo37r2F7c4bNG69rVBvY0Ns3vwhDx/kMfgt
a6X34qdSutZaaI5ZDivOjIf4BnMX2d2YdRsaO7W2xbXYiW4Y//x88y4dD4JHHb4pAOsPSnVK3Bh1
lkf6MawPpnVologSlw4HHSjIUPGW0U9jdgXCVoK9qfYa7T3NVVkJaxgb+xCJn3+Yxrthpmm+O4Mx
mup1oHEGRdqlq6s233z+/aVpTH/+7vujXEZeKvN9Tb5t23tNfmjUBWsxHeDzAw7eRST1/Z9SzVzO
DzmBuovjRD3GimfsrUaAwT40G9rMu3Zcm/1NMBEZy7zT1tfOjYEnWXqaOOhAPmZbFKPFIEVJoB1H
kbAG7Wc9XGN0Px/k4zk7H2S2QWOckB2NGSQst+gNe0vp/aXvzzbIDPJEoQbCAfjTlk9R9fT5z59n
73lMp99vUHHk36zS7GnV9LhgAUPtKAXtNhNVp0NyCWk5XPSqvk2gf8q9KtpKTm8gqU1/CqO8cAQ/
urqMDIHRRBYYFcQPcYIIbTfsdPUolvleIWSwB3QlUcd6cot64Uh8XE3S+fjtpGAoWVH6OT/u9Lis
5TE31KNOB5niydUXYs6Pczn//uztNbKup+2Kqx794Za/USlKZaiyq883bWkWs4PtqyOCKNMsEt2h
hYCxcKSnI3V+YadJUD0lG0A605hNohfFfhQ1JkGGlvRHnT77S8yRi0MAUJ/qq+Ck5uCbJGysruBg
HQfYnUAse5jN4bASFX8h3Li4IQBLkAa0prTp7PoIOWGM5jGQ5ebqoxJrwabt3PDH6HneqSjH9F+2
hlIY4Bl078W5V5JVel8nQ4k9dU/andJ9+4edf/f52flVtFpszZ7PS7RauQHo8A+fxw9BHHVK883L
0So4lkxDTePYiXvK6ostYy4eXHLX4HwoGRH/za6fTpM50eDRHA4ZIo2l9/Yvv/+/35/Gf/eaVfKQ
iihGsfq2Ed9Z2QII9eKpfffzZ4epFmsZOjqfb1/NwdZEpJQWjuulESYwHLk4qupIQ59PAOescseR
q5eb+1zaKnm0bdCiun6V3g8y8zhDd9AQRmEQPb0pnKhfSF1dnAN1QRMxcEA5+uzztKR1fRMlmaNi
fpGz20p2ICT/wwz0CaI2KVAz1vkyicirVH1nasQfe3zapU5mF2dALIgOLKbJ+kCikUjCDnquH9EW
GILnILsfe+cfZkDyFysLOoOa2/kMkAPQBknFPUWurd2otVmuu67MFlyvS9YPxwdkF28eWZcP982i
xwPu61HwxtIWVP+ub6eWC82tby418b041iTZTJEPyd55Tl3pBzVUQAkfhRblB9A7ySGQ3HKLCMbU
EVPxlYdrl5DG65QVSZOCggVdfb6EXRApcYgO27Gu9oG5W3pkPx4CPk8yEWod7oI5PwSSr/pq4mfq
sUfDzkwR3PFQvRiXKjeTf3X+2J4NY83C2CARo8occzwGIa6NLTj35Kh0UvrS+6l8BJAaecBI62A/
Zvnwx0j7Kxuj/nUA4abRLIMby7bMTmKVCMBTEkE5uuRxUFlNqyXU2UerzxTfjTDzJ1qhBYXgGcrR
R1t0F8v7fzgH7z4/O+Quwqn/mUAIl4smWnE6LjyL00n6sEfvRpg9K1kuhQYqQwo5S9+Ji41UEUzv
1B8GkLB/mAtOkUnnT871vFCYD1nkpy2xkmb9NPe+9P3zz1/IK7IVJGHIysN++1jIS0LSaFZM1Cqf
mvqlILehblvSG7qXUG0d0NkZEYU06A+Y2620aXTfvg+vz9DyKywCQgwTmsjzxEoyaAOqPS2B2a9U
xbl8/HyWl84bIuVAkSBPgd+ZXSnPKoLEbVLt2It0pXtF6ukfvs/bQxGAxtQwVs8NT9RVRljxeBw7
8q52tSR/fyFeBqxHG2SaXOIjzbH9WTEJ3hmjewzI7MTKT0SOv1uaiJAGirDtUv7/gpkDxTMB76cl
+wCkEspUi+WosI5e4a5yd4tUMHIjwvXnmqWivjC9p7g2syUTh1wVzFEzj4rdFpQVuuuzgcDrQCJh
rkmmEUie70nhS7CsMyF5SIqXX0Nx+nzHLywSJPopPgbCDNp75tLUgYcIbzqkD0gMoTSTKt+tdmGI
C4f2bIhZHJ4lSehpHUNoG4EXoFxAIV4wYXBRCeumsgXRyWwDzDpNcqo6yYMZtHvfhZwiHWk8SXrf
EcfN56u1NNbM3sd94AaZ2CYPgr8OkAhMHODS/h1iDZ+Pcyl3cTapmeWXuk4VpLpOHprsF1cK3V30
34u7YPAOOsIWXgwDsaUHVx9WiFJb2fV2AEARl2ZKMgJsnzkgST8MyBpWyYMBfxxxsoUtuzy9d9+f
nbpeDZMsr8upk95Gc59l81Yr7rRslyBAVfv7XEXt9U69knw6+QNTd1LOCjVUvILZQSQ4MdFnSpIH
vzvka6NYiKEuHg4LVxTAzxRkTlftXYhmSYHSyGGaPIQCwj8jFYoT6ng7UUfA+UrQ/t+p6AThyAkD
qP/A9S+Rq8292MMo9KgnodznL/WpuGAYeEXJJ+F+AoGegyDLEqWBgBbXD7qPInx9V5IyEdRvn5/z
S4MQFk/lAWWixs+OeSyWbdcGSvzgt04oOVGwGpeetKUhZuYzD7RyCBMtfmjaeBV2z2Z1U1KC+Hwe
HyMESX8/j9nWR4WYJkXCPNx4pSGRGK60aoNz/fkolw7Y+1GmX/HugBVm0kcuaq0PHbqdWfS7QvXe
k38F4VY3Fzbm4g19P9bMAoiDVeRCwFjo+u482ukJkrQqPMMe2vzNb5BwNpsfslesPGs4CjG6/f+/
uc4shJEnvqWGevwwVGhxkq4p69u83HrFTg0XjPrFzVPx2CA5YfDm4RAo/NiXOzavVyskHu/hXXfS
RtMXhrnwDILK+79h5r5bQsFDokLAQfRpIAvrrZYXsHgXjzpITIiTuKAfYCKBTJ8Fv5BZs/57rSC+
Y/6UxQUjd3Gx3o0x/fm7M6gkVh3VrhQ/pP4qMJyQklrjSEsPxIWZGCgc0JYO32SazGyUqsi8Nonj
hxY8oYFmdTqeLP/qbA4u9LtBZpaBp0IUYRPED1l2HwW/e/mQtcfPT/GFcvL5GDPDkJLRBMiAO5LX
W924FRGPp5YsbVAANSz0lb9V4T+8rUwLCJ7I8pEfnvlDZaykZVTknDMqoVrzNXMPtXeTUqRs9J+6
8a3+H9LOrDluHNnCv4gRBHe8cqlNW5VkSZZfGLZlg+AGEiC4/fp76LkxLVEVqnDPS8dM9EylSGLN
PHk+E5TC2MySzx912TxXN8l3YVdHo3zB/qYMYRXkTzNGOEqhY2RN4aAT+A/CQ/vCCnFmJOIqgZPr
cn3FDrIaI4VLC4I8O+AOZYw1Ih22+Rx55MJjnbmyvIuyGiRd0HCVTl5xQv7emva+s1fDd0mbmOdG
qOYfn7/Es+MeZV1YuKDw+kFM0fuebAVINKfa+k3MRyJuB3GhjnMpxOo71YMgJeAkxUkA7cB/5lVi
jj8/f4qzQ+HNU6y+DLQ6qiphlnnClQNW2d+c/IkaQMP2r279XOboL76wKF16ptVHGqegB54mL0/o
xkya5rtS+9q81Jh+NghMGqCiWUo7H/y0SN9PaTBidXWv6nTbo3RY+//mQd7EWD1Ihd4Z2BTPWF3h
Lt6EYKTUZvT5xzn3GLiq4naB5jw8yPLx3izgNSk4zP7N4jRm92WNVo+H4S+tApbDKXQr8MJBxRMn
u7XwthsmqyWVLk4UQBm+t9qd6O/S8e+lUwiDFnf0ZS03/PV52yhYD41LX5zcPmr7XWXe/4s39eb3
V1sdnI1dt9DL74/PffZiiF8gDfxvIVanLHBTBnfIAaiBbXOub0FRsezd/xZidZDyVNeVohqK06wS
RgmMifcdv7QWnxlUSPXbSMcj6f6xNmh7E6mgJmlPdaA2ZDLjJrhqrUuChHNR/vRCo50H4vL1zgaU
rMdSV7Un0h1aAr4csEIXJuCZTQXnwD/KCttDjmq1dPUGvAVJoySGbh/bzq7oykTy12zafv5Vzsah
qKRCpr/IsFYfPjOGdoRLuDwBSwVrZxoGXMc1gymy8fXzSOde2tJRiEoMSHW+tVrvUVetYPJtylNb
F3GTf+eQ3Xe1FX4e5dxBJ3gbZvXi2rEGKKQb8ECkibMc1ryeCEejj5idFJPeVVkQDq0dTu3z55Ev
Pd9qyZwkbMgnY5YwBAa20btdSCz1pUT82SAOqseLBw1u96tF029d5okZn0v246Hnw3YeH1P59+dR
3LNRm0POxV+6A9+vzE7XNegj6uRJPJkmsi6nFAC2z1/W8jJWhzT0iiGvu6QNcLxYDTvoRmw6+hje
QzHtqQtOl91eOF9cCrFab3BasjWnCEEq66fDxlcL2rvPn+LM10DVj6LUji0MotPVWJu5paugyVog
1cqdVNWtNbUbJ7iULvqTjl69rXdxVkOrLC2oDXGjgjNCMR0gNH+Vve/Htqjs68LnZA+xihVBxeYv
GC0QvVI/uOkc/5fdm+6pZaa7a7KhfwR8V4BMBZPEoHXyZPD8X0YDS2ibTm4szaa/cuaq3EuH/co1
knqzY3wBeMoBLSEHMmEMnnjfY0314adv5vbWaH26a6iRfpmFad0ELCufHFLzyFMUlt/uhAaXyeKR
rds68ts0DYkELygnmkY1ncUu82q5abMaeDAWOLupaudN3btjhIMB24E+Y8coMoiwp0CRiLxQ+7my
zCgbiPNEnRLWhcAkfIEOUeFSY+rnvq1BxPM8nbBMUvxbat5lRtNeBQTsABUQ9gyOoBc7zgRyj4M2
K4irl//IcqdcCNGZOARBVxzQT+OGMqP6TgqnPgCHArxcVzbh6C94itFCP27hmZE/SR5PNVhErGxp
TLRzqXv+zAKNGQhvy2W2IDG+ukWRthsFwJHi5IuXvrhT8xi2uDVdOipfCrNanceGe01RMbHszhW4
kcVNBrG72Hw+Yf7k0dYjGdcYnJWgVMSEWc37CZaZBkaJOFXO7O9SpxgiMHpsUCjqPHTtEUg7Fx7j
VltDnNu3PAwsdKyO3COHzpPdKe8qvrMBBbuuWnOOdGbOV6PXFcnct/Z9V9l5NDa2E/HJhN7R1uBL
s66MRKDGx7FzKSzOhzm02hZfsm2+Nx3/1es63w4j1YlhBlXM4GITwfeijU0XsLUGZMtHVIlgcV5Z
QIngyhQSazg5aTeFdS2DUFV9duHqvLyF9Vt6u64s686bo7EHLORMa8z3Nv9VM/A1ytAEkaQZ9hm9
dGJalsEPsfzl7or+tCXP8T4W8xUx4bvfnCyoSLzp1BrPNoq8pW3vc3pN8gt7y5lVGcUp9B7aPnqt
4YH5PlxDYQmLgp845RInTcJv865NLgyyM08Ef1vICZA3JB+Fb3PpeSDKNaehnWF07+RAsAJHFv+L
KIAoLK4fmJvrHSyXXMBHPxUnuc/ZNV7V//bzq91rUhlrRm7g593v1xedhs/NdpRVUIqEqnq5tLz/
Chknhja1ak5wq3GRPhMAAHS1DEVqXCMHeeFVnRvOHsyfF/kDSpTr+5GDLQYt/RmiiRwZmV0hYd5l
4lSRR/ApvbAnnw/mQ921tOd8yMY4vLZVKcvmVLf7snx0cfhnFA0UrQxVcAlAfu60ie3/n2irndkI
RjiJeog2AISWpXPIjLgLXoL2xLyHtnphJkBp1ffPx8a5KYvKESq9iw38h+QMyQalu4GKk1Mfdd7v
pQaJwzGibtzxcVuB1/d5vHPHnDdb0Po8OKWWP5MprU9qZokxXY8pVBqXmpMvBFnLMjomOw2nmPqU
KfPKYYDgGeSmBdHkwvhYLUBQG0FxhFoSdE2Q4nzITRc5Pmfmjc4X2/pNvzP76a/e1fLzKJFDi+PA
h/Ljt2m6NEC3Vmp/gWN46AA0NI4HXKs/D0JWI+A/UfAAroVSM+5Uqw2imn3kiylzvviTH4tym6qv
dNuDZO58A34PkFdbxMWvhWfrxdX06hHc67/1sME3+gvr1Lo+858/BeUKKGaRa/mgsrOoStHlKhZL
NnEj2zIZnOyItmBA3dwrM5tv7RRsM64jW5DEEuLC2rJayT6EX51bwBLTOucI3ytgE4twrI9Gc8Wg
47jwypcl8c0+aS+nfNz1l548CLiQeXu/ZM5KUzeFU8stD8Y7w/HAKoZ94dAUG7tscZbOi7s24F9H
IyGqOJrOJa3cn57K938AyqsUekl00WG/WefLisGGKzU483eWBtBFaEoiywCTmInmCw5D5Q3ErmKf
5YWzoO2tPcZOBzYj3FYK+NW75k4HJYtYD6egLnfjvGINEIEjTTzUPncA2V5yG1134eOVLS6ggbcM
Dqz768Q4aqrF6HE7u1Od4SZ8JO09l+MU9zmFOyhO6bdTQ+pYSbQE5pkH9oA9bBogLnETeeW1Lv5y
rMDRDFNleXewiCKQf73/hHZuYmOoSn4amFXv4U/R3fiEu1GpAR6duXeJDrEem3/iLRZn8Mo2l+X6
fTxqKgB4seedsiwGAl56JxtcWnv/+chcL2jrKKsZkFvNNAuNKIS8UtTGqfd3y/9iBIfe8n8eY3XL
lX05qpojgMQFjvuPpL+Xl/wRPywjSxBoliy62JTgTLX6NnA5woWtHtmJD9NVATmwY9hb3wDEs9H6
bgQcm7hpnPL0CIOdUNXB4+dvcfn9d7PrT3xkvMERWFay1UN2XcBBFoNtH8w5Y8btrfLvmunr50HO
DQjwSP4bZPmUb871PgoqNgGN/AQRPZQ0OZq0APUwTsYlpdPZp4EPD9z7XMy8deJbuwMFE5NmJ9mi
1ZaLV88D4Jz2F/ah9Tb056MtHYBwl8FBZD3BST0OAuet7JRzXoU663dKg5rHyUNTDkBM2L9bcmkd
pH/UMe8/FeIiJUrgPY+V0Fx9qh5t2DZQwvPRmGGaq9Ji+j05lc8AoSISbDg4fqS4yFWAFt/ORd3G
Rl6WsXBpFxU4Eoezp3vcEtUYdl46J01PwSkHGy2ca4CLNYErWVg2qt31UMPhIlTrB6ZtgL50KXe8
soKEDcq5RQqBnOxR23FX9sGNGIN+VxL2ZDdqeK4ce3xVkIKyyPCHMoGlen7vZUWVqLF1Yh92chFx
B1jvBPWPRhNAvGxzbqpYC13zsBirdDfTptoYrBP7lo/ejjmyDzvtzXHnDdUV5dOUtCag2L4qwGBu
cyfRmTTuskWoAKQhQX6oAZQva5obPQu6nbG3bRSSJYe0B5oPAPgGoGfXiRyKnAapzAFSpACYmb4D
ddZKDQJeuxfcB7LSp8GU/I46wEk6DvstAthZ+K4s78rR7SKB1TtKTQNZkELAXxgc0ZvKLpykAW44
Hm13iNui7xMUgr9DwJ5HjluRWAYTiXE3EaHIqvTaZ555izu2ea8q55phnWzAOZzqEazTtEo4LWDT
Uku291g37Wx4g2K7JhvmoY+uyYNX161mFEMlD/3AZ3GZczPJTRevdMiNhGpVfK0BEI2ZLspodGsT
0xwez6HjjT657ji/h8WGDbr6mJ7ynP6wRTHspqJverx/RUHww4zaGY7Ows7NXugkYaU1Ds1Xghvt
AMS5w3Qk5fwyydxVUU2C6s4IjCG2kWz9gUZc5cRDYNFvPGDmi9V1KjEGaeAONPn+ozVZ9Y/Ur8gX
4FzFtVlhKLYW/SXNunuebeDE8X4eMDqmJK26X5UxGg8zsKRHDBL+GFTCCfado62FCSuR4HJ5EGIg
WmKHlfs3+o69+0EBuccZBbgymNA1V3t91IMrt8u7kpxqMw+akIKgiRqpUj94w/vIRPc3LDis4Xuq
aHWC5ZsRp3ASZgDtZcDdj6V/Y7fDA0eKcieEQQCSdDSsdBpjxstRPITBH9uPVSVvedM5CengpJUt
I2VyfQEy4nRsHNHjPfOfhT3l32oW6LvMhvqqxst4zHEY8/YpqMCbwW68hynFuw89K2MnH2jyW4PU
7EvZNt8sCHWeVWO9FClIh9OA7GXvzKD2DYbagFf6dTZGd4OPNN7h3dJnG12KEfgPJAYPtYvtahIb
YBWCWBTmCzh2rhtPnQJagaP5Gg6c+IeEsTTA4fTJAQkYWMiqjmEBoBJ/NNU3hunZoCWjYjdO22k8
aAAFYQCm5vTDz3/0ULWztA57+xcr3Tl0m6KIyVBpfOQG/0MXNF0PmuctqXIVBQPt49lLRex2NN90
kFohX2qBi2pysrF72e5tQR0gVzP/UTm5iVJAyqKSTQy9BUh/TRhzaABPwSBkoxnNrWrDivuAmuvB
AE3Ug44JSF/gkvjAt05ht8+qd4wfwBj2cEwAtbDymz6yeGlcedlSZigDiNcBpwwxkc2Iu3kVWUoD
7tJyRz34JbqyrZQH26qUIpLaH3+jAd68krBM/aEFL/fggrtgoAr0WlhFBUQiCG87rD5mJNxsiEuz
J0/AtSsRTaJT100xFj9cA1WKkMO8NbJzOW+p9PqDnbfuthkMPxlK0j9buoCZ4Bg0JDZ6AKnZNAQ7
q+6cqBwz6xk3jyDMC1l8saqObyXH5aj3+uyqh1z7NKa6wRpuAFQKD6slMW3e6iJ3N6VhqHtwNKdT
Xiod6y5AGqGevVgHhTj2RucdDBLQHe6scwJ6efEVkOlql08TAYjRrcOuNP2riQtx8BTgjmnRAY2Y
kaC86irHuRZTmceG2Z1cgs79PKUnZpA0BpfuFYwHHvKhVqFTls84FVWhYAacqVKvi9G3wDemASGS
Qev5thg6HhoB2PZF22J3AC/6RrXgQaNbqQ+tEl0GoivMUDppnahSNOAgA9l7kK2Fvwl/1HWfd3rD
u0LfzBYQtqZAl5QNJkfSlt0UOZMh4sydnB1jJtmkNaPJCFPKqGVEf8PWWyZTlvNkHuG86hsNKJTc
yJOmwJjuheOhlODCAtJz4MJulAUgzITetL0uI0/WNEKiMw3tLpNoMmPyvoG1yVbZiOtr6W6C1KxD
yorxqe5KP26HDtxP6FBvAUOHfEnn5r6gabdtDNUkma/HA+34kJRV720k2KUbheV/LwtzjAxZeHsH
5u4PutJDZCgCLLgJ0aDfYPCowrcSP+u9eK5gQmlM6N2Nhga+laOtWMw6yBuLtHOuS/iF7awC/3BT
H8DkDGhjKlQVoqy9YGgLefDoSJIcJc57lcNTzFZtcy9F2ewrOevHVo52TKbAOUlF8EfXskzQu9N9
L/QEbHswtSElPexl3W7Y1tpiMs7xtkKLMpg8lIBzFg2t96WV2rFvi/aqWWjQ9kTBusUoxpzm3YMz
OpDTeNB+9hIkYYvTAWh5owpBt30Vrq1CcADy0CIYZ2MhyBXmbIpKBrE2jV9kWx/Y3HDqgnkHq03M
sjRgcV53djSiPBPac+nsu9qAkQGyAs4B16ZpCLMc0HhbeQ9FzprDCE4y6NQmBq03Z3GZCpE02vQO
DbP7DYw0/DDoreoGeFGGWlHjx4ZwKxj/42yV+cgX2GMDn0BWvxQ1HDlSNGPvURtJNy3S2JshcHRo
mmUQTrWnotKFhcfUuDRpRrDX69b7Gcz9T+mP/kvfpwR+gxxrnrbMreyRgJQe4BcTb9JdB0ncVY6a
xI0yMr61Cy2eitlII8vV3bYoazuqFJVQm/I8NuFVu3FNIbc1zE2vcSzAGJx61JZRhNhI0dMEuZCT
ZhmFuZyPqlfZSnfLUwFegfCcNp6W3SbvenxTFBVCZHCc+9GBaYtTGKaMCAVd2Ol5GbVWD4tBrxiT
VCm+q8F6PM5AQO+E0uq2mpHcMWTn3WIiTcmYM3YnVGHeylpkMbAGxiYnxrBFn/wEt6nc8MOqNPMY
7snNJodmsou19vXDZLFfEGCh/cW9a3HKTIjOhmcPzQtTJGZDfrP9SR1Jq4tXp+mKr3T2WOLmIL4O
ZvazIAUJU2MooyKdl/oNtSPV40CL5g4cBdyebjqZmgk4HhlaapQfu3MwJqjcjFFaSZn0jQNur+HB
oacdnB0luktKg2DQob0CpFvxMgmoRLKRVneBM+exXWfAOKB/OmReE4Qj7JoT5ggjycjEE89lmQm5
bGO5W6eekPiXQ9Dc1/2Yhk7GntkM3R/rOgnudZO5iYOb+TFz8h6C/zYvDznN4QcISypji7yAjnNH
2gdXUnVLmf86yGIIG4FB76RNthn1iKPpwIJdSgfsOxX2QV4KL5nyvtsj6ajBIiTZxmeifrGt0r8G
OaH74ndGeVBKzEfPYNwLCzUrcSXZjJoS7KXbKAeuF4du5JPu1IgFIbPQFKtRqMeeghxTORUd4B1u
cVToRL3H0UyEc9qUmwyZ8Ot67INHTcq0iWByqA8jwMl52KXm0IY1Sfmvsq/10TH86qFEeeQKFbg5
doSNNvcu8xoolwZ/m4rO2FA5YWVwOQC+sx3Es0WGXSnabCfooGKn8L91GAY3adN0N/mQVk9j6+XX
fQYadlEtztRTzx8zVJA3QKyKWM+BHdpta34JrIYfLWZASO3yDPehVm+rfsInrKr2S1+2MMKZgbSn
DY7oNdU+0lUuPWTdXCeCNc+Gkiqpc6+6rnPdXAFn091kds924Hy2d24pxwffa9nelDlGCbjT+9bN
f+P/lcfZYGvIMTAt3WzqtxTcwD3uW+2xbVqc6iUJkMxzhjTJoOY6lpMwQmPw88S2oCKtHNwxqowN
j3bqWhtPuuYdxZz+0pmeSLIsreI6H6BDNqs+FGPbX5nFXG8mr5/uuVN1906BPLY9OySsB602skij
IA/26LB+KpC5j3WObB6zhiLKq7q/tUZclhRWwsh0arWxrNLZENq5ka3MYZu5PYlBcv+VFhJ0eq9v
D0JycisswK5LEwBpz5xCOQ/wAeRBd22TrPte1uAAm7y1bwQsp8PSr0lcDK2HbXosDpkpCnCysyYu
ZnObESMMKGR/MCKZDwPaz5MuzduDQYHatt1Uhmxm3T0gBBaMixwrHtFBc2UHKd2UTQ7A9jwE1wRc
VMh8KEWmj2NHl0J9gTbgNeddcGfaWOE8Cn5wt3ihcKjR9xPjwXdLkgrpn1THVie7O6+qnStS0+7g
a/OXB0OkyNKSHPLRHkMFCnGIlHS5mV1QhjIwHSKKg1/oSjElntbQ4qJLPjHGkWyZa+qQl0H+27E0
bPFsZty1XpEfuNDVpmCDGcFZNksUXNdCrN5AM8PgbctdBdi12eEASkHNgbWUPAriol9wcgJUyRs0
9PICVHialfvehZP5GGRNmA5NFrqcNS8dLLQSc0jT/Wz1VTSb5Xyg1lR8R2rc2wSSjNezHH5PeVE+
OraBd+kWTwNVxkbo9KdWqnqQdt4cuzIFQGe0rKOw/D7EUZQlveXVWxzCWWRCngjjImuI80zYsDCE
GTxqbgDaeK1x0Iz3cLnCp72Fh24aoXjUxSWpbzMykH2Kvm8I8ibjzumQlfByR0BW2oib3smHU8WN
8dHtyMPcVaAHNWZFH1Lq3EFZYjwalAMUXpSCh21Os6NjtTj8M7O8EjYVUe6kv2ld6CtY44wHlPPr
vYPtKuLZiBODUcw6Mq25fkpZed9kk38o8hyFyDpvopqbkGkpyaKUu82V3RJz29dmELVN0G+qLC2g
G3CfkC8PdjMv699FP7nhPHXLFSsrk8JlPa5esr3zOlKgw4HObogm4/neQxZ/72mSRzjhmlu4BPyW
ZUF3vdUWaI9CM+7IlQ3R4OxvKoNcZ81QRQFrzGNr98tr86d9Rw0ac7v4XlUF35a4bG1yWWokEewi
KgmyTXVt4ISNG5d7QNZvfBSjN27S2cQNcsyrr4VhyOcUsoaDh/mw5TZluBKWBnppWRPyImVx0LbI
ZfUVAeA8nW97wx/DTLjivuXI8OOmml4V4JQmVTMaO6fzyzYcQIXGYcLPNiaTArt+2YXwNqJJDUPr
kOn2F8R9bVhiWu8M5A2STho09EdpJHPTNCecj+fQQM4eChOMIkZdmArIkdwEeiyvs0ryC8Wyj6lr
ZPIoWnApaIDQBK4yeXIcPHemwXzUZO9Z1/NFucmHpC7cdZArxC8THAfsVc2mVkx5SCrPx07fjvk+
sx4+z+ee+/vf/L6z6oIe4EkfEI7fp3dlGo2X2qw+ZnGpT0G1QKcyYGofRHKjH2BfG9P5CLAx0oMH
29xM+aW2tHPP8DbIkuN9k5NWbuUOXo8gRRYVRviXTp5Ipb9/htUnoCirqLHDz/vIMwpo0V7+/hPQ
xbQf7VLomVq7eE5+i54IZJuOlfp2VPb3v/51tGdCtwAlwYLfXiXsUzl0hoS4+2hI6xsEMiEyXhe0
Pmfe/5+aB2TjGKwffbJxaC4aBSuX1KzuYOsPr/TJ/v35Y5wZSIgB/zE00OLqsa5dwhWe2qinuUdC
74g6yhqZiS+fh/hY2qALEdmGvdhSQFlzyrUj0CRnwtYICrhQWf6DW/ZIyJff/Brqpc9jfSw7IBYM
FhAQ5HWEez9kJyQW27mB+UBXjrui6g9zqqFfJl8sxX6ak0b68RIh4uxXQukQTlpLG7K3Cmk2xhjk
DrwcBMie5SFjr58/0jINVjUNuvTrLpAi2JavFeWwB8AZpk79o1W/zt224lOI3Gk4YuKbBFmfS6qv
tXBlmZfoikAXIDQksFleA6TchtKyzkzvWPc+SWAs6qIaIg9u6m0HkSUF75Girb+MtgHTT2gnP3/c
c69zWdf+eHDA93P5928WHWRxOwPW8d5x6sxoGg6595cwzf8835sIy5R4E6HHnp4NueUdGZhoFYak
/+XzRzg34BfAL7YX9KajMfl9AIEDcoDkEUYEyCkorAwOyjbNss3+pbHDAvaAeR9eF4qjaAX0l7/k
zaNMBGf9wdcgAyBllk2hgbzt58/ysVK/hIAmH/Y0CyZwPfxyeFSaXSut44z6GMOlrD7WiwFpc5gb
NMZX6tnoqq9m6mwVrbcZ8nfO+Ovzv+HDkIDkG8s49HooAtvu+ixQmK2LWyt6eH0kRIusup5tdaEt
9WwINBrBi8NfeulWL7LB/QupA3s6Dqr5bcr04FfB9vOn+DAqlqd4E2IlbwTHLGeltKZj0X0nNQmr
+m6syzBzN5/HufQoq10bd44gECni1AAo0AaaaufCInsuAo7PWOxALETr1OpJMtR78zHjiLBk/pgD
FS6ysheCfFyGoCuAHTQ42ZBqYp9dr6tT67SAWQ9HqXxWg2QHAVE7ygC3fKpUWGdZuytzUV5NIzy2
hccDdLPXPz5/mSvJ4DLBoNYi8O6ALMxCw+P7CVYZ0Nv6ugS+BnkPOJhCdIyDr5OHNlFwt78kJTob
DlHgbAPf3A9Hllwhlak9ezi6YLHa4uuoVVgiZ6/0s3OpyfLDvrI8GtB0Aey1MDDXE9uXNuxHxDgc
x9F8sly2kZ4Hs3sUpnDMmCC5HuqYe+VPMgcX1pSzkSFXAvENp1fwCd6/1MGxG5kSMhw1VFmD9uG1
TCKv3qf2NelPaqij1Lik/P1wMMDTQmbkY8zCYfGD4AZ2Rx7KSMGAi6iY43qqbr2qiTLRxiLovHDC
YpZUlnXJoeJcWBeoAqzSwKpgGL1/VEcpbVBJxyNs65Hx3mYWQ5eFFWls3fivovm7zpY/4xXDFR8U
qiLcm1brWElHgRy2jfEKsG2FJOClnoMP50W8R+hgUFxb4Ikoo79/ILsUbq17gbmPS3UAyXkNnHbZ
/fUpYAmDutqixkQ36/pYiikAbYWlxuPs+PE4u3ekkPvPp/aZVQwhsH5Bb44rwlqlnU0GShqyH49F
I/RpCpA4xn2EPXwe5dwA8HE7gOsXsL4wrHn/viqaStc1xHjEkETJc+fKpX52aLSOtLsb+5fPw53Z
ZKA5/yfcavHv9NRPPG3HI8mg2xh/BdaXiXqbOf/5eZxzU3hpAkMwqMQ/+G9rs6EZc+vxiHTWvZs2
WISnl7xxnnxFQovziPb+LYA57MLScXZXwHwCmQ5oyo8NaKLsS1Cd8+nIRRaS1EAmqE1cVyE799rS
R4GzKbN/OJeUdOeGvQ8d2OI/BWntWq9nGNTtFCcAHs6PBLcWV/5ujNfP3+m5o9YffPlinnam7dkz
OcqVwzwemXnnYgW2oNYxyjudehH3VUjmk1fvbPMms34bw/7v1YJYirEq458Odh5A4N8PVWcQ8GXg
pnVsa9BbkOhlPNt9/ohn5ty7EKuVP+jaJVc9W8egUuFYbQ3rguzszAb6LsBq/ZMOnOfdDM9AclSK
7E2m90MDSUr+oq0LR4OzzwK5L3bPBSG5RqmYM+CSOQqBR9/76aXfL7HmLvz8mqMCDfccTHWJnw8b
C70R5aX0y5kh7aM7EcsS1j+c8VcSVN47qFpxggyVBJi0nTR5bKEKOhQDcS/sSmT5rXd32GAxUFrO
8EDOmGiHfD+0JqHqmQhzBjCYhoS/OPb1bPBNJp6c7BXuPSiRtbsAajbnQgrlzPL7LrD1PnDuFjYb
XT0fZc4eAC1NMvs5HY6dpeKZ73R54RpxbnlCPPh4YmCAN7vWqjZGbeOcqmagzdgPrzB/NFaToHqF
ckPGYLJdb03u/5zT9tqGOcOFxfHMkEFTE5Zl6MCXRvfVYUPDDCCoNLh6FljcTVhc2Fsu/PzaHKiv
Cz5l8HA/ImsQijbpgt9/vTpAXQvfYgwV7JRrGTtTXOXBoKdjxYwnPZo4cbPgkg3WmZ3rbRB7lZjt
ejM34X4O+GCKAIBT3teF+4is/SssXyNMlBcDSLoQrjjbz5/u3HwjHvroMAsg813fYqVE8YCkOUC9
6quHM3a3RQH18xBndn80nP0TYvmCb9IBjvK8sVfVfOR+7HyXJKnkTrkXxvjZYQCmGBYOpOZxynwf
RKFn2lYzgthz7E5Rfek9nX+If35/NWXTyTAblwGoPAD/Srew/R26nXUpa3f+a/wTxV49RRdMuu4R
xW4T0w75V/vSc5yN8OcAi2ssWL+r2Si8CS5U2Z/7PpCkZZB9Ky11S+RfcjaWI7+/4LOd5boMK5DV
gA6yTDlzO01HF/e40epuGWrXMNtTf+cD8v9xcGeDrtrHdXF1kgXLCHo+DcSqK25qqKQVHCz/zQIW
/BNidXqlTPqsLRGCQdik0JDu5hcm4dnBhWMjWk4smAauuxsN6ByEyj0kYXB8rAcLEh0vTpvDYF3q
jDs3TbAQI5WKT4JrxvKXvJmLBboGpslwUDxB+hRSuwuv6tzoevvzq69R4tJKK8hYwT/0Y+tXDwGu
8y9WE5x3sVgtyKwP3jWTMmw+5cI8Zm3MgRnaQ3HiXbqXn31NKA0gywjny4+uFb0x50KhThbMkCSZ
XRPmgfv498siMm/glyEdi3TD6l0FZZpC887MY+APCc1BVkhFyClJgks2feeeBjv/4oCLGwquR+8/
OtSySEAYE0paMui3pLTQNI5844XGunNRHBPMKiSkMJTXJzfTN1zP4DhNDWpjJNAb/f3rwrcgLgx3
UXtd90KBu+qa6ezOx8mGUJS1EfyQEy12XnfhWHhuDP9phoQH3Jn+ckvVrpMN6XhEST/si+81VD11
deHKcSHIenmE3ljZulmCCBY17XPvIClyKV1xNgiuTQthGySx9QjDWb3ucVQZ8UVkVBm/EQtd0w+f
f5ezn31xk0JXDap169qWhXxdTgPkdgKIgg9qbqxtyvTvz4Msc2F9UsfX+G+Q1QhOWz/V0sNFtyqQ
emxfaogOGvsFX4aKfxMK9VPYo6D17sMFZHD6is4+ZP75OInQMuX/kXZmu3UjSbd+IgKch1tyj5oo
ybZk1w3hKtuc55lP/390nz4lcRObkLsvqhtdwA5lMjMyhhVr3VqC9NTl030R6V8qMM/Xl7a6f9Bn
UrcC4wzF7vvLWSSVCumgOj6KWmGbEomhsuGU114XlHv+a2E5qBxTBazRMB4fLeMYCbspuZ9xgFsB
mLR62qjtSTgBYm1l8Ux6EE4WjcrGZQz0EFnc9/poJ0n96ldJc+u1peJMNEyoHKfmV6FlejMFAmGn
w2AeW6tlpqbbRUbabryta7mWBnE+eARqM9A6vt/fLk+kWGhpCxRp9Xcqhfda0QbMODWh09AOs61U
7I5lln48Dzfeml2c2NEvelA2wfhYab0DFHG/qcQurZ0cjdFQLh2r47i+X5lhha0VMFfDyryeiifg
tGw00wPBtn4rjlJ9K3Sh9QDSndEKxKUZNRbSfZTG5bmEo/aIeHfpCK0abWRkawdh5jKgqz7n8ctG
jDZ5eZCp7HjU3wZfW3hJthgzVy2gNsoYH8yZVPrerzwMmF8Lmbt8lMCcxmYFrvdLXm+hWdbuDTR4
EP7BkSdeMJqVJsDxzsJHJ4O0y6bmhmJvDaNLsqWttWVocVZ8M8uaLsKQNwLcEPMd2Ch3SAdGLi31
9bq7WbsOzIITKlPxmAXo329dH/oT/pqWYiYI93I/7nNLOKohQBeJvlHSR6+iGP513eba+ubvpBCC
zGzzCxfnI1DgmRXzj4nn5uqTmYh2zzzIZhV2zsGWr8QbO8tHVbTGSK5GorZ4yHY5g0c1iDRrEGwx
fjGSWyWnwsKFj266RDwXzRZryNrWvjW/SEHTEb4oQHTTI0jVenSq6TWvbyRtl8o2uvXXt3Tt7vMe
spm87ZK2bHiE8VCGeiuTKFYIfhVqY5M5hhsPx+qCSOKgxAXoc0HvbEbwrFg+343cqzsqgjDdKaXv
OZ7SUD6KE2MfqX38qU6DcXd9eauWCVxmNWH+sezFKQlTdarGVlb1qYIVoKJvMMmfQ0k9WMgjbZGH
roQXRPoUYEzaYZdKvNU8St2ibP+oCU8k9+l4KKpZSE0X7evrWnFcBMZEYui48CQvn2K10QdmbCPx
kSEHZ6p+MPXQBC/XbawcDZPuFJ09mOpmra33N7wWpTEeQR8/5tNnbzpo/fkPfh/mpTnUJ5NcSl0X
uZ9K3VBKj7XlDCOi7Rt7tPr3v/n9xd8vVpOftUoiPcpW5MQS7GEfRhAiV0DCxRdgFpPJ/fk4vEmC
ReofaTIq4qMYxLa8m8CyfnyLYFCARAJy/rlp8t5AYdZ9mqJQ/Gjej5FiCww6XTcw/8DC03FU55/m
7QdtOZ+zNytoxC6pPbWTH9UkNnatlZ69SGM6t71VBu1UaU3sVL2FNEwcf71uecWXm1Bios9Ih42W
9WJpbRaLmTDDIyfGD3pHfxGsfZc9/4kRcGWGBecNXLjvl6fEHuJKQyA+JmIb2rC1nFtP9JzAmr7o
Snr8A2MyhUM6aeieLk+D2luwkoAse2xr/Rlulk/z5KAtpJE7muPGwlb8Gk3wf23N//7NdxNqJlnl
ISbn7/5Kkr+k6kmHuDb80lovqVVvHJI1Z0MrFNghICwUcBZRkmJkpoFm6/TYMdRPqAbZDgltEGy8
Emv3ldYcaFYoFSBJW0QUMvMghjfRXMiUxrEsBsk/XtqlqGDRDmcR+LPFYa98ldn3Qqd+zHyAdhsN
7cZGra/gXwMLj6PoE7CCRpke1fKg9zfNz+sHbO07kNjhadgiQ17SPwxVbzSjR0sr+jaKNyaiah8U
hJ6LoDyHvF6cYVrQy+K3ZfTBFFn0k8z0R5HZWrLl0C4fSIUYg3NEhZ3/Xvp8SfaSCEE1w9VCRgX8
G9/6iqCOowTDbog2KrqXXwNbGqwjVI6pWC3vI9y+hSaFo+7m0k14G3ofPk3vf35xBcMeSo0p4+ez
OzN3rK2YaaVdDkYKrz8DLWm2Lf98qxh1prwbzWWkJ6ggjZjc1vfttjxL2rmQxZ3e/JDmWWnhVmKO
VBo+f/S0vbe/WJ8FtRXTcr3mCtaXklnmKrxp0y2NkcsjjZFZPpIyLPilZdGns/qsnGIWKYXPZcs0
ZmrHxtP1hfyGer1/5GZUJfNY4LGINJZQsHwCbBERArvU5stD1aV6D65P0T4FbRi9sstMu+bpszXW
zUtbyAqBaBEGtpBInjMlBYP3jVXfDrJRPQCspfs4eVH42gqteWzUob1Vw8B/bLI2PU+Rnx41v4qP
hQLETRxBHDAYLjcnQhGkD7VsHG4GYseTT6HBrsFDnMeuSb5D+Ok/0Xka6OWb0ms8DcKrP2riwRiD
4rELIJVpqymxPT1hWMGfYjuLpNgxUljQ+riVsiMPT8dI21Q8RHnUAWVWlS9DZH1q8uZX2AuyLQRi
wpTcFDbTgTpYcK7G0f+Wo8l3W41mezb1MgTr1JX6rwEs2c9EHoXd9S+x9rXnl5iMm1rixZtvZExY
ianG1y7dhCFRZre36JTWLv0bE8vUTam9KgtgjXetQxszLnW4voI1/0U9wtTmyR3lIqDIc3ZyaH3d
FcX+EAqnqfxZpI2tejc+k4fXba0v5V9biws4lI2a+BW2xs48+uJP0A4ffnGB9DMdhJfk2WUM+n0U
IeV+ppS8/K7UHYq95p+uL+AyxJuZAOfizW/qJ1F+//OGX1Au9CXTlYZPLSlQqc0on5O6VcVZ2Sgd
jk0iWNnEXS4LhnUU+qUgdaYbin91t5n59ePLYB0MGxMpg7FcBpGmKhSBb+mupNTm02BO0HVopfB5
SpT+QeuY+btu7zcf/Ht/pcKbRq2bq8KcwBLo4LWt301JlYGSKsunvhjPkslA9L4K4wnKIlOEqin7
ZopFvO+nuH4wGoiToiwLbK+pYEgOKRfUZm19ynFR5t7UURUdKzVj803DUQo5/q4B6HuamQ6cXMjb
z9cXcHnNZ4+ugfKadQiQNXz/3f1EajohnVIXjgBR62xaFHb14eaKioA1fh3Ke4Cny8g+INZWGeKM
XEMsnQmgXK0PkEfsrq/k8mTNVqjFEA+thCtZFeRy1BqRK3S3khU4/fRxl4gFIsaZzhENy+UDCCv0
OKhiFrtKCru2wZy/2Nr98Ovj64CTk0QIZVRivEUEP+SjRvMuT9wxdPKncZOZjA+6OLBckH9/ft7G
N9lIJDV90Gv8vKd9m8K90NzBnfFUNseoOUofJNDnXiAeTz2C0VkqVhdfnm6KMYoDp0vOknuDge68
f/jobiHoZ1Bvpm0LleMSDYkygBGZTV67hbyrhWO+JZw9O+7328Xvk4JYQBGB6C7vR6iKQWgpUe1K
ch3dd6IZfBaRMb6JNb26U72uPyuCaNhD0G/Nj12e59ny3K6Ht9+8EJUM1EKuk6as3eZHl9jRlz/Y
tze/vniwxDGGjCOqareMIMJvzt0f1ENohTBnQviALAD/fH/QLNjoywiX5w5wFIx2pGzFo2sbhMua
1d8BUVyqnvmSmkkqn36sHgTvTlQ2v8CcxS4+vjzLmjDQhF7tBYGt1MrwLJi+7DbY2vtZrzleBfuS
IyYpmgL+1IafyfNyh/ld1SkEsgzHarqSrNsbQ7QFBk34nntW5TSiVznc7C+cGMlOOr9DDinQ24NA
H/Up7mRzF+SBeUCSWYAAYkR7MYE+CUbJT37faA+mpwmnKMhA7sFmOH0ZLH3UbSmX/VPNXEgBfZxR
H8Q8mm57uey/pA1veK+HPdCSWjAEp67EcZdVhfHhzGp2usgjMaEHIeUyLJG5C3qWBrILH3epwK74
4cDq/e8v4pKwKvq61udPMH5K1VdV+379HlwGie9/f+Ftm05CghTxWLdPQvGxr5r6XgIxAcOi2CkM
qwdy+JBJYvlhtzULIHMxKHUjhrx0W2IZyO3YjOVjO52N6LP5QVkRHO/7319sW2lWrVe0/H7HuK6E
+xg24sUVeCkWuNbEMHO1aVkdgPl96IeuKIE3PyegM7QBojyoG2DvTYT7Mkh2ffltzNLd9e+1iFNn
QCb9D4oewJnAlS5jCR3eEkvA3n0/PUELB0nUbaa+SlsA+IXb/21mzhqItYG20EN+77zGSEjMwfC6
ez03oHhiriwd06/GEP8jxvRdeit9mVrV2zjsa4ub4WDm7NO4UIvolcxRsYSom+6bwHN63520v3wy
xymNP2oIjWyYlUFoAkS6VDWD4M7Syx4CH9W6U7MvXvM1IwEzvn3wW2EFYUV0cRnNYBcXL4DkjakR
61rodt3XAWoisYKMyTQgE9wqwFxs3GxpLheyGhFQxeJzRTGqkYHqhW6kKTdSEhxVwtk2yW8S3dw4
+ItXB0Z2mGQ0nmNQYurls9x22tTrMAm5Y3prHIppw58u4vHfPw+eghrIPGyEGMHi4MmF7KWCFbiV
kB1KI/48pvJer6cNMPqyYvUfOxYIZ/oh8iWT8WCJRa0OM1uqku6U4qBmv3zlUxjfe+1zqBMMfioy
Hm6mQqPhGQbPjQO4cLv/zzx0BaAzYBRYNvOJ2GBXFJvQLXsDw+Un+EH+amEFQuPjZoqiDS+/uqtE
h/81N3/UN0HvNERFEmh16MYyRNpZDKvt12A6Xj/uaydjxnP+18jiuIvq0KcapFJu1te2odxY9cZ9
WlkFp04h3SO3XWmpB/koqT2rAP3qWKnkpOpLmp8/vAqMzCA4E/3dCwcrQMzSKoIZulLyzdNfso9/
eEZUqIzDdrJSKeXciWWTJpFbiKWxF0BJ3ma+2n23Cl3/HfM8W2a/Bbda3TgZvwCcjJh0GYr2qelP
PeRi7miJjmyWzmidg2ALMrzihMh1SHhmiApcHIsKjU6doRj8ie+P2nyrPmXDS1SPjOdufKGLt4nH
DytY4t6SjC7OmUq0lYSaEbtNLEWH0RzEQ1N41k7s1S/ImRG0SBY0JlGhbRzw5ezMfGsBU+FgwR3N
md0iWBJg79TTLkpcBWyTJKhHMEoHITf/GuT63OXFTwYM72O4n9Uyu5O38ICXX3EGs86CbFwBPP3C
NYqjkpgtBRNXfKoHBj2Rwzp89Oy/s7Ds1GeymKqFjgVoE7Xnpiyz70Msd1sHZXUhsGdAOob7pcr9
3hsx/+MpgeTn7jAcsh9D+1M3nz6+EPYeuDfVT/liYL1rraScqqxwVQbUIdpTq51Y9MX+upWV8wC2
B6QIfKbUVy9GEZVBhrNWqgpXTJIHT4QWTA7AFr0o0RfKx3dU33aBpKM8Zu36ZisSvHC3EINAAsd/
5uLuBcZv7HWmtSJpcuu6s851BIOyBdPmRu1q/hZvUkBGft9bWbwcQpT7UmpOk4uGbThCEAvHYzqa
+zI9o2iiomTA43l9Wy/8CCZNUK/03Wa+oOXsUTn50B3BMO4a0ELeZUo2uengQY2ZwGtoKVW0cVhW
7YFGn+MZei7LlrFlZfUUVd7kDlUawiir7Y0svbOK6J823SrSXRz9eW1vbC2208oZSvOsQHSFYnJN
pT521fCsT1sy1OtmeCIRn0GedAlLFwq/UlC+m1zIGqHSr5AYGcjpyqrfCCxW9g5MDMUNjbRkvgTv
r7IKJGYamRNyFYjBite4elCa73UU7K4fCUm+PIagVzgQgLLoKS9HOJSyicsWmidXzOVnA1rBKZ72
1nQ7yw5CEupEHRIlzHVpd4Hg1aeuTNq92cEiff3vuHh6KKsjJqvOPTp2dfnECaCj1SRNBXdqJVv0
936+h9PbFrxPWdzZkLBcN7fyGTFHqIAqPFoKy5tAjU2Ah4VVh1Cfmjey9wXs7v9kYglksMpQ0FSv
FYhHHoT4q6wfa3XjvV5xVG9XoSzOSAKZs6ZWveAmyaHPDnG80Rna2CVlPjtvglszzLmzFbvUzbqZ
gKotyEDl/uX6Rq19eoIaqhUWkAamcN5bUcU8FVLB9NxG+ScwE4iAH/vmLAm31gjhtb81G7m2aeiw
oQbEg08Xb5EKZ1EgK74le24/fWM+hqvbbWybtHZ335qYV/xm30ahK1o5wgTQA/NOT5WXuM9u+kgL
XCEp0lM9zozaTV5BRQJOBHZrhJva8Ttoqx2EDY7nKc85xHH2ZLbFxoVf+6YSawdiw2T0BQnQTKap
+p7nucl0mxt3MJfbBgwX1z/p2gbg73+3ExkQWta24ypRx3oUTXek1HD+7N0q1UaZi5CGTVy8nyAG
/7+Ni0ndIId5H9ScKw+m5I6QAztZJ45O0VNwrk34C9Kh+KeIDBhYTaX/mutlvq8HxTh3ul7syLa+
SREMFWHk/6gJC3dSLVF/9XPd0UoL8vBU625yTNzIUVqcSliNz37WofoQdxX01dCQHgWxzpEs4Ib7
XUzLxhRbHdp6PzhrIe9qqaDGMaZdZVO/lU7op5aOrDIHBCX3X0anS/uh7bIdInf6ri5FO9GVfle3
prBTQ5WpJKeUkCQUn3tdB5Db5Y5fQZxdTBazDkn1ANe4YI9+ju4Z3Nd21PXygxKqECvLUm0XklLY
aTtUd30kpXdyb/QncQjFY2Tp+V3YwGKPiJZwL2Th1zIzasadzSH9WndDI8IBmuS7xJfGxq7HSjjC
N9fsOwVUYBMDRYh8STkppAqvqR8oR0uTlR2A4eamr7zwJsv15F5qheYG/Y/IFmFzu60NsXaDwJAc
qYOrYGyZegwF4yUIE+XG6w1vP8pGdqNOdXSKLa06tqmIPldQ1g8B1Z1drYT6IU/ruXlleU7oafCE
l/BOyymyABl84I4Xd8q+0pXs0IPwOjSGMOwmE1EUmKD7u7wJIGtXIHr2Wyk+DbJX7Ie4lc9TQEG7
aXPrnCaDvBstNXDGYgCKVLUa/NvGeFeMEA3XPJN3nhlDBKX2+lGcxPazKQiFrUeG51ZG5B166lJu
baB8p6ErgYhOUaKBp0o7VRTMg6p5iMGhY45uQGVXiG84EJiIX65fvYv6x0w+ICEwqjO5TFdxvv9v
fE+iW2UdmpXuDih7AZTfxd54FAzvrvPQ70hiaevlXnEoGOSOg6/mIV32LiWp8YdmanQ3QnIFbtXP
qiDeD5b26/q6Vs1QvaQRR0Xusq5djBF5iae7sgpjsiDJX1tZaY65rBWn65ZWnRdxAfQGPEsXQKFE
DcKu8XTTZQjSMejTQKue7gApv0St/Hrd1trbR5t/Rr6CHAbv+P5rhaZWEOn5nmsNmWnjSm+B4N6D
LkHIxMyP8YhKSvJhbVViLViHqPbQJqAovHhwiyRs4w46I1f+C8mbbH99Sat++c2vL4KGSkHYWsj5
dT1PHDmKdlq7UclcOeLsF21spmhYwfKIww2RQGc8eK6UJje+EhwhjN9lFhSiAUGrEOobB2JtReSi
lF8UjZhhmcYwUBtNzFTzkab0Z1sE+yoK/2BJs1om81e8aBdjgiPlqrZTes/NQs9pVPHOyGPbkH6U
WrMPBGvj8Vy5SyZAOMBuxFxUhBenDpVRL0rzmQxVnnaoiD3EWnRIpnHjJGyZWYRBUdR3ydhNljsZ
biiXNGvPxGUbocbaYXi7lkXJA8nr3mxHjEipm/fntLCV4a7od3K9AchZu6pvDJkLYHLRRhMKAxhS
2mNvPPX5M0PEjBkq9lT8qrWNMvrG3i3beJMO8W5Yj1jrrC+KEB0bfbz1eMyuX9ZVM7ShZ3Himc9l
UXer0XOSjWSw3BEMUPSYKjtB2EhS1twpwxEgx6n9UtFZeJugbwvVnGRWwqxPJ3roSNyYeeTI0vP1
tawUVOjX/8Ysz9Rty76hp5XMjBq+5QryXdP/ComzlPCm8vYWKmepuI+7LRzzlsV56W/eWtlDLcwD
FOZadXko8sIxiqdB+6u16OPlp0Audj0DJ9dXuXoM36xycXf1nli2GrFZqqkTZynh1YtuxXaLWF4N
B08/qBvpzOoHpBg2jwDBI6cvzsgII77oI/LgEoFNUrzzUSDrvW9R+M/1la3amaeY5iIsw4QLdwEC
1o9pUFmuXOszHR6TOn/5Vn3wmo2bvObP59eD0wg9urxEJEpCFwuK6FluUYk2kjuQwm9s2WX9ckYJ
8jQZ4AXphi7PoqGpiQLtnu5C1uVmpXpMTf1z2Q98Jg1lpHFvmVYCgCIo7TIMjlak/Li+mSsXm4YH
caAJjIX4e3HrhLj3gb2nwBVHo7bTzkdXbIr6nVki2HXd1IoHxhRDYuDKmKpYQtTjuBZROIt1Vxde
p+Hk92QSsX4K5b+ZKNzY2NVl4agYSpChwNYWwUUvlnGdj7Lu1lFjG55ysEbj0Jd/EtMyVsPQFf0I
UrPFkWeqpy5yM9BdZBPdWpQ7W1F89dChpHO8vnlgWS7zWA6KAu8e1OHmxVFRrDYWQw2EfWV6oPIE
o3XkwZPs0K+cygRa2jnF8CzQKwjKal/qIOt0C15soSp+Mmyev4Yx45u23FTSKbMAWZZaWkVOJalP
JboetwSVw0Eo83CnR2nv+ElfoPChMQapqbm246/6OcZSf19LVffJRw5lF49Bdu7LtjgzGq0zNVzp
R131rbughFNE1braAdfkBeiWZOWDL1jKo+wFrZP56ejooYHMNtQaR09uAhdBnXg/9o2/l1E2JhbM
u72fTp3jA2J5TitPP5dZpduVqHa7IgeFpGt55kxqO937Uf93lvIXmKHh3/SzOmXNk/iMlJV36lV0
WxTKY04hhZPd+5V1LEpRuW+62rwLy+6z34vDcch503wtMm9NcJzHwPdyBxmv4dZP4obg1+/l18g/
TeohAkaQS+WtRnUmxC202T5UhI7k1DRuChpiJxAb3TESs5FRi0l0R0Mdn1IG4z7TcZFvaxhF9gKz
X3YkIzmnDigWpGhr/sw8FhRXynQTZGhsIK2a3JQ9W2XElvU5rhqKP2NSHxNURw5mif6P0RXSmf+F
2ljc+k5bhO0uURrUz2rFt0nmfFsxaxRIfUW3owbZoE5l/hhSoXjH8FTrcHnQV82jZidNZferHQwB
2S4EjUQlNG9SoPH3XampN2WV9A/6gPSBXyrGXVlVieOpkXCKAZO9xIHYcLCUYbDDzpS+ZOikbbji
ldeMjqMGQhhMisWVfv+C9ppZqGmta64XTPss+SK0P7uh2HlxbBf93wWCbxvXbQG8m7su7wwunmwl
QOFKMJkM6Cq3Sr8Nyt+Z9wAFpKY8Ue60axHh9nGj07PmtN4ucvFkE7Uh6omipptOJ2RZKs3W9MP1
da08abNW5DxRRWMbuMr7fQyBJ+vUFwxiH0QSSZC9YsNRrS1CI1Xgd6hHXSCIYl9WJkRcDLdTfkie
sjcm5F/1rdm5JQvF7+8D5I+e38z7Ac7z/UIGueVRhfrVjTNNOHhdkZ+qAloGoc3/HtpWvbU8RXlN
VD1yRkgyHa0Xq11SRdlhio1ixwrqpyhFYun6/q6uHpwunRgkSUAYvP+ztD5GTNJjfzUTOr3OKfHS
zRbjwJoR6M1Ek92lPr2saAptgvxN3WmuX/7qZt3FnVX+vL6OtXPy1sQiLCiKpFHQwdZc7a5GoDUc
tvBf80FbVGXB3bCCWWBevpiu7COvTSDU1mjc5t90lHscL2es2wvFF62qicgjf3d9SWu7hqwH2TOA
MGhZ5vf1TRBexFqSISXIiSmNX2Dg/DtIhBAui/MtLJi65q001HQIrCg/XAxi+9SS42CaTNc3oxJJ
tak/tF35KraJ7EB5+aMe83TnyamxN8teccwyio8NUm12F8pI1Vmq/6C3WmrT5YicKczDQyVNwl1I
oEjPSx723RhbB0SVxLNgMultlBVF+ggNuWGwBicPU+mcFxCzU63Ub3291o9WOPhoIIrZSzgFxV4X
hPag+icxhYEWbtvG2rXwNJ1EMi7KovHw1ERDeqaYOlCUHNQ9r4p46EQDZEVgCjwDHW9xPVS2WSlb
zndj+5ZTWfogK2PiMQnEPOEO4bzXvoN0TYctHMDQsRo7R8rgYPuD48HQNwT3M8p+CevMlVxvel/F
aDfejUX+AsTusx9ZxoadtZulvbGzyF4sXyyHbNJMt6cqMIahrU7WxuO1kiAxM/vvUhYnXbYSM8wo
grp18SIntwjZ7hX1U0A49j9t2ZKVl/FiP1MrluKXL60uEZ1AOb0xlvs7hF46ijeLWSYopSoxFokn
cYucEmGYfU50AdGB+qGtwx9xpn9itaUdleopVsJ7SC5sDZ3qETG0P1ks7wL4ATgUlpmaUGcj+WZt
up2QOEIB9C2qdyhC7K+bWaKa//OwzYTeUIIwtLKkWNEgXo0ToUf7Dz1ULytvIJm3O0k9qaPyrdLU
HyiDn/KpPxtTeL5ue81DzqSAM+yYqt+y2d2ImdIVSTJ/T0cQHUj61ec/sQDeF2oAUBHL8EOu8inN
rcJ09exBRC8ujZ6zeoP2Z+2CEXvoFAeYyWEC772fFz1oKghuDbfy7KA7NP7GLi0Zx35/obcGFjdY
E6yiMpuRWmX5EAnfUrO16+GkGXdizJTEvqXS11unvu3sVrtvi/shbuy2/3F9J1fPydu/YnHJy1QQ
UFRjmWL6IA5IIQemI6j7OP+ut6aTBT8l79gFv65b3djbpZBbPMiArXgFXCPNmVfQX+pkSw9jfWEA
tmc+RwDVy5y6TAMYRoLIcKMhdstyvDXRgEcTrXC1yvsKE8B30u5PiOb+E8nmxq7+PuJLbzN3joy5
UaUzTfv+8ASG6NWalBMft0opOsgFMjY9efXZbNX2pJcoyOimn31JwtFz64CctZ2abK+LDYVKhJht
oRD+qaE/dICjdLvQ94KT1MnGwZwGxNtHBMMLS/4+jpVOH9my9q2FjkpQiuJLhzTv3gf2f4hBVNpe
plQpUoWAr69/Q2X1mtMYAcoIkOdCxiUzazBLgWG4coyjbH/ptZDddb0unwy5kA45VG1Om+sBqrY5
sXtTmYcilXNy7dHiPAvpk0Fh7JgGbffUl55OA3MyhG9iHGr7CImP2hm91LJpVHgnn/AIR6KLyOx6
1VGi2uAArBQc8AzlDUm6emelSPzCc2o9el6L/rVQKnelRiM10cfyxao23MPvB2P5iWfqOvBS82TY
0sv5TaPFbVJTjIWuXi6tv6tR+jppAJmb/NloYvqT3pNoNi6ljydJqAClKQ+WNCHZnEyUQZSvqRif
GyXq7FIt7wLzV9CFANWVrZuwetkopxKHE+fT8Xl/FocImfqKAMQNp3yvaO1eV07Xj8L6SfjXwvwX
vAmJwwYFaE0iW4HvZgfH5U6Y5emzjzG0/sdfQm3JpsPccAHy0IJAAOstG65ZlJ/lNL+ZDHnDxLrT
+NfGMiUqekmuEO4z3LwVbpJWp2aqTz/NokFZIe5cVYr2wyDcZF22n4Lw2/VtXIu3UGH77wKtRbKk
NqqVRlxyd1B9BDe+GvpTTmUNwpL/zc6iqAmvtTdKCYssTacLbKN5QLFHNjdKBGuZ2dw/J3cnh4Gg
4v2hMOpASIQyM932BX6InU5vu7QVLdtFG8HA6vl+Y2je1jenD3S43rUg491JdRS+05Y6z9bvLwKB
oNLrLmz4/a8tlKrgXzbC7LXfn8UuyPLJKLUloMEzJ6ab4hzCgspr7dRqHhoh/oOok7ElcDEgsOjB
Lo6WpA6B4sfc0Kzeiemz/7XZIr1aXcUskoSAKg3lJc3RTFYQ6J1iUCmXbT3vUlvo5PBPtor+BsJP
ePcLkmYgMfU8iYiRLjtNSgOd3u763Vhdxjx0SMmfXsaSi0iOg1BOY4s0wc8PSv3d882NNazdizme
nGEzc2q/CLjEUgyzMg8s1xdPlvw3cfQ+im/UajrF/oY7W/PLb0z99nZvbkYwKkJMl4tuq88sKHyc
rd0on/5gw+jSgfKePfRFmGWJuZnlsQUlAiIWvofE5BaVzuo3gdGYShzA5Av8iFXroy9pMG0EIoW5
yp7CrcbqlgX5vQuJo8lIKp9kqUidGnHtDVe4+h2oZNL9o914QU0RTG0fpx51HAotQ/ezCk9yebz+
GVZPFSxajH0wG3SBUfEKpMX11MNEKcI7mEA+mPWJuJPSXHSqqpWPhhxLf/DusyZ879z+viDP7rQG
KpeEnDoeYQHSbvPudtjSL7nYO7puSOrN8eVMX7BE6+IGNLFWreKRfsqusxona5ojgJiNT3Sxf7MZ
ZphBxMwrWo7kdFHhmWoclo+ejshL65rBk2rdVKPhqB9UMqXODMgeK3T6YO2jSvT+sBm6B0OglpSP
o0l3RVbicxYgBM3oR5D4T9ePxZxDvgtSZ1u4ZAqjDOJe4L34/4MiBLb4iN6sBDwgpRlmQ0fVMbMQ
btSsLy7Rb1uUG8D6QPCzrFnTty871Y/LR7P5IpbwuCl/8I1mmrj/Gpj/gDfubAoiWYAEq3wcamFn
wo0SfVPFgwYZkvLR27RYyiJ2gQk3Fz2RbdM+xf2uoHuYH7wWrYbP1z/P2qlj4GKeQwDPyKzM+xWV
Xjem/hiUj75SJXbTi6cw8Xa6nyHRJ99aU7Bhbw6FLo4D+TCTQNCfXnhSQQ8SMe9YV6D8k4n/SGIO
EvVvyf/n+rIuTh3hHlQAc4kL2vaLuT4opNjfskiQtzXvDGRZxelUe8mn3muPQSLcRps5DuH/cmnY
RFhbpldE0g9u5P1WMlCH3CTre0RGVTpI0O07ea2op1w30mPZ+fpegJbXCVoPTczRSOCwqPJXM/W6
2z7qo53QTtZNoFjhQU39adeRbJJ7q7WjWEl0kKcRGl+x499anaMPGVpAdfJKv7sBNEweGvlmZ0eh
oOxEJZI/dQCD9vVUQ2yMqPm+U/vyBiiE6BhwLNvtMErHUaf0PTVBdjdOgrBH3699aCJG1xMxEfZR
rrlj08hOwEEv4kMtJU5tNnaVfMqHO6mPn6vcOL8GpCH62TTQk3gWzkLSP+mCfA47OdkrgTHti4lA
DE9U2Aacrk4ra6kTikUChixPdnHA3wtaOdoBH/YcM8lbe6jRDo2KEaSKnEhOkOaMAAumcoxGWsjd
1IMOE5od2bW+g/SzONTd1LIiX3bCptKcklmmoxz5n+Ns0iErQ+g0b2pzV7Re74iS/9NARXxXosK2
B7WZ2UWqCE7aBp7dhF51gPOdZvjAv9BaIdrVwRxyK5Vig22u7EFPk1MuWj+ZVmAIKh3VgzIUHvB7
NTj3kV4cKt9Td0qsyHYJo5UdJtJ4LPqkOogqXT04MGRn0ILQEbsuOApliN5mNiWnop08khNWSPdD
dmI9gSjy/0g7rx65rWUL/yICzOG14yRNcxQsyS/ESLaZc+avvx91zrnq3k00MWMYAgzIZvVOtWtX
rVqLn/wNVGsAAyEKiBUs/4dQ0+hcUixwA8TtXyEbjwhJqG4ca6ep9vJgdo9OHRQcLVPbRNGk30Vj
Ve/pQKJLIE+i0K1L7ec4GPJ3uzGa+xLU4jZA8nszUONauZ/1K/9Ch9pMr02vNSeD19jloZi8pPA6
pcvcoK6ejBm1ETgvRfe9NswncsabKJdeClN7tKLnwjomU3psvObjWB5ledqpfbJPQyQOyCxZkvch
rZxdBE19CR4rC3q2ULiZQAAgwUy/gbyxh+9t+levQNeiD9sJ95I9FJ2/byn8ScoHP372ewMHl0Bc
95nCz94rT2pgbPT6GNI9UejGR2WoV6ZgcQYoUs/qZ7Rqi9irbEzCaoqGzK2Lv7Sm2aa83L3phx88
S/lavekqVJln+8yWcD9ZjV+yNfoMpSV6huXNyJFAcfK2b50/cuHCBSPC1RRIuhdBPsWAjK9W8qle
o7pY+/58hZxdsnKjhLg5vp+CFWvDV2ftzlszMK/YmQEzSGtP7VmRAKc0bYp2d3uCru44YYKEPQ/l
mO5bHQMYKoKEj0COzOpzbazsq7W1FoI4SsBmhS5s5raWty1mZI8sQ9v14/ZYVqyID7gig6EjlRhL
XG7r8mNX/uGtiTmuTNcvZOHZcmiN0ZvWhInyH8XexPmT1K7ngtaMCO8r24pzIxlZ88TbhNpBCU9J
hSzgv5wtIQSYUvCNTt9mrtRujYhUPwjw7e0FuS7aXO4uUaC0dGiBDCh/uxEIsn2sS9mWyAaBrcLW
4DysEXey4BhJLRm07CAZO7nh8s2zJNlndf1axulPJbC/OYO15hjmHXflGMDjoFINISVB8uW5ypTR
AaZSs5Cp9cWvXA1drkH/TnzRzSQbUbDV+pVE4uL2nAWDSfiosEYK4evYTjC7+XHmmpSr1EPYHZO/
V+Z7XjNhVHTj0x2DpDRNJGKlrytLu1EHM3atsby3m0fVP/T+E1CGbRbeyXl2qKtvRvWlj57S9tEc
2pXOhSVnhSD3DP+cSR+vqvl2n6FHo6auZ7mtFsI/vtZPsGZBWLY2HgJv6qbUTTTIlrcA4G7P4Nr3
BUdFnOeRnef7ctTtpkmCau1428LS4T6bI7F8P9h5A8pHTl1ffQgcAq8ApKas7XKtWXHtS/vt3JKw
32q00waN/JwbACrOVXOvG3AHq/3KlC0PiJSDxX1OiV64oSLZLo0Opn63rQ9l9+IbaNvRK7niShat
QHtOD/IvrSFhMHKbNrHkW4kbUflS81foA3L5r3b8eHt1Ftf/V32KA2qAl750C6OV9U2cOrzFvknR
tltrD1j8/EwVBJKYDOCvrtmz60P3/LqerIK58j9F2TPec2Uxltb8PIQVFkPWe6VyvIZwwTn29n4k
lq5WNvCiCQSFYDGhFeAqIYP6nOplgZK5fbCFVB25i1x+x86dycYJQEmRXuVhIGOxC8shXPC95yl9
KYBgqCsp/qWVODchOBK6aEeyvXOsH+5iBNvXSCoXZ4mdCrYf1MVVeifNp6DVHT9zCzOmH6PY6LSd
QOa8st6Lw6CKh7OlM+0qAd+UehtbUpS5oR3si+FeM7OVg/eLYkK4U+gt+W1COBJ163N7tmHmknuj
Eboyx3u71vVNpTYtKDsehtqYfekzzkszFT08QEN6Z4xwlqgRndj2iAz6pAR/WnHmbCaD9FBZB/K2
SPwElJ1SbMdyCPfkI8y91bfIzNjeuLN6HT4Dm7eSp4BYf/shPx/RfIuencJBD/QQ65mbV6xNfWrr
lX7BxcWn0E2PArImV0ULCvXJEFt26kbGazPGFHjuZXWNTWh56f/fiBjtdqU81WTJU9JGsbIxJYXu
eH2NLGHZiGOipwffCW0Ql1OVVS3xBApvZES7zUlu1i6P+f+/3ly/vy8cw8jzmqioiYl4HfvZcbAP
3q5vH5Tv71nx32aEa13WvD5vfYbRpj+86Mlw/rn9/WueljnQBbvy33kS2w+zOO9L1GpTN/byxzD1
drE+7Sct+piWys4Ykr3lIWvv0Q+hTsM+MMmD6fn+9o9Y3nW/f4NwRVpa20D+6REblScziDaj96UH
znrbyOKGcDQUGpBZRDR3/hFnZ8fzpakazSxzDY/sHokIzXhze888l2cm5lDgzAQt1iquucpcmeTW
gACMZz3g41YGsjhbZ1aEnW1FQYeIIgNBiX1bZekW+cSjPxz+3XQJ+1tFH8JTg4LpmnYELijh3f7+
Ulh0PlfCxnagOKo9M8/cbPgaOwmp0wcn/xwHK+dnxYyIDc7gaSh6i2HEpIKGHGolP9ro6o9Be8cL
4mw8hrCHqWdIZa8znkrzWI3wqZykn7enbGXhxSa10KMVoy4YS6XMwnaEqxUwnMh+azX51y7+/cAU
LpkUM6na88BU8g8TMKZE/ayEL7eHsrwsv23Mh/XspJhx32jeVGZup86dRh8khOb8ZNzr0D/ftrR8
7H9bEo592Jg+fR6Mxpu+R7L0tZnI6f47E/NgzwbjW041Si0m8nHq5/65j02+pqS4vPa/n+CqYEOe
6NpWOPR1uh/+CqpDM7zjQNLrAPUNpLQ2eL9LC142+HmssoFj5ejRBwiNtJPt/WSNJ2lp6WnpRH8C
WiZKR4L7KpwetYvMZiRUTdo23TZmt8khQwlXoOBLK39uSPBgpS41rVGYeDD5qbIQ/EIK6u0Lf25B
mLJhJBHR51hwjAeaURLzHSfx7Pvii9ur5F7NVL7fWD9l9atWPlbd3e0hzJMghjHnJgS3pYawDFGM
4njkhy4lq1U6TzX+vpW+88rclu1ft+0tLorCswKMPsowtnBWJmoXnUVtzu26r8ZMapSt4DWX4jLC
VzppZunBK508p2ukMHXSHHnTapMbYJpfgy7etc6PDHTq7cEsTh41Xfjk4e1Df/TyyPS9YseRwYNS
tR5B9xvhRnr1j9qrqr5nK58Zmmf1zMNoYVSgDYUhRISJj1ZV6xcHgkTI/AAHcyl2x1GdKScnN1NX
0fKdp0GIXrhZ9mO0+q3U30lv1P6kEw10D6Q+0KyA9QDycTkcataxkmcO+R3qff4XK1nZZIt74Oz7
wiaLU1ML4SIhnqRyJW0JkQbnEJcnJG1ub4Alr3w+EMGX6W2vQWzLQPJw3OT+R1nKYO5YwVusGZkX
72zx1dB2JLoHU7caqy9dVz8no7FVlLUH0+ysrjyBBbsA/Z5kYa/iYzWXlVJLyd2P0SGmzJr/JU8p
jN75JoDTqzay/Rh7Kx508TI4MyqsVGBGVaV2c2bZcYMx3Y3+Dm2znaHVu3esFC0kUJEgn3lFSFI5
Tud18w5vlGejpih4DNuVQ7o4FljjkaRCDRhExOU6DTpiaIWspG5GYcBznqqy2YTpybY/3x7KfNiv
FurMjrAfaAAgUsrH1C2k7dd4jcdv+eswLqC4w9EUOxpkf/Ra22/5eqk8Dfr4WbLHlVB5cUODTf2f
CWHR+9CalDJoeP9/U4NPRvMUmStLsWZBWAq5G0sDZjketejeGW7XPtlrHebLJhgFoCtAniIOBdmm
UM+lLnU754cc/dF3x7D5+p6F/m1iXqqzg5/0ae5JSp+6vfIQp69Ft5LsWTrx9DvpsukAArjiK5kl
+2hOIW4dG/nerPsNdEc7R/ljNP7J+y9B+Wy073n1nZsUbkxSyFKD+jlZP798UspqBzfebrCVh2pY
0wtaWqC56ZmeIJVspgi/83N0wixrIjij/34sXzUoLKh5vn2JgL3LYJLA3V0RY9taPZp1zhTOHBty
Yd77NtQ577BBVQw4HMKsV0qjpt+2ceKViYsK9HRcRdstHXhEyum2kOceUNHvNynw7YZqvWs4n432
pK4c9qXPzxkX2gNpkyIgu9zEXWp3XZtxTuqZOHMTr9UN1r4vOBNpKJIo8fGGRnKAMBm40NtmH5Jw
JEcotM4yasgFCQ8vokilDsy++UCbw8ayf+TdmsCgeG+IFoQzoUVDbyvF0HyI+zu5eDadL9VTvMqE
L84TVnhsEdqxCADrRcD7IDmjo/Vh86HslZNa+IfR8z8rWnZM4tfU/2QHkZvMTLycRUn6w9C+A/dC
FIDertvzeZVwnH/IzLXAj6GMdNUvkoR1rgyW3X7wSucllZ3XJqMdIg49fdPG0RFR7/tB1+/SyD9a
pfxDC+JgY0xmu5KBEJ3fr59BKVvjxWHBVijMOgKGJRAefobidwfHco5drQe7Zuy/DEUAdCmm7G8b
abDRJnuVWmB+VZ1f4RwGOB9om6V1EKZgsU3D1zzQ1FpbfZjAKh+9rk0frDr7UE027C2hd5RM6Q8a
E+wPxVg/oJn+Z6V1f+t+9ZcytF/gXMo2kJV+ku0w3UALID97SlMdKuqze2/sPyaFAmmL0mcg9aZd
FUr3AU37Adz9uTU9wKP4zHW2tWpvl7RA7L0hO7ZmM/8LWqOj80gfX74JC+tvWwM+ht7Urg3Bmdt+
eJiQaAgBWnYxpae69A9yJN87KleF3H5KVSvYSlbyw1faeHd721xvX4IRIisgtLROwURy6Uac1ps0
G9nKD/Ufqf+g+SsIB+EM0ggy84Oj8AnKfG6eE3ZDFo2l3zWOfjK0btw1Wqk9Q6g7HlHPy56CoS3f
6Lb+YxBBBeSGEKO6Ch8mB8RkaVj6SU12JjoEeizt3zRjvyzMSpmzJLFO0UhwvDGvPd+fSv1UBNoL
hLsfJzAst02IdGT/scG1hAVNkekLuVyVDjpBr2wM7QTzz7RJEJT5maeZceyjDLIg5KUfjbgP74Kg
VL/HehzsDA+pFN821ojRfjU3np0ofgnoEXD2MHbwFIcg+vKXeLGN2IZT1W7YSZtc5SIYAI560T4Y
vsIuNPlHxfvWmX96BcTB/l1vR1sl+mR3X0DmbhQr3Sa1te31f4ZkuE/7alOUH/Q1boI56rz8jbQD
ADDhxMMPr4oZtgAykaTwDUilc/T1gk3ltLsc+LADZcbbFx9TOBnmw5mX6XI6aujh6knTlZNm3ifm
i7JW/fqFMhLGAg2OjQA6PHDXzwSocHKKA5VyquQ4fZAjNOmNtutePLNR9p2ZaOOmrdMQIvIhl+9q
2oUfotFWDnXuq4iKj8aTMTnNoYoU7XlIx2qfG4H/2Tet8FCUDQTtt3fqPN7Ln3uxPcR+z9rOu8Zs
m9otajqGd6RnacX+dyaETFqQaGlhAiJy2+RrHrpaGcH69OXf2RDOm4XOblBpDMPIXtT8z1RrNl12
uG1DyAX99yRBSEsmCNkGQ3heSuMYdW0Z1a6cBv3zmMrSKWqBB7dOn2yjKQdJ3klfxjSp7m4bvl4j
GBjQjDCgq1PQ9hCPcD3WWgUL00k3uGcexukwrnX/CLfIL39F84BM+8+sEC4+0SnaO3pSm9oJDfM8
2IEUvz0EMbiZDfyKbgAdzHBs0Q2VST9WhWJ1p8Dz6gOloPKLljTEE05exB+1OFA/073wcxx/pVsH
5RgUXfMcmShUbHLH6+5Xfo8QaMy/B7wLYGUa0hi0GH3LkJX3dSn1p0iPW7D5MvBEuyOLWOWDjUY7
EpuqUwU7O3DaT2RtpU3f1MbG91B9XpmbheW9+ClCoG7EfqqWcjycpupecg6+9qS9sYP312iRG9Fo
RaE95ArgE420EfQVJsbsWRvJxnY/bs/nQpiA8/5/A6LcUjxBUI+c8nAyPjk0Muh31rR1+pVzsLBJ
L4wIjkSlIaIf4F48Sc4mqjbRGohkaSHOByE4ERPWxFqNs+Fky3+moWsGxyz/eHue5qN66W6RyGOa
eBXPJ0FsdQ68ZnKUXm5OVTL2+iYu0rRHM0DO/irpj/hp1oSdVeFM28HK1Qku+/GNKCa2Ai2E0Hbx
7p/LWWL3rTb1QRA2WnsaerXdOr5P17X17E0QTd4e6vVsXhgSwSzjNE1G7KntSVJ2dN6NyWFYQxBe
xw1EgADWeL8xoKuKmaGnKAPYcXNClLhDjSJF8ujQ6C/tmrTMQjx3aUnw/UU/Nfmkhc3JUf9Qpr0R
PNbDFzU7GMHRhu6hNElyPSCnszKH1zv+0qzg+SX4/tLawGykGdN9GpjGw5i27YozXLACIT4EvfCh
q9ed67IShHqnlO3JAzE+RUhM7G5vhWvvYF4YEDxciorGVCV1expjqdzGhdRtwy5Lv0hp3B9iT+sO
t+1dnzLCewUyXg4a2ofik962JSWO44YBffG+KOnWHo8Q32RbHvVVv5IrXJg8SIcBgDoIo8pXRDch
wpvSZMXqKSddWx4D5+1zRxWNDlYeE1yhYjq1oHE6t/RCPfX1UxTxIN8q9WH8cXvCFs4qyu6wgdK0
iEaPmBKUcsWfMu7J0yjfldFjqu6s6G2Z59nvnJsQb4jal3OarjzlFCe8M7ahulH0ldOyMgpLuB/G
Om2onWFCGx7jP7vovlp7bC9Y+FWaJ0SitfMKAmonmZRrJSpuMS3Zuyyhc1mlb9UEgP/mBUGNmVfb
rBA2P4sunymQX0pOFI80KVfF/aSqj52fhpsImNbKnC24UAwhu4e24ALxcmugOe5ViNLG4bC3py+1
7G3VMPug05w0OPvbo5q95OXtx6OLZDDU9DQTXAWygRfUfa45uWtGEfwu/xjey9B8M9v7MPcgR7FX
xna9WhfmRIhT18L3k5aYa6c/zeQ+z7vNKjv8mg1hz01jNiSGKlFVlz4k2Z3efwq0r7dn7drDXA5D
vdwLA+2aGWzwuSsZ9709wpH2498ZEHI8kamUjaqgMjR20bFuDjR+r9ww1xcAHmxOPuj4GMocwnae
1A5O+5THnzX0tAUawZ3va/3GL6yDhwrdyrovTNiFNeGy1htvqLuqDN3Q7PeWHT0HBr2nt+dsYSvP
KlEwm/EiM69AQV1Lm64fWoFLbTa33a5+oeGKlseyfhn9NzsDi051ckn0b6LpIBLxtfRNtWVghS7U
FxvLfKgKf2OtubalSZtdwKyNA7GrSDOhd0Fb61UXuo12/8nw7m5P18IxITX5++vCHpaVOq4jha9D
afMyUjhVcgmZUW+t2WdpWUghyxZcP7oC18jlWcnCsc6HXgldJTgOEZzj91EWbWLpsRp3lbWCQloz
Jpz9oOy01qplXgr6d+jkZXqLkPPdxj6Uj8bfXh2sZBWXJ/H34IRJLHKnzyWTwcWdufPgJI9Iz4Vr
nDnLG4GoWiO2JhMvnNW0tiLfVNltiVnFX4qorIDqtsrKnl6yQlc2SDcZFqArhoQQvb4A/uzQNYZP
7bB1rG+3N9za94WQc0L3K83CEIUVVX5R0+9Nov5x28LSapyPQJgnOdeQtkOJ2vXTezm6K+RjmK/E
lvMnhPtyVl6A/IWnGhQzgmO2urAc0o4Fr5rPTfY4k7SnOuRSIb0ndb3i0ZZn7Lex+e/Piuq2IfGC
D9nNstnvxtzejj9vT9jScTkfzTyhZwYAAlu9H6qh60mf0F30o2GDYO0GmN2OFwjaBm/rByLipHJB
/R5qHsSZeSBe2lPheMt4fwau9zB+T9Y8zdJ0nX9d2GCq3CDBkXSBq0n65rko14LZpbU//76wvZop
HXvF4deHLbFSuyerGcuvnX96e9bjcprmZTtblknPUruYDZ166Sca4Mnr7WVfmyjhDRtJmRVGOt/P
UMqAOmR/+/NLx5AUHgyUcOxdK4dYeWaMmp0E7lRbOy0YdxnCirRpHG+bWVoOHrHkGZACIpQRNlM/
+r7td0HgRvbRcR4U+aOm9EdJ1bZD9NdtUwvnhLoBRWl2LnQKYro3p+wdeNrou1mBHKLXH8ZGfZCH
+otSZHeWJt+ncfXG1on5rFBvRdCDhOhcsRKGp3iZXJaO47uSv5N+2PXR8O9uj2phGxhzLXFu/puD
DOGyjFMb/ClZAFcx/C+pdq/I08oLc8HC3EfKxQXxLIgQ4URCTNJLQI98F0VM/8EZVpzx9UYjLppJ
g+a9BkZLOJDqENqSqUutWyjmRvKHcmvbaJ6o6Yrbmn/mpdPHDrB88FPAga9oe/U0NXvVqjo3j23t
OR2ybkceu6QIncPZrnb9ir1fibhrg2wAOn1Bo9hCWGFMcidXg9+5oWVvPA1Uo7K3m5+h9dQUp8of
9lJDW7ZyeOt+4AEIjSEYK1DJlGIv3U7ScoHqRt+5mTXdVXmGVmm6v21iIWs32zCN+eWBiqBYG7fV
0QrHcOjcJOs2SLeCsNgqxV1OFT/Jmi1E/Yj+2GivWihvSyvR2q+aiTivs0QInOqAuq902Bxbp5eT
XCt0YOaHIQx2cWXvFDODJiB6MIM23zhVvik1bT9m8rDxaczbQHaxh4VtYxXF30Wo85/Lu7LsVjzM
0lYGiEkqei5V8ha/nHupHmlmNcrG9eWZe8iIjMcgsO1N7VXOyiws7ea59EyGjHc/4eSlqcjWYAi2
rNqN6IcPUE2bDomy68Zvt5f6+uzTy4gLQ8CdijvSA5dmAhsRDClSaxcBoPs8UT4qUrIS7S9Nmqn+
KqejmaaK2YTA6ioZNFjDM3yvQF7R1fEmWWv4WxrHuRFhHHZgVeSwksZ1kqdO/dCurMZ1YnQuI7IO
EIhy4K8WHnIbitNqS++nvWmDv4ckgEzyNdetYym/KIlb2WsP5cURnZkUwot0spwR8G/raoUCXZTy
OdXad7iS81EJEQbd/V4eJoxKnj4oxkNWrczayhBM4VFZeK3umRHf97O/U+1nob7n95N15TSCNrzS
Emo4pLUux53b2f02SuJd1q14wsURsN6kd4mHEdq9PB5JIhulOVotpC0vDgIxK0D864gF2S9iCLhJ
ueNlMThS6srSg1JryeuFd6mOunPV8gLvntLE+xJo0WusaLvbB37x1iJUQYEGx65pomMJfZgd69TB
Znx0hm9J8KyoCHH7+qYP/X3YfI/L6k5fY0pYmshZkgmGX2v+R5hImIICBWRXC6jyFLwO48vtUa19
fv77s1g8gEQ8ap2J85nsouY1rlcwp0s+jNhopnkg30uAcfn9hs4zW5s4jGr1R9hm6CoMm2JNfWtx
ac6tCAEF1MKtMipMkmePyWsi6fp96vnG57KspOd8UrKtaQ7wIE3B9xCuuBMqNekKbG1pIsEFU2Hl
4WxdUaXrmVlMDdhIN9a7TXIwpDWcz/JM/r8BETdDr1Zu+Yneurm5i9Sdah/ftdfOxiCyoUuWH8rD
wKnSm3CvwvhZ/P323XZuQFgnkn1hEEM3QRfdD+OHp73n84hxcluS3+HhdLnZoKhtJFSjcZt3isrN
b6/leZdiizl6gaNmpi5RhTDGMuJQAb3LYQy++6O/T+34aKr32prSweJmQrBXc6CRoVQi3C9mbypG
2eI9ZZTrHuTiHd4TwOj/Pq8J14umTv/1nrKdPrR9cqzR7jVjdS8X47NvqKcACo13rLwGPM1AooZc
qWDSSTIQahnO07kL65SgbO3Wv34ukxef6RNkgPMU/ubjc+bI5Cn3qsSEtDi25G3fvUTVfVuW93Lr
babsPRg2lDYolfFeYjjCPqiLqZc6ry5dJ9f3fdEBlR6esmItI7Pk18jC/waACftALRzJMJuwdq00
2qKTpBc0AiMXnqibSHet5hAX7hS8PbKFjIXwxp6jzqssVpCUVaYYGNUzgJEIYf51eyssHCJQwxbQ
IFqbDapzlyvVd1w5aqsWbpTU27D8s0bhcpAOXfgv7Qg7ovEVu/cVrXB1/SCbcGo+Qc6ghCuP2fkr
wpsLllAkn2a82TW/b6EZXlqWfeFWyAUW98kEx+b+9oQtBDtkGACdoL30i/ftcsIkup6q2mNrI6uy
MZSPdn6Ku91Q/RHk9+Ea5nDB9VwYE+INL5ITebIxpo8bpLJidcURLJ3T88EIq6+PYeyHLd9Xihcn
/T6Wd379V60GFDBWnk9L+wz0Ap0NPATnMPFy2pwKDIPnyLWrBa9WSNM59bIINdzq5+3lWZox7nyb
hw7o7qv9rBbDYPdDXbteI21onHhjaztRLtUKGPkcmXwZ2FlhxuJU1qfciUa3+6Yqj2F+/+afTxYO
wPb8FkD9UriTYzZen5n56CZPgfmnpX99x+d/pcSBWSP2KbjKsCGuLSJncP3waxlCKDO9xwDXpAFL
EoAsMSwfyMTYyqQObqej7ibth3rVDc9uVjjjkNXA6GvDsk6OX3DDtpJAR1WbJMhaRzmEevWp9Oqv
Gm15Q2fRJdIh81A9eSNMf134KGf2XyOJLXvgZZBPd1HsbNXEfAjT6q9CN9086t4exJ//PlHbK/Bl
BM8DrXN1cmlyUWzWIEELW5y8GYwUVJ/neo0QxeuNZQ5DMXauJVmbGMxqE6+s4rwNxCkmhTqHt8Ca
rtIpUZmnfVtJnWtOk7IdjfKT3aZ3JX27VkBj7VgPu9v7csE7/OJpppuMDDTx4qV3qFU1SxxYd12v
amEka6cfvV1a27CK74e6/+e2saX5+5VbnXVtKasLG8hHGDtuTTK51qYan5x8xdMt3EGU62ddA1r4
bU28UTXPKCK9tlt3KvYZIqDSTl/LeCxNl6rKc/sgUE4O2uV0aVrR2KmSdO44KicrSF9aSLSHKfmI
+vbKdbdoykSnxSEbTdJIuIGiWrJrc0o7N9Kjb+UU7poo+WwP9l3TrrJ1L+w6OiegUnQsaveia/VJ
S3qjPHVQVSebPdK5m9vrvhTAaXOTLUYAs5E1uJw2R8cBeG3fu3GuKxu57T8McvlB0fy7MlCnezoy
Dp0SPxuRdhyT9B1uAZU4i+sWxAh3x6XxOE969I/awdXVF9P4uNZAvLTrqANQMiQCpndP8OyJFclV
2o+9WyMQkwevsn7yopUSyNLBofOBfk+8ODessO26Cu1O3vCd6zfm7odEOvv2Ai3ttfPvC5dfMZG7
cmS+r1bR/USXetbEr33cfXaoFd82tTgU0PAOlS8agizBVF60iT9NUe8a0msX36nB8fb3F5eDRPRc
MaJxQ7ykQk8ZZFopOaFQoVePWggl4Ts21Jzr/q8J8Z6RgqpykC+mguLA3BUgc7ASHC4tB6hT2aH9
GfSmiArNR0mRhsYcIYY72OnzqD737Z189/aJgnaOGgloEPgC5oU6eyn6sdkOQ9OObqu+qOVLHR6r
NfDR0lrj5VHiYLoguRAuF6Uayzw06tGVwi/Sth0+3R7BUpmJ5xP++D+tdmL6c9BquZuSUnYnq0y/
9UBQd4lu+Uc/LLWN3EzZnrz3+NBMkG32XVbs0qwqX6rBUVbOz8JAEYkCwIV8D0gxsYsnK7QRiXd1
cpWRHBvspGm1chssxF4XFgQnNrR1byMrPblldairrS998pSnmBAH3bb4qV9jjV3opgNpezYi4aoO
JPBwtPlObufX22b8KqfawTKe7djbGMHBCwJUTD76zXhokTYptX0Y1Fvf9DaycfS74Zglbi6vIQ4W
jgWvmJnLlmIpLVOCp7VQ+9KREOFGVPOn1MrvGvNb6SEuNiR/3N5ZS+tJlA68kLsXqSLBEvtKNlLd
I0FXdVsj3ethu+IGF9wUQ6HrmswvvCbi7R44Go2X9Jy7vmRvS/VDIj3LVf72bQmhEW8agPIoFouI
sl6rCZZq6htD9Jps8u7bm2fp4vPCnkTbwoqsJOzAFfnb+ojGyIofXFgGSEBmAak55L7CflRDNxhh
7jRujTrKQRn/5efn/XbmAa1o1MKy4PN+MG7kU4csydsn6Pz3C9soKczQKhKvccPJ3ozfp2itQLaw
i2aKD1CjEH5YEAldjkDWSVH1Q9DTMgXX7ybKHpthJaG/aAJpMrL5FvepmFAcBy3vx5hHX1WExwy/
OvX7/B0Za6r1xIfQHpjg7oWLAhF5KzRCf3BLY4vEy1pX+NI+Ov+8ED75jZ5AJCP1ruLv8mz7nmNG
7ViFapWi/pXIXtJZLbR4MQFmU+wU/qzEG0tLQKIdZgY4cWa9u8tVtoJ8AihmDG7WbSFFqNPt9Pbm
//nFyWsDGrQ5gyOY6ILBi61+Ij1hKBv4dNea3xZWwOThDK3F7IrA2VwOobN9ve3MZnDVYdsiORes
7NLZ1QjvZpreqDchlDDTUc/2z44yT0IzGhCddz3/A+qcm0Krtlr4wc4fI5qq4mGlnLdwE12YE6aL
fPE01J7Xc7C3P+RXtDcK8+2+gxY0CHB0lh3sm7Bnk67qZGPCRJMcUEcKvtx2TQvxBJ/ntNGs5fAu
Eu73pstofM1KFnxQpEcSh9ZdHNj13+pUIHet2BLiUijEPfpTbu6nuAze/KIhzcZ7Busab0LxrR5D
IOehDNu5ffi3rGwG4+0w0UsDwhKlLSrZKJ6RDHoZ1cdguL89f9cbms8jOTtn77mcxBphpihEnzHP
GKunsqJ/VY2VHT3/vssdfWlAeCe1XWr0nk1iRq8OQ7evotOgHt8zBpMIfcYHXuUk+zBA4qSyOzR+
nn3pZOxuf35pBMiz8E6aadXoPb88k5JuNH3a5Z2b6uHT0NHaTrgekjcb3pz3Iacwb2VItC3cjHBU
qgqAqlHVrZvK+d5Kw6PMn2FcS8gsLDlKnbDg8LDE1VhCuOCMdZjpgdK4zcmkQ0uV15JLawaE2xwa
MjnTEw0DvbXrbW8TaCub6tejTthVxAkkuImrEGMUA4bOb4KqdTAR5cF+NF4K43NS/2P039LxTkYm
wEcFZmzibQE3VjtWu9Gr9snbYTdELKBVFLK1MxpCuAxIQGXSaBf2CX7qjW2XW9NYqewubL2ZAQ90
4y//JgYtqtXWQ9s2FrRS2kZrq32Wqx+NJFvZ4QsLRlrrF+EeFxtdr5c7XEZiQS+S0jqlBvyXKVKI
8BXdPkSLJki1U1mbGRxFfJ3u2XXgOZF9SlGHzVNtm8grlbslCyTmcGM0OAHmE06PFjq9LCmhM/dy
z20ha5x+a98XHJkl5Z7hdJFz0sdtk+zqr2+foPOfL6xBKKO4NjZ8vi+2QwrBlL1W5V4cgAU1sAIP
Nain+e/PYovSb/oigRvmVKFjmabg99Z6QdcsCHdVVY1IHqhYCLKX6Q+e2ben6Do44o6dmb3mGJIM
rzBFpVrUme2h+x1U0YdRl+JNGTodMhfmz9Bu7ypHulf094zp3Kgwa2CM6TuuUOceymiboD+arXUG
LB3ycwvCrDWxWo2OgYUpOfjRNqzvw7eHrdRg5jZDFMDB0YpnYwiiuK4p4Z9GTd4YaNY6b040sC4z
LzBhHoyHIvm0o+VER61nnfptPnxu/E+3V/46Tr38vHCjFEY/GWrH5zO4R6LhLjDgMrqP1/p9F/Yv
zXG0/M/sGqhZCEc89DUt6fXUO8k5PczPRvZ6exhr3xc2cD5l4FjJ7p0mbeuUB+3t70NeNCCMSfWQ
2LlC5+nZxE00Vd7JGj5GmzR6uf3zFzbqxeeF6Yl8shhZx+dhaEEZ1p522tuj0QsLwgQlnZHoU4sF
eiPaffL2lgHmh7CBXAOblX6xSw/YkSmLMqvxuOfkzT1EhCuX3MI2pZxKlDi33KFSKFxBdijJkP1X
Ev4vqzaZb+xSWP/rRkM2d1oJFhdtgSGYb1NqkSIfkmKGCUxkPeGu86Nuvxvap079Lq3BYZZ2LJf2
/6yICQ01kqy+TrGCqNDO7BzK0e9Ycu4jDh2+nZeI4F8H+iZCre29085M262NwOztTbs8gt/fF7zr
WASGjAK0BwNKsPEftekdFwQadDygwA3N20t4gdJOhDINXRKnTHq1g9dwd/v3Lx26s8+LKkJ6rdde
H+O6leExMX74xg9VWomml6aIqgZ5SfDQQCKEKaqTpqi1rvBOSZAflEn+AMPv59ujmB20EK9TuYSz
AQQ5U2XOP+Es9lATq1Sz/yPtynZkxZXtFyExGngFcqqsqqzctecXtEeDzWAzw9ffRfU992Y6UaLq
c6RuHanURNoOh2NYsSLx/ZPk6AqaXBrmxNg4pb9zMY8S7IL5yrEvXQ88Q8gpIubHP8qpDE7r0M7A
mgzNDuueB57FQd/yIpMVt3NxZf8vSK0NTfmQtR0maJ+09IPZn5OyjiwMs9V6/6TFawZ+eVW+88bo
gQ4yZVUm0crRNqDMVrMhm26fTcfR/X3/qJa0AT40Csz6bFbUcFfGtI1rpBnhjjBkbAIBhsf7Eha2
DI31cEfmNOltu0IbWxgXk5XkZHmfmNxLMLQlyVempYGzNllzYTEQhQmRMyWdS1QIcdlyj1ZFR07t
k2e+Ou23+ytZOA9UT7FVgKURkGGpN0d6GmUVc0FuakRp/isvygevf/E7sfKyvKmRcoHIbF5mRtO3
XjTlArmNlXmiJ6ehK8egmNiRJ8VDS0iU8OHn0Pf6Afv6yXT6qCfF5v3LRFMncnieCwCrOqWWFtkI
JuvEPXVD8ZDY++TZL7c0999vhzDaHunn2f26zQ8DI21XbQkxrbHD0PN2Re0W9/Dy+/NpXhghpx+Q
YYlxWpVZbPiwc+pDr7/o40MpRUBzEXTtPl5jLlmw31eLmi/DhdCpJiWLKyxKOxH/M2Bk/ef7h7Nw
m64EKE4N8mGD1lkQMLRjqHPAVpGcSjA7D/BG/P+P96UtXCgCal3ULWFb0YiruDiMVHFiEFwoLT0R
7btM1/KdS8sBd4SNQgFGb9ywmhcFpuGin1IDURoJRPzJoX3gOMPWyIot53J7fzlLp3MpTVEJzmKv
QVCpnahptEFG0V5O+RH0sSvbtiQHHiEgpRgBCedc2ba8SGI9ix3tJKrp0Ir6MUWjOc/WqutLmwd0
Kdrz8MaiR0dJVUrwkE+0wnLMNAti9I2ekAbpwT3dpCsGaUEPgPZGigsOA+JxFQmlkZ5nta2BvsaW
yLaF3F8xrQs7BkY0UNagIRtYaZU8v/UzNy3t3D/RLHL8oBg3xri7f/hLa7gUoRy+W0jTSUWBjM45
IWBWXtGthc+DsGbuwEed6JYHRZ+kZrel553A/HeoSrHJ87UBNvN7r7wKKNeh0AXXCmB19RQmuJ5D
lyCg8W0t9O1PgpxLsrV8tH99j+vnerUtY2lNlwLnv19Ys7ScBt+2ILD5WmNWK96AFb1aOHYMZIBp
AnTUwtjw+e8XAigCfaE3BWgSQFGi7X0eaNbru48dyHtwlqG8honLqhPV9awvestCm//D5AL3sb//
+YU7CAY8+LnwOICyVRERiPryiTYGfRmqwgrbxsM472Evut+aJeaGuenjfXlLRzJn8efmIhAXqKZF
GkM9ADKUvPTecQiZefgXn5/HY8y4QFxExXKhKJwOdlslL677Z2hY4K/8/KUDx3f/7/vm9YGPcZ7T
LhbJCxfdGJJRRGncbfTGrlcigjVB1rWgsgB/hMyxEBQGmyzMs7BeG/S0QFKM9iFk2RzAaheG/JoT
8VK3BslHOdBt7YrHnMt9O1hR7pmPWeFmAcphEVqRZFCgeJEYGP8Eiu415tS3TKhqFy5+hxqUMEpb
a+pi+mK7Wn2qLe6UG2GZZ9+PwVWcOXyDooM42gOccK9xvmaUNMcJ7LWBqEbzty7X+IOXDNXlD1K0
SHI6cbfExuDx2uoyCZrsI7iTKX0xZ7IrQP37aSUwe0Nh32zCjKLGNIyFOcUlvMnCJbgYPk4e7Bff
AS8KXEO+Dmj2D2zR1Tu3L0VoeJi20HJfYIZ86oZT23aBrPIh0msho5S2aYSA1o4YS7MjCkvV1rfX
mrRuTwwMzmDpe5tZAXSEP2/ghd2rYp9aWjXGp7gRFXARhnGOE/cPBiEVu3qs/G1aZRUGX9My0t3q
b6cV39CwRveTOzqn0kqGT++69miEQ4Z9rmrBz8OcZxWjRkjTMrhdCGLHrW6/jN75/vfVCt6bgLlK
Q8CuMRfQleuoC0M0ZlL7J5DuVkbY40TsgxxDbr/aViS/6eUWNa8mDXVzMzUrdTXFZt4In/9+sdte
M4JM3Gr8Eysn+dOXwCZI5q2ZTqVecSNFecty2yst5mCJToIJLJMbGO2LP+2L7NlgJPCTlXdNjW/+
kecgegLLEBxoNRrtURlHh3TvnUhsynCy/SSY34socdwmqnhlBF5W18fCn+qdYUrvkOu8WjHnyut3
8xsUnypLSe2lXeudnKYLTTYlgbT9sEvMQHLznDkyuq9HilX/X3mwtWihRZCtstt2JQgRNJF5J1vW
aJaQQRrHUUXHFbdkeW+Bi8e1AIrvJu5pdGMuQEDOQAv01I5AiFblsQH8MUDw9dKW7o+yHL43sRPa
db6yqbM6XliyfxZ5IVx5I/UGjRWln3onTMx5Qr7h4LO1fnf16XqTAbcIWoOwAX1vyn3kGOpa8Mol
J0d/8YsymuKHfjib4HUtp6DPN2bbb2LTDw1Cd/BuwvvHOKuFukIw7JjzmCzkIdWwEha61uUA6XlX
ba0p/4vJv9vJiTHFTL7cF7V4lJeylN3kZPT1svPJqZpqCepdfddQ+6NZTB+bhiFHPJQHIdqtO+i7
qbHeyZL3zz7PrELI2mOtqrsGHta4QVqdnJLhWH+ympWywJKq+BefVxanx1k1sQSftyUPtg7+dX/3
bu8bCL5hXgAQxzHZKreYxNf7eOjdUyl+Fw16hvK9o/25L+N2DZAB33nmyEHyTgV3VKPTjK6LHAMP
mHMw7RUH/VbXrj+vJEzIaJYUXQ9IPybat8JsnqksHzWzPkryzuIGDhuiUNPAgaBlCBOnrt8ZZk2m
KelITpjIEjBw5fDf97fq1txCgI92WAT7BD1j898vHjINmW2nsFtyIvmOJjC20/cBz2Ynjpa3ZmoX
j+VClrJvspxSBuANOZkF3ZY5pvK+k975n+26kKA4QUldNUNCsBpWnxM3KlAMqv2nFogr0v7xzM39
vVtajzH3dGCcAZxEtVo3ZS5SmgMjp44ZjzL2d1P/8b4E9FTe2DXUAjEkAc8D6HnwQl2fDwU+aGhs
UPGRUpfuFoRsxT43RRs1eK3rcC5THCjGb20wF7762LtdErFB0gMKMkPQ+XR6GTTpHHSZoZepEMmW
etz+wlI2vJZFM+5gwfovrac5Hwor4/vOiLO9sEgXTJMfh1KvGaaUcVBxxyj7bDjm0G6424yvdVHj
DOPE3gG9GD/KRmJsi5uholBgbJYHkoKTVSfeBlyIbGt1vA8mnScPPONVErpDyx+Y232rKvLXhfRj
bWT6SwO6121ucn9jZP63SerNrspYFyUVF49aa09bgHPtY1tKpwti2cG7Qy77lA2Enpy85iFGd2Wh
RH4BUxHYz2EEPxZiBiOkwmojW8basz8W/SP3U76pvKY7GoKLLWA/djSlfRkRNFa/WszOApmhgl8O
IIsw0yTZ+DGztqNrig9xm+Qhpla7n2ONlNuYNfmetpJvpaz7o5CMYBDPYB6ka38VzpCEc5wfjOVE
z64ed6FGzSY0amTXvMrIj5rUf9LeSMAZqb0mXTv9QRRxX4eWbjhoz5DbAWugC7N7rUFuQ1Lb7pFO
iDtn62f8iHJEwE37kzfWu8LoVt6PJfuOBC+eEIDqUGBSFLZxa8PpwbD44ibJNteKbVzTY+audc8t
igGpFxJ8KCjcwMFoAyY0fSIIUAfkXcsiecThn/qWvC8H92ZRQFIy+8PgprgheWIxQ1Oog/vnYkpf
HIBAa+V4lh4Te65qAmADVLgaJ7VdGetJVdMXFjdBqU+B69FQYLLz+pzJ+bG49pFgS8Dh4YPFAyUg
1XPwy3hAF0NDX0xm7NHQuMPNPQpPRIjhAo3pEQr154rYP3iTP8WZvhIzLR3ZpXjFs2gxLDUd0gGm
bPS+AY7z2UmaXd+ZKxu6ZJXB+oK6LSiyUHJSnsyOJbnllnF8Kr3yF6C3edAY8fsKTW9agXYlSEGm
8XaETdVgsmPr10iTo8fftFhQZWvJhyXDfyHizQm9eJiNNrfhx7TaqSOA1FMBnFqZ8z1t/E+mbM+k
cqO2Hg9kgHnTnBXpS0oJyMbsD6AacANM5WzyHHTsxKfBzbYs+yEwki0bf7BpZR8X5aDnGDkvB8kT
9XVLG5BL6fkEuE4xBrz+5OtA27of7OLrfRu4pBNvkEUUNWaUqqJ6YsxEjf4vJEeyjcWf3j+ZG3EH
xqIhuINBuu0awb1OO4RE8anNP3hBkX+4//PV/s5Z3/D9Gf8ALA25KZZgvovvFXGqnWDMTWhEZ4WF
hkmbU1XQp9YC+4teA4+ZJE29x8hmIyp69MejNLIGJlnYSDQCzghZvCe3zRj9NNVtYXJoZR25T86w
EsWZswuomCgUg4AgnjsC5/E5149VaVc9SM2t+DQ2idiYKZnCEqDZ0EHBGv6vkX0d+6KIzEJ6OyRQ
RVh1MduJVHfwxsbJ7wZOxnbgVGCGKuCWwmiznSWmb15FvYgbMTwDzscgLzW6yUT7N/WdY9o5f1re
2k9TbbZRx9I8dJ3xnXRt/xwhCl7IMWADb2hVbGkUKdM9wDyQxI1Ta0Mz96wX5f6+qiweEB4TWECg
FW6mQsBLBZlXA02xAJufGxHligBzwTDN+Nn/SFBZSHsqsj7TEu2Etp+o4DIYbBO+kuW+5JMD/FVx
bGstQIU84pOxs0Fa1jnecez9PSXFgThtiL7xnTf0T4ZXb3ie7o08XdGjhacGtL5wCzDvA8WgG2yb
IyXGwaGM2Ykn4kUYLhTIccXRWfCrMMAVrBRzHwEqsopNySqnn2lFtdPYfoj1T0WWRaYug8l3tvm4
YgCWrgXYzIC8BfkXIlslSiPc7p0izehLKnCq8pfmzbCNXZvuRs0MSXN4vxJhehVKwOD3QGlIuYWs
LWSNao52GsZnxvby9/3PL6oQgvO5qxihraE6IkjwlXVnAhTYD45x1GKih4lj1SETrAjYBMxQ3vjm
eSor9hi7XrOzJzeLaBN/RRRLo6m14k0OqO0ribP415C5Rihy0Cz2GGG/tWTnHu1KrkGIl3QKxffZ
qwCw6WZovYRvafYZNqXxPlFCQ8vMgipeGw288CLOZGv/kaIW4J1R41ykqPPrGIXVhux72x8ZW8lg
LQpBjRGAyTl/rp5vgyG/mMFbwEjUjh8hxMyjJsX037jKQbwtK7riTixdFaQZYNSR85md9murPmW0
RxRUaieNMMDBkqD3/2b8uUEZp9VXrsqyrBn8AaYY+C/KVbGsJPfrEmvT5kCtpYGRY5TvRPAWaIHb
rSF2l24mGAD+T9z89ws3LbNLUzgZljYxzOY0dv4IhiL/c2Oe08oMqjX83qI4lIVn8jcQ76hAKqs3
fFaL2fEsdmhFNLyA+8HOdpJAX2vmXdhIeB0uElAIfuZ03fXKnLZLKmnAN2uTfq/R9HsXWzvw228q
MGSIbA2OvPBwXYpTFb/q07xMvAEv/xRMzXObf71vdNa+r+hg5ta5O4L09TSBXj4Btj24/321Wjg/
8PgfgKImmp/BJTLbjwtNcBvdqo2ixQJq+7fpRhSTDHdOB+dkAzMN4vG0x9PXk42e+68mk9/1vAN7
XwZnw/0M/N2jFGIfY/rJ/d+1oDH4WYCUw86isKM2BJNxMPW0hEc1xdtOa4JMPmhdG/Ak2Q8Ugwmr
tX7dRb25EKjsg4EZxUAb6/HJ07ondKU8FBg4rmGedjeO0aQZK0+9Wvj8Z9/nRDg6FsDIpgJ10SoY
F3wC/nvsnDFwi/YJEO2tXmPg2ivI7UNr7HdW3O3FZO+4iXOnYo2PY3GP57mtcyfxbRJ11JrEs7U5
jEljgE6e22HXiS3BrE7/S1a83j/Q+d4pLjLUDPA2xPGgN1Vd5EoAE8vn2AwzWyM7czae8UiH32AE
CWLYgdwLY7ISptmLZwrLPUNHgYVWaV2MztPHtkRbRUI+lANHkzfQquhKmNAf7zZnd/iKAZeanQT4
bzdd6wddXYDWOQ1rowy1og55TkEJhRhveuKuHvnA5FWG/cw8siuHfVNVYY6WltoxgyHea70ZMvvo
ymOqj3gr0IHdnEoMadPjnec8M8TctH9O0x8YEubwAzF/aP6X0TlM8pAMfXR/u1UCmDf9gnrB5KLe
gg1Q9LlOegQbXRqf6PC97jb5eELHOFjopsCYfpERiBxjb4IWQnOei54FJU+QRxk3pg9i614PiM6C
xvX293/VG7OwqgXzTwLVAoGjpmY5MLNuJEZu+CdCnwaziYb2iw+PnxtVKMFCM2IS2GhsxXQsxXfL
xJs0toEtv2n6FDrOtLHZT1rL0E5FOA3nrvEiEFaH9YhJL39jBkY6O4rlWmbGWnChwM8OHxZaC3yL
6pY3sXRbxhz/xPFrCiY2CVRG0r9FP0Wm8aD1nwu7QcD3pRFPZe5uuLXpkL8BNZalb3Mbs0czC6wP
3x0MoYzjIyYs7LLqeXI/gnG3s091ea79z729n4bvXZMdSPE7lwNSu95eJCsu8kK5E51qc8c40pzz
BAvlefS8qWiSOrZRpzaCLnnW6oecH8fq7EDlmfjcyD92ekChg8u13OfCUzZzTZvgj8DbgNEl1y9N
XWGSdkc9G2X6l1Y8ifN93Vo4JdCzwzUHDgmpGVXhbfDkJK2QzokR+8kfkh0oh3f99M6G3vleQcy8
gDkhiZk816twa+Qqhayck2eyqIkfG2MNCby4TxcS5r9fvMgDbacOgwsxF88+U6cO2DvnYr4tAd0o
aFqEFMBQVNNgkwLMYY5zMrs8CFy0it8/iaUFzLwKOAjEBDfpMasA23SN7PQpr4Nmn//6776ubE9V
1b6F1nDnJOTHwnz26rWa/MKziMw2Em7I58x7pWyP345WRwtJTqKzn+yhPbEB/RqD+MjMOBpduh+c
1badJeVF6gNkbgRcGjcJJLc3e6NjUN6O1XgUa7d6LbuBborOXqOKuRGFiw/A1ZyuwsuPXPO1ejGC
JEgq2+ysWw9V8Zl026ldIQdZE2FeizBJqXWdkNk5Kcbu0JoW6lZtkp1K01uDFdw88VgN0pdzfgGt
Ezc8KBMtC0YTiNJ7Gsm+2emMuYFPSkDtmPW7pcXuvvrdBKGzQB8OE1I086xsRTuMXjoWSKz5madf
EvJgJD8qXKB0LV+1tC7wGQM+jScH3Efz3y+MAM0xH6ttfX4GaqPaNkm+FV59RCfML4Rte6dx/95f
1tKRWWBKQ9YcyacbDJWcrJ7GPuHneiRNoCf8Y03tkzDt91ZTsH0zWSFiMwx5xOj563VlZo5oe5r4
OQPEuarhcP6SzZf7a7m5wIoMRf0YTRObxTo/I0L8bdv0y2SRByAfUFtvfpm0fEZv0xpV2LJMG1yJ
0AlwfCqP24S6x1gONsc7mgZ18kp6ETXWdxRC7O7o1WvV0cXjQnvX/4pT+1O1bOwS4Vj83Hc0yhEb
6p0M6b9RCntuVANpNzDjqv/caZzyNquyc2bysBjcszP656lfS3suXSlAagC9xXM0Twa91gmMZo4N
iwlx5rWbfLDp5HxhMtl17cc0hsm9rxyLwoCOBdoK5V608lwLG52CZkgPlOexqqLSRmmqTA9+nwej
ttYhuyQKdLkoCIAnCdUHRVRmCytt81qc2xrWqP88YnxaPf1CqHB/SUu6B2QSuGVh02/HOOQO2v0w
xK88y4waW41jSjzmh2w9ZvwmJnuF1/oIXHmzspE3rzxuGdjS8E6C4BTs6oohTDRW6y6D1MZ8NLRH
fyUBsPb5eXMvDKDgGLOTSirOMuhZBCDn/T1bukCXv16xr4SVtWaW+PXe91IibuuGkKyYurUVzMd2
sQLmVFlL5hVM6Uart9Z/uUHqrWF2lVc5Pt/qew0znHb3N2j+z68iNRyv7yI9Mc+ABUxZ2SAd6I4O
VHDijFk0uzJ/GPqtyL+y8kMx7B1zJ8c1gQu3BQ8eohPgr+G9+/N2XmxXWw1W0bKqOGOiJsC6DdUe
XV6NgV+aWkRHzAq6v8BFeTOpNB4jlMRVqzNUGLUi2wHy/C17RfnzT7GG/n+LOZRNxFsH34QAJoGC
hLKJzmikBJT2xTknOQN2ZmBa2ONOhQApeS6GbSTahpV9qGX+pwYTDCsnPWUcY95DgIB6+WI6qBqK
1ABNsW+2H8tpGo6tl3AamB0VrzhCYwpGL7MOkDMEBONoA9Hl+qOwnDQSkugbUaRVQPCfHOLC7gNS
t+mRJiwOh6rnL7UkNGioFbtoo+3Yl6JKcMwlugHtKEPCFDT24F4aOGZBZUOG+Jv6+0TXp0dEctoB
kLs4wvkwNKvlhbG1eguJa2BPAtQhYhaYMv/ee61x0qXx3SvjbyLVxnrL8gbgw5Trm15DGzygI5g6
H+QuOGws5v01rC7+bGm6GfgDRbc8Iv6PRNT8QyZsdtaNxMeML5IibzQl1YEZ1ojBm9R4QL9e/MPn
ptkFLWV+qPHUDDO7cB7yzO0jUhtVYAgtx2jQ0Yr6kvfPYARysS99taJbC1cfuERUQ+YcJqpt6tV3
uyGzEFjhwWwf/+S1sVLEW9BddJADoovCvQXlUrwop/GKnDt2fqY2JnFO3w3+lPYP3SoJ0IKVRIYS
lx9Vc3gAaijE+pmUpEmLczZi5jR/FGAub+uVMsvCZuHxRygys2+awPFfX/zEsOJeF1V+zpND/Oqu
TVVb+ryDU5jLdohJ1apROTpTbUgtO7v0Uw/6Y0tYm/uWZFECggETcPSFxIYvhJ5qoD45pzJ02s9k
rYy68n21dC3yFPz+Hb5v+xt/g9zjf/XzVZIk6vPY0Ud83j0C9d2w6P7nZxun2EC0G6Kn2ZrhYjc2
sB4zWmH2RXbGVLmwFu3Bsk7wzWHqDrq2hsRY2qpLYcrF8/rMyblfZufROHowJ+br/cUsXbwZTof8
AHr1keS41lWb5wPxACU4N3RT8jpoWRnkRlRu74tZuHcg00GXEJxvkKOrMTpaWy2UfXJciYlGllGc
7MrZx4P5/d+IATgHIx0w31J9nuAgSs2x0/ycWO0ZRYag7829cMaV1Sy4EjOB5Exx7ANcqWIrKfpu
ckun1XnENEHTbzekZxvbeEqmE2FNEHd9EGcrKYgFRZiPCD4+8rUYYKl4RwxDv7gwyuqcvGh5sanK
dw6chVV8G8oEnBkOCZM7FU3IXVZ5blnKsyWQqAuctXrJwrUB5TyIPcHZhEtjKSYetNkW540pzo4Z
5R8+DJ+rIVrj517QZlAZoFIKThJYL19ZAyYYGhnLYkywysbXTmzGlAGLqnnBxN9vIiEJJIXQavxb
DYXcwrAlG7CaIRdhi3/O9zV56bjRPQPyMoxEAG5N2a2xxhEVOoOKJVk4RsO4tlWLAtBzbgJFAUID
9bh1DRYeuOjqjEKQjEDrE71/AXjPESjCfOFdVxaQGaXv9nmFDXLNfdskW8s43JewdNiXEpRntnGl
gSHFHcIRmgXUNSM4TRut+1m+k03u7WbMVD3zBFFkedTrnqTTWI2DLc/0h0z2vlixJksn4cNvRy1m
xlHrik/tah3VR0LkuS4/jzI03bVWnzUByq1gPRdtYkGAne8MfRevsDkufB71ViRu0OLjohKiZAXs
VuY2kZrAxI7qr1XDqzeLtcLn7ZMLzx8jvecyCOyHokxeJibAlHpxtlpgsoF0C96tSlffV1Spxoja
pMnw/T6pD1zrPyF5syVxukd67/2nfSVK2S1rqJEcSiBqrAK9D4xP91ey8NBefX4+rIugs2wns8Rc
HnF2qz3sXoyyVP9+04eMsW2BYHHmq1DPW0urPGmoX55tUqLMDkgPRq+K8P46Fi438qrAn6J1GYM/
1PRj7rZaSeISJ2LLzVTX32tMi2ybfBOL/P0vKxI/c9spQCPICSr3zxjcBGheT5wZf5z2LV8JbRZP
5OLzyu0jaJI3Qe+Ez9f84Oqb2tj0GGZ2f7sW7uDVGhTvwCB5NyAJLs5FvvWybb//rz6vctchGuhl
xlxxJkXIy0BbA24snTZyJeAJgYszA9SutdZErzxPSqiULLr0eajNP1oK6t+GU/1ggwpn5XGdt1zx
4OF/gMweegzYnarBZT12g4VI89xnhfE0NW4SmqD+C/KxdUMDj1UU89T7nlmpuYZTU1YK+zXPpfVg
yVBPRD1Ouf4NY7gr/Uws4fVnJ+s/ZFN6og6PfF+8T/FuRCmmwOgo4RoaYV+kayH/8SPBwJyYr9xT
RfHehMwcvqDsn8PpN6jBhb1xx0mnfQ3ITV2YoZPty2KtMWdNwryjFxK0eHBigcEDpw4I5nHDvM/v
0u2bFSi611ScJRnB9/U/OYuc7n1X5+bzyvUfdZI3RYXPFzHodENbrDyNSwp1eQDKzSc10/XcM+JT
T451Nu4aOw45O2d2tqJO8z5cXJp/FoIbiqw80uPosrg+hyJmIjc99PM48ZPmH3qDRciEgQ3gFNvt
ilYtyoJGIb9heWjsVN7j1Bp08NPaACaT5MlPMMdTnEUzp06Njemu2P/FHUSNGsE84ipEDdcLQ1lX
90Glop1KNmwEyzfCjr8kpfa7p3J3X9cWRaFEA2AxOpZuCDrTTqIGYAOTl9dpaNFHswZAiT5m6VpN
fE3Q/PeLS9M7KTiQJwgys4fULIKsOZROEw7uSqpLedzelAK1Y0SLbzl1td1f2E1v+x1Af5OWHETO
nujo7OuRrhyR2nhzI0dRiL5FR0fsA9TpDv7HhKc/+hTTTlvT31j59KQhL1q69basrW2jgwbAWkOt
Likkzg3eCAhoEO8pDih1tKwAEzH4uZA5LkQfaIIHvfbprdH29b6SvL2m6k27FKYstiRDU5ojAdKt
IO02Q8EXVD/ub8G89gEIynQnRUNCS6Z6qFkGxsoWFR32fjWbL2gUUulNGfTIYGxctMj/ThP3i4Ye
Vy8mW11O9SNaiPPAHzPz0TFAgF+BxnPbZJoTdLqbYyN1pJopiubO1PhRDn6hgIuCfiCcx+hnrvxj
PgKk5udFF/ggmwwLXsf7So9bkCLZ8XNSIFcdj4Z/9Gn+Q/ChOk4YfhJNzcR2/WB7IR94f5CFXT6P
pKs3cdGYoZeT+Kni2d+hTbdt2rZ54CB+DHVGumetqdFixEc3qE1wVo9F3RxMwBt1jH6zkcnNsyOb
0J6U+KMVov/I2VLCkNCyab7nXfp1RoZGYFvBDybTT1ApITufjmidKVJ9O4FgBUDJPkF7Q47R2tbQ
/3VSbw3AePOOIfEFhCAKp5iABriVfn0lhZk41M9z/pJ1geWcC/t95TMgK8CFrTvISoFkD8/xfFUv
rnxeTkkxcZ+/2DvZnia+EuXdWJT586CSJWhdXuCLEHUiUb0ws5fK+WGXYb/1TURIH++r/u09n6XM
sxkx+xVoCtUzy3gPxpsRUmY2wup1YBFhx4yirS7SNCPoG1SHtLCx1rrClg4H+XoEsSCUQ2lAud+Y
Q2U4vJ8gF9fjY1+9zz1/OxsMggFKcaYVu5lmFWcF+jyqPnthFKPvtmn68/6+Lfx8WGHkonDw+K2q
bo3UaSbPStOXuP1gf5PyfYXf+edffV7ZHXTqAVHr4/PgH2B2GiVDG91fwM07ci1Bta9lXjTG3M32
QmL7oa7016FnLHCqcsWxWJSD1DAqM4CJA5x2fUlMDDmsCztPX/S6imrvT9M9pmtcIWsy5rfk8iKy
zi2mrET4MlSB3RUBAbqXdysv7+KRA8CLhQAuhhTetRRRkbQ3DJa+SAlaH+2jvtbBeHPhoauAkwDa
iHz6jJm5FiABa2dMQ6Nk1yHIP2/D7p3Z+lmtdExjAuACkcPtGBArxjPSNjDDnvbSd9+F+JO3K2/p
wi5diZj/fnEWmoeZHLUxaacsC0F/JPh7vXtlCYrRtUdw3acOvq+9Dsfy/RZ9bmZGezDS5bcUPQ2z
tdHyY/SgpUkbgObkSfOqlQ0ybo55XgHghijo2wuQqCmuTdDGwy7ZQ94H0k2KLZ6Z+MFrgfOeaA8i
fBShAvD5i7DM2bgFGLbacaASQ8cQ6S9dNEZkpbm/caa5pVeT/trs1xvnS/mJSghldYVZAJNIXzpf
/pKsbjayHc+uhtBdVmFatCuRzqLSXGyJEhAQfYgng6fgmkiTje0lYdr/um/uFlfkoJsBCX4AjdRn
zhTgjRKJBiZp8gUkVmGTHx2MgpzEB3/4el/U4mJceARIpqEwYiqLQcdfmk9eD9oRNn7KcvtVav32
vogFgzc3xf9HhEo0z8AB4bQEzCZO8ugXnzUSZum/2bALEcoLlMayYn2pQwU8HuT17zZpI7d7ydKv
qe0G/2I5eB5QRZoTUjelnYa0sd6ACaQ0WGgUD+b4t4n/3pexqAAXMhS7JDAl2LHKluKN0KJ87AKj
/1lWIqi742CtQTkXz2cuiQJODEOiOjcmRuLCZ8AV10Ynoub3Pje3Uo//xbYZaCtFPyvgvXBGrk2t
NaZeDk4jWHND29Hh4PAdiui7+/u2tJRLIda1kGlGws52EaOvaAiyrp91OvzQh7WukjUxyvFoaTcJ
XSIlILxPI38pp+f8X3gJ820EQAxgVDjUyr3skJ0zxQB69E50LBy1dm8MHbpyV4G8SwYAdIo6WL7x
iCBUv94y26IDarKYZUN2g/O5MFZK7kvvB3qX5yw92nzBwnz9edFr4JhqYcq60X9GYX5PU+shHZNI
7+3wXxw+Ssd40dF1e8O+AWNKhi4mc0/2N5L8jt19MqwkGhYPHkRiCNQAoLsBECQYy9EkZoXXkO/i
NLLNDRWbf7EKcF8ZmIINfLpa2ZXSsFF2tbRTLVhyGGk17Eg3xLuilmvJ2flhvEokwGsHWxneazhZ
AG4ptyUDuYPZlKNxMtrxlfu5E7Ql/ToV6Sss9p9qQmINLCX5iiFYlDqzFWAMDWhS1HxagZLz5PDG
OKHquKH6jhVD4MjPLN7I6TihAff+fi6YUhMZdXBMzPyzgGNcK6DjxVTrSl8/xeVfWrhBhd7PHrBB
yz1KMEXdFzbfypsdBQIa4z1RALuh9Yj1cSQtK4wTL/r46FpI441pl20rQwLSqLHNWLjOxs5JGtgM
FAn3pS9oJ+ojc0IU+4oQWbnKQ5YA4kiZceqMBnS6X6vqQ5xoK0tUaTVntxzcCuijmmsUM5fO9YZS
JhI/rQ0DDWHnZDKDtv8f0q6sN26c2f4iAtolvkrqxe1NduIknhdhkjjaRS3U+uvvUS7wpZsmmnAG
M5OXDFRNskgWq06dczKY5ifjPkc3dbxDEE2L79dH9tvrhYkFUgCpC8Sg4LMR6wg8RlKtLNEvZLGi
3c0uAxOWSdJd1nLtWGm9GQ6V/lKsVTf6bgfe25HzOlhX3r95nTeHTsb0B9qknU8bF23VGnrljC7t
Xkez55/qrlt9s12K+6mFYDVuKePZaNGerCeIrLWlgqO2c/bULc7rvLTVcXZnI9C0YdwjHQYemmYZ
y5CVGds5nZbuyVrMu76FXLtf0jEJZhwlj/FKnE9D54LrRW9UukuSY/Zifra/P3vIJNzU0t7iaAbU
zbDX9ykgrRXCE/rxMxaPSRP/bJQjqOpf2ikHi7K500H76x2ZfsvwGkj319daMpQLE0I43yAkrkoG
E0jomNDpmE/pckN+/oURbBKABiA/gOm/HEe+NkUxZaP36BWfLP2YtwEr4BqpYrNIzgMUjf+YEQIF
MGesg1bCDGB6IbKluvmWTuHcPjYN2I3aV48pUjFiv+u2Oy8sCmdAaRDCesY9UGjRYOVe4ObQ34qz
HafMj6tbY9mDh8o39O9ztRucm+vTKjmBLPDEgIoCj0UKD7mc1rl1k8YgYE9uM/t2bp3bOOs/T56K
3kp2BqFpUAdV4ka2845WMO0Wq3AJFHmLlgV03sVt75MU9whhwH7/axSn2rJ9KKn/xfDOzBqXw6uK
Ne+KqfMeXfZ57A55GlCVzrh0Bs9MCI6ZrRnJhrWFfm7CfphL8X2cs91cqR4xsk12PoGCY6JLh7l6
ggk056+sPLZbslw7TCqksGw0aLvFwxJEZO9boN0MUq7NYriPYIT2G+N5zD6X4Nm8viqysYCfCIcG
8l3vX8sajnE3nSGMZI3mrl5oADZeEA3922e764YsqSX0rOpoogAyQHRvm5lDnWsJ1E/7iu/n3HOD
Zl3HF7OiUKd2su6ba2VkH+vgQ+BzNu3tOE6Oed3Sw9JXKdoEqJ7uY0LM05TVLdrOG6ADTTffNXYK
qtWurE9OBrqdiVhGsBrm8mo7DJ06baP5EOaawmHunX3eenaOasxUg63BzrtnPq7OW16y9na2S2+P
J2Kx7xsLGQo3t8N+iL27FJ0Ioe1l3T5n7vygr3l2s9AcdxMaJB74AnU+iJYyHwR8BNTjg6fYOpKp
wzmIbret98R+R/eYuKmVlLEJvWZ7RZTwq+Dt3iK3HQo31xdJZgiJeoB1ENu+7+PJbd6yQbezqEoe
U/MXGX7x2Q2sRcUUr7IjXFNG58IZVgzI1L/X5YllP7oRbVsqNZNtIwqBz+9oEhQSvzFVwnmgDV1S
WaueRZOxhDE4NlilUhGRjsRA1AicwMafKpxqq152mlMsKVjL4FCO1hy9vH4xXXIkjUqbWhL8I3j7
s4OEWbPWjqyEYK+204vVHaz+rgPN7dCfmvVpUmHpJAPbtMXAqIv+Vgf118vjmhXz5CC824if0TVS
HSv2L/zcn/Tn6y4nWSPQWAEagJh/axwRImLgQrs87y2wf9ssSPV/UMZTHHEyC1tfyqY1hD5OcYkq
G3wcy5B4j2mAxnJISqheSbKDeutJAbQbrfLvKBKqeAAwBMROjy30OYowL46at78+S7LVODex/f1Z
iGrSoiHWZqLXn9DQ5WoBGEySb9eNSCcKNOxgAkZr3btshl3mi7XmGqT/7GcSR7nqBni/G9EFvwHR
tn/fhb+TkeGmG3u4r4lAo3gA77dipSXP1Qt9GCGCGjvu5oDXgJbJG4NmHH/iNL1hveebKV4TXcMV
q6KyJ2xIjua5obeA0CDl8GB21qFOhmNioBIf0xPjXFGWkvkZGFHQhQhFOWDLheMs1/LeBhcHUEL0
cSJv43A3jx/P0VjnJjYXOfOzlPSjW2mbdBm9N/Xnkj8zTwGqknnZhvTYkuY4MMWklpVn0BsDidRj
Nrf/5ASlSM/Njtc9WVZ5QaMmOhWQO8dciTVPgM37tUZb4ePorbpvVWj6O6JO6KR+XudH0rFTX8I1
svwQ60XQLPTGIXw3uPHXsrQO13+MdMAoSPxO3qKXXMhGTrWpjSYrgYhI9RSUQOXXvldx5slcA+1q
oGZzcALhvrtcN8LBBWnVBjzRJp3PmnbfDtbsq6nIpIagg4xEMZA6eMheGkr53HgZWMIfuVvdD7q5
14vywVlV71hgRSWnhXdmSLgX0OmiJ7/Bj3Q0s9u2yZ294WUgQ5rir0jurnsNcJKcdOb9bJJ2vy5m
fMMH9KWsse3sa8gk7Dy77cNVH1t/aAq8hy37hwnEzKFc2uRUry4EBmKgdYgRVzv0WVi7NEN71hLT
Ecm8biNeahz6ak/MjcqaVmHaM8BtEE0fSlfLds0ydH7Hyy5sjawPSrDfAiwDCE9Nx/G2BA/4DeV0
Zn7nAXDhxswJAensgjFb7H3dsPqEXlq6t9ACsZ/bufTNwa59MkPRvaeOcygYDsgk76ejlm40Jba2
gs/eRdg6TsVh7jL7mOt6HDgasDtTz7Vny0W6e0UdETzQvttoy4MWJ8aNaa8vFf6vh36k9W511/XQ
V9ar65Tf18Jy98ZMnNukzO8srTqUeOHucpslEEZsm9M0zWVgtlPto39X8/maoKq/5OQ2WcslKL3E
8r0hWZ61FpF3g+69oGvyOHTcFX+BnPauTlFOGoyUvdh12oWDzrRwcFh5gIqtFRBmzgGYJ/kDBM6d
g0UGZzd4WnK0ZzaHWWdT3xmbz7TwJt1f4fg7ZFAqI5j44ASoXAE+1TdI7ydZcu+CVDRss3n1Zwg/
+aW5vrWLu+LS19E8zIwWaqkd9+sCjwcAMYeHsWbazpqXMlzMtNwZoFe97adMh+z2MOJHxv8MnWO8
xPmon2jnTjRYCjL+y+tEt0NwU0Nzs4xfKC9qX0fkvq/o8Ksax9kHz0P1KxnIv9CrqO/XEo8XTuvs
eVhI7vfDNAXAerp4/zbuTrcb+uzRfaqfpvjTXHs0SknlHFabx/iti3vb1PYQJkkLJUkKsFeIPgT7
rqiz6r6CPEAwDg31l77hYIyumpfUcNto9Uo4I1ypvpmxa9AMMWtIYGR4oujQjHRJh35pZ3T1vZZp
0Nrriler5L/crqsevGEwg61v4JfVJt7eqpLkYBvWdEdzEw29ndXsZ4s1YcnBZ15abv9YtpA8JEbS
7MGpO56yugSOHWC4eocGchK6uIlve3tyTqiWYaBzlYWlVr5NXTwcxinNnkieZUHd98mL4Uw692k+
onCbJKN247JiOVRN1/pmoqcnPSf0aGjcDtw1TW+qWPcOrNdn0B9P465tOgsA3T4O1npKbzKzbw7j
+mscjCCF34II1glNq/kghdWWNkLTPnqMIPq55eWFM9Fd3bgz1j6POmsHvIiliJskR+7F54WTUBtA
CqDFXY5XTAxVvRyMgtqNYWqKe1ly4F6YEa6QOB17PiU8j/rV9+J/mmyfNvs4VsSYKitCDJMtWC0a
t3m0kpPd3BDrM+t34Ea+fuWqpkwIY3QrdRtOsSIZeribFigD666niuhPli7cyBrwOtpUntAXeXkX
sh5gUnSd5dHSoDXSJ7X308iQPivtdbkfGPKv2DBFsqeVVQX5UGmhNdM8rJJCBb2ShBgXv0RwEdqB
6x0iMHnkxqG57IimGKrq+4Jv8DQFWsnV8shYdk64qBgQJHE0up2AwkHbyJa+FpZrmgpi5BOWa+6f
quLeANl4EZnZDU9UTKrSgZxZ2hznLL616lXHtTbmkUXegAxY63+vO57q+5v7n32/q4gDbWlsItrV
UKK0rAJajaqmRkliHNOFWpWDkg4encJqLyMZ4n7Ealcg2ZjnICXf1yHebR0DfQI+i+pnr5JplqzQ
Bn+0XRyR4E4TW8a0aXQnhzEIjjgMUU4ztH5fp3v8z79YzO+cbvx5fSIl5wQCZrQrgaoIW0vMFoLX
0OySrgfd7EyPZgs9ATb3R9CzIvAxVEkcyarBGDqOAT/fplQ4lNhiesygAIWnSYiLp1F1C0m/j/Ip
AMTQCkW366VXDF1u1HmGPpLKGnZGpz/1S63KckiOPEiAb89CVJZQYRc8260Lr6N9Bj248qBlhzrf
kenjBYoLE4Jzo8GiIPYCEwPbe7XhGwnx6w/39CDT6eLlhheBB5Frkcu5RJysm2mGHQQG3lOXK97Q
kqXAAm/NKJu6B1z5cilGA2+9pbCxd7zACZVKR7LPAxoDTqLfVC6OcFASTV+byltx8YDOcnJRMV0+
X98YUgs65sUAMgRj2P7+7ISpdJI6KaiCIlBZQmbMG/b/7fuCH816w3scPFnkfs2t/UwUPiQ5SAAO
Rg4bjgqyZRE20SQdaD8yAHgbm54y+qWYv+frHHAXpWf+4y+GcmZLmCrE8/Ym45pF836xPmkfZOHf
wj506eLOsqGMhwyzOFMeAYPMwvJohMoJ+j/wp5WxPbJbYa068qXTdmZLcNusNp1mwhMtMqsqDeYk
/7aOYGiuuFOivbK2/Sa3vl6fPcmBgn7RDUSz5RPeIYKItiQmX6DLkNbZQYvvloydsvj1uhGZN296
zmCSxLEFp7j05tg1F21EUBRZ9MGu/FLVQ7XNi1ABAJMIOkNwdQEOLeaBDJqZOfJQeRR3aG3HG5Jr
P/QYIq3041CtC0PCxgd5trd10mOB9J+e960mlh93n22mgM9K/ODCjHBTVXUHiR1wV0TgcWLo4Gl6
F521qW8nT72hiGUkDnBhS9g+xGvSotCNPBqayIwPYxNl0+H68ktNAAb6uxURO0hIoFoQc7KMBstf
ZN+4tcsRXWoKN5Z6ACBaELPduFHELjp7qZwarwHs0qJcTD+t8vRzaubpc9tnWtiajfbxFCqKTn8q
QsISGUubFR3WBL1IBvVpm8TIL5I4NOx43V2fPtkLBDTjHpRaNvWKd5UHUuYJt9MxjRDBhBQBWcbW
N68nJwPixHaa/jJ6bTej6uLHLt2NsfZWWPHfjPfsNwhHUw3KP6irYLyjPjpBB168HhxgSBb8xTP7
YrDb3ji7+dZ+zb2YaWlUZ6TZ9eu/Zu+ppGkk5xEFTRrup01cD+YubdR9WfGVW2nUgX4qAALk+oKp
Pi9sKRdKFUkSO6gWeqGOy/v7X3weMRNQr/D4d733QAhnUKLssBSETmjgy+70GdD360YkG4pCIuB/
RoQxDDUUU6ZpSCOtjUzz39QxD4ZRBbqKPUtyNuBS2NR7PKCz3lE8QkmhsvvNDnVvFn5AEgd5IRWU
Q7YgAG9ipQH7Q1ZbGIybebTmbYF+IvMXEAKJpujskw0CqRjoZ6F6Z7xTRJsG2vRl7mHB6x0rQ8p2
peoQkA7hzITgsmldrSUvYYK2uyQJ3fD6cstHgJh5a90D9EDYdcj5GU0Crqeoga5RZev+wncVU2SF
tgeQcE1DvPWPEeEeYFo55JODWAMJALuPtOxEyB1pjkX579B+56MC6KUa0/Zzzk4SXrR9kicwx7TP
cZr5rn6wTUU6Tb4s/xuSGNmAB7MqNJS2o9K5KdwDUSyLYsZEIGlF1tpjI5YF6mLhQubjks3HVht2
Xjnc91b13E3gdEkWxQG2LcSVhRLrTE0LSHU/FzBL/knMwc/jiBpRXk+HuW99AIX/k/MZgm/TaRkc
rcIkJgs5MAJVLasxYvRJDopnocIjjG01zzxiGuIZ1ycMOexnnD45kBkBde31wcgOzjMnF98LbmLo
XaenSBMnuyw7ts09bf1WhRSQ+h3g+luVHRTZIo4ZfOaZ4854lZAqO8QFZCf+onWOgnn3fxaEC18n
JuoMwHJFLmv86RXdIv71iVINQThynKUrPI/AyXjxWB/HD4rcbe82/H7LQWF4A1TZwlp3bo0st0OA
CrIsP5uf2uVrHX88Tr+wsfnbmT+B4bbisweaHZ2yoB7fVvtzP+y1Ff3Wv65P1jYZ73bk2WiE1TDd
PplQrcOLYNrxtfMbcA0Y+gh5Fh726bq/bk2+NH/mTlgamnPHTHrMHXGPju7PH2R3f7c2wkUAELFd
6sTDk12/y+PvXv6FFZ4/Fj+uD2OblHeTZgN7gFsHiFtHOFfaYfBad52Rz65oNKXslmWG35I1yAtL
8YqSmoLy79blDqytmBFK2qS13ZFm0Vo5AKUsBr+D4utwsIZ6irxqIooTWrpC6FMHwRfATu9yjQXj
Vq6hRh95KeRsqo1F06pVz2qpETzYN3VoCgIxwQ3mEh33yKJlkdV+z+MaWUBFJCs9j88MCH6Axmbm
5J2RRVniHpkHrDJ1PtlpsrvuB/JxoFEM6qbbC1Hwg6wsOxCq4KTJp72GKmp989++v9k/Owa6bLXY
EuNaKb60KFmqmGikPx+U69AyMVCCFAsBPSQqsq6vUIAqvlr8gMjsL37+2feFpMaMymbBCd7OxRok
4xPG8d++L0y/MfeN46VtHnlTSKud6rUl3XoQc9tYlYCpFxlrV3t0GTiBkEpefxr2Esw1QGDO13rV
FPMk9VbE+HhHQO4J58nlMtPeTBrcObgRdcevgPgA3CSwpym8Pl2y8WzSYsjG4e4C4/6lmWaYp7io
JqR+XW9LZFVgoVltcGyrRMx+yzGI5yMUV5D+AW8m4J+CpU1fw0hmHFpdOh7SuP5MenRjjSSv/FgH
wIJBd7pIx7BOD1O5hgNd/LZy74t4PrDWOrjpt+sjlzk6uP438DMS3zgXLkeeJEh+1h7Kdst0fOUf
ZOD7femcf11wc7Nuu3GMcRvwb+YSmqqmL5l3nH9e8HJrIU2XFAtSg+m+7sOlfjT56/X5kXkGqqdQ
yEH9ygChxOX8rN5STVOLcIMWlt98dm+HCpT9KnjlduiKXoHWPAqBIfQKvGOtKJg2c+5iP8VJ4Q/2
A0eTaHGc2HNDKSgUVBUt6aKfmRPugM7p5gX8cXmkZy94e+r8+fqkbZPybjibXJLpoMT4jtSHpo5T
ZLGXRKtmPprDtIRpDKR7b06nhlshRdoziYfXYVT5myxkA0cZDiZsYqQ3Noc5uxUmopGc6iAPxO26
r6Y5NJmxnw33aBj8UzdRxemkMiecTqtRzV5Tw1wK/HYzzfvCISFKS4ENnUeA+f7ilAKzCeDQEKNC
jWdb1rPRFWOTxeOapYCr5K+tWQCkWqAoQnx7qBWmZDsLIESQb24062jdujSVkW6y+dinUeGEY3sA
BRbgRtedRGHidzPV2Wi0BhLF3EVKralfdfalT37M9Od1E9uEiH64MTJRANSBVxUPW17YlU0hLBQt
7W3Rf0vpl+vflw0BVWdkbzYeGHR2XM7SnKVV4tlZEdUtngbWfGvpz42nQqDKRoFKjmYhUweVFFEq
Hl6GBJFXFJEdf6+Tb/NyuD4K1feFU7RuSA5/BcWX1e2BUCo6RRpbdoSe//7N/tlCl1BEj03oAUQ9
/QQAo5b+0rQfjoqwVjWKba3OrKD/00t4WhfR1D8udzZXDEJ2Qp8PQtjqyVDkFSqEGAS/g4y13+Zv
JQOIdLhFU0pDVA911ZwJnkWWZnQNDnPzEEyFz+JnezkoMxoqK8I9oFneosd88ywL+pb9a2qBc54d
3OLLf/Mw4TRx3CHtsh6j8Zpf3Vqj0f31uoHf2WRxp58tj3iYQKuo6SxWFlHh0iMfbwt6S+IbEr+w
7GeuzcFYP/Puh0lvBsjj6OQ0qjaRYipF4njdzVYOEv8iiptgmcMkPSYr+rRvro9T6uQQ9MRxhsvV
EiVI0tI1IG/MAOGyDxYwL4rPy+4zMHz+7/NCMFj1tGsN4EIjtCTl9r5464pdrB+yVLFc74cBSB+Y
dwF62niuRNx+utCyGlfUjvGm9i0kN0f/+jy9Xw00+6L6bIPZBXQHmnCk4bwBPbbHywidnv6UfQP5
Uqed5lKlQvv+AgAfM+jGYAjQt3fRIVtyVOhcEPA1zeu4PHfmybAVB4/MBPS6wYSBLAfSjsLpaQFu
OWndmEU15NcZaDNVvdmyxTg3IByck7XUJgOBdcQq7gP0wJXddRILm8ofaFw2t3XE1ch1b+RrWlXR
7dK8dNPn62stmSDgRFAsAe4Fr0SRmQRp2Ym2hGCtS8jmQD1whBAorVU10vcXABwKvDcQKwQlybtq
jZO0zlrYaYlq91MV74D4fiozyEQc06o/WfzD7/dLa8LJTGqnszsP1oqj/ZCp+v8lC2JCgWkDoABt
Dkr8y7tyNmg1t0nWRCT3/PnZ45Ni/6kMCD8fbRQANXIY8PIQlIXzsLu+5pL9fTEAejmAmsyutjb4
ft18m+3TVAV8PuX2p49bgY4omjUBUUR/qLAzsnzmLWV5GyFuaY6jedMlx6I5Xjcimyo8u3EY4g8E
eMJaNJ0e6zSDCJ39o6VfLOPl+ucluwM//8/nhZUYpkxjs+40UVOOAeuDagi9eA3+woiDKNsDRyXg
+gLWyHXJmkEUronc4dSl1B/QDJotisS/dCTgBQL//f/L8V6uOXMzaL8wg0UuZE2ORVaOr1aWDy/W
1NLw+nhkawJqKMMBZhrYVbFDt2pa286zoolYcRsZ5MMVMQBLzr6+OfdZpFo5a+nYBb7O7VOXNb6p
NX43KYqksh0C0C0Q9OjRAxuFsEMKvUxZ1WBJWDID7nmzLBFDm8yqWBTJTKG2jznC6QtMgSixYJMl
dl2wNkSW9tTUUfHxhbj4vBCQEFy8pC/x+Rj7o4lUx5TEpQAeQG4RXZOQbBXTBSDFcd12NhlQHWj5
aYGJt1FIDOmqc0VkJbVkg6oXGdPNlBCQ2Fpe2Wa+sgg+5xcgTtfHLJhAC3LdcbdVvQyDN4jNHzPb
cp25VowodIxNmCmaL203A85IfcN+jLVbQiKT8GBafly3KB0Y3aoVeGBb6G2+tNj2NSRCVwtLP1f+
bIYLeySV4hyWOtmZDWHy+IgzrNpsZN1P8MOH3Hu7PgjJZtmyYcD2aKCPfVfZ9YhTF+W0JpHR3K3r
M6mHQzawozapZNJlIzk3JGx9t8o9AkAoiNqCrEDD3KwKfCXLYW/C12BPQ7s5YojL5RjdskEr60ZO
a7xq7p6bN5YKCiWZLIgsAgOFlDGOF/FwBPc5tLH4SB4N+snKwdvufIeolb9+ULAHuWMEvGd2hLlC
0yethh52LGfyWfnaqijt3r92YMAEpByt0htppnA11km2AAWVJMBZtNgpXtAkht/3egCIn292H2cA
uTQnnMioHsZF3YAXtyi+dvY9jXd9eqgtxYkp4SDa3gmoWW1AAnAyCB7AWW9prZGCo1MH13+HHtZq
r0Pqgjcvs/vNBSt5UX+Om1lx8kg8G2YRTG4cXMAsCnu0AOgH6d0midA9Wr3O+X/8/Gb+7GBbjaGi
LS3ApFr0QWZsDbGKE3pbbeHovBjAtrPOLPS2VlDagUMRTXNl6LADyb5qKfqbd3Fw/bSR7lEbrRJo
akRNQUROI4op8jIDG2hZac86oekNGA/7G73+iyIpfOHMknA4my5Do+omSOJ1oNcKykYRyUgXHQeN
DUoL8HOICDYTNIyDPYGitfuhzYesUfiybKLwZEQC2kPO+x2t5TJ1LLUKkIXPyfjKOdsVJr2F5388
hsGV/MeMcA7warL4Om6c5MR4HTPr0zL8ze4AQEnDLYngFWSBl84Vu3bfDTXPooTdLt1xPlz3KNlJ
ZlAE3wiOkewQg71+MHPGTBv4XXfjczTCLqdhzk4szW50U3EbS1fljzGRtd/SWENr5gKlCnnKNLG/
QurDHyfr7fqYZL6FlLoBMgsEy654OoOhQGelCzMjP73lmmK3y7+O+cIlA7iS2NMF7VgTvc1AIy9O
2I/35OPKABt57Z/vC5eXMfMa7y4gqi3+TN3uAGaOALQFilNRthTnVoS3Y53YXmtpGIXNPu9J+tVx
FQZkjgX2W8cA4wf6ut6VgbRsHHuGreEa6PfuwPcdV89cm29ySnYpgZb6xxcdBDY2MjlIqyFSutwn
U00b04XSdYRwzX8Y8JS8/n3ZeKD2hS9v8pjvCkJapZVWhvaEaOYnZ7z3wAGPbhIaZj+v25EtDA7F
LRDfLhURxWMPa2kNRgs7XpX7zpAeDdLce7aKKlfmxraNRCdyUshRiOpWBOw73dxivpq7YvT8bHAU
EyY34Ng2eAhwdIk0tYyOFVqwZ/CjdSkkr3djrqJHloWTSFBsLF/bI0IECq2Zl7uLN+Ps6kiYT7E/
WE/DlIYgIVCMRW4JsR60YBAci5iepNe93uML4j2o5biVP/oFGBtmR3G9q8wYlz68WmWReC7MJBPq
DsA+tYB2s74/ePOX614mee2hCoBXN0JlAFdEFE6jAzMzr3wLYH1uHu1pb+l36GRzBrz4g7hT3PYS
mRsEE2f2hFuMxaCZBiNFEi0IlGsAVcxuj67Y2s/2JcjSwgwwP/YXGYYLo0LYrDltmqeAYkZmGTRl
SBqFV8i2qgvC/I11B7K/4k2gg/3L1BmUBii9z8YlrNvb1Gv/o5HNZ86Cy1FbnLwEB0S0tp9Ht4PY
0427qB7/sr2KNCLQyehh9xAJXBoxqTFPhYvHJXNe+fi8WMfr7iadKeqisxQ5Bmh7CI49UNNgFJJU
0WBmj8O83Gw4yxH6J9fNSFqvkMLQcESD+R3PM0eYLLIYrccbAAOGhvR+wuNT0sZ7kxTRas/BsmzV
PCtg4+BDyiMY4il0yo8zql3+BuFmdYzMzpndQrWc7j3tdhlVBV7ZTXQ+SGEvpZad0c7cGoqm25y9
Eqveu6sTQqHEt1TqnTLH8HToD2/yoQgRhSfhMDduM8UuwnR+XKHmqoilZH4BgkbIaIK75j2kbbtt
PeS2kqjWq6dpdu6JMT31aJa47hfSUeAlABIuDVkua/sZZ3uoXRGW6wAdQnxi6fdFTtxfRmdnqpem
7FAFTRreZkhtvM/HQ9BkBnkCYunOQsjG9EPd3NAy9RMwnKX2FNrs02Cr4izZnXFuVPAGwo2KG1xP
I2+jzqpTwP9e2zQOUk3lC7LFQqZrGyCOiXcKxX0V1+AzAbBn8th9SlAyoywLMjr8+PhqndmhQkkA
Dd7rYI7oMYOUS5jMepiqqB+k1xEFbQJS6Tr40sTKia2TOTb6NY1mzblt1uZTXHmP9UB8bUwiMAR8
jvsWWFEnKoohJHm7uz5C6Uwi843gBZsKoL1Lf9S8cYm1It7WLH1A7TEa4+QQe+bfXFDg6nQ3FCIK
LOJxiO7nGRjYKY3MZkGZ69fM39xGlZiUDAZeDdIDYL5QMhfvDpYno2V0JboqDMiX2uRm7acDKWbF
USHxc5hxoF6McA+kocKxmoABqzINzFk2uyhmz2APcoKEPCXDzw8vDthUQBEEbTxrK81fLs7YpFPG
OBTTjC6/SUbzwHU7MHpHUWWRnEkIuoEBAAHJpo8smKl0C5wO4NSIiHdM0oOqNC9dlT+fFykBjXTO
ubHg+dUQsM4tHHyOP0ZD/3hwcj4IsY+7Br41yQro5PV2j8iEQigbvG21KgaSZSbBzg+aUiheACoh
2iEd+NRmZF2jfPhKSblvxzgorSbM7dUfwa2oF590o/Wt7Om6L0iu2gu7QtySMDrZNsci2WikS1kK
/rmXmN3UK+jsUtX1IfMIE4MD8wI8/d0LExLdK2nHiTyi3PNPWdVBn00vHx8PAK7osMKfaKQWNtHA
nclwLKi36fxbN3Q7DYA3+h248pCUiiZbyX510Y62vZiRIHPF/dq6HQM2vE2gAIko34PcV7xbB3TY
rX9RQt4OUQegTzAJoL/ucsNaiYVcPEMqo1r6XbHqxwFgGtrau+tz9zsPLaR5L+wIN23t8KFhiQnU
6ULuY2IHbVftZ60/ZO0zCGYOpl4GVjwEIxq8UHY69l4TzEzVBrCdC9d+hXBu8BxKWiADxO3ITd/i
LKgKVMzn22L9SuPJLzTwTa3P14e+jeyKTRE7lvd6BcgVAhvX6ZEpeEi8PJgHfj90xsFmU+RwRaJQ
shVcRBkgHMLh+F4IcKrzltcN2qfhYWHR9GGvegArLIhDGtrcHE1OEcxk9wAx+w5/+4s5A6wBMDVw
wOLlc+mVS2E2E7I8SaTX4GIMFwiu6CEtPrfTYfoLoBeKAX9sbYM9i2+biUKd0IRYXLzsEvPWLT9Z
syLTLTkJYQLpVEgrIZgQa0OzgdJDSm08Q6dbPd+XxT1Y1a1HV1WEkq7LmR1h2sigJ1a8lTlN+rQ2
ED34fn1ZVOMQpgrC4wycavh+l+1c49g5AWh/xzf6cUqlrecD/23QMhS1hIdTSzoC6akKLxvHTY7e
En9pZuslGy3uTwu3bnJwAyouY9nQ8MSBjiOuSCyWYHLSaq9xZwSw1K6TB2+hSZjizNpIb9sgH1e6
p1PBfl2fT0mc4eI+oZD6BXfUu2ip6y2jhyYMjEKirum+o7T4PU4Ud4nUCBJISOUjZscfl/7d69B/
ASVsEmn9d06Jn88vYFtSTJ/M80BJtPWlIfmFa+vSiF3P3OkXPG/ivPdnu/FV7yfp+uBBu1FTIUwW
g5jac3sCgGEaMd+dbzN6a7WotHz9eFyJLAvAhiC1BlhEfFu4DG0ZLK/xttBe8+6Uth9vOEIy4I8B
kVgVh401rVqF9IPzM3N3SRWYBWhufKMMZju87l3SNcHhiUI7RgS+jss1GYqypwNP8KImJ7LzvJvr
n5f5Fbq0cb6j/vW++MWhPDHUrUceWwfEOEuDfhiwEt0NU6xqm5JFQ2eWxMoXpMpNnjBU8LeWvbV/
GiseQOzWL+2Poz9dNDaD7A6VLzTUi+HBosXOuOAq8BLoP4HN37tNV71WxMWygODMinh7VnZJh2rL
27he+WqY4wMb7KNh2Z+Swjsi9gxo8fPjS+WgmLQloTw8mYTd2Rq87RZnE4DhhyrlfmIEpqWYO9ki
oYsOmUMTVZF3ouXOygoAvYB/MIbV17WHSkc85fa+p++uD0ZmCFUE1EV+ayKKscFIyimfGQzFdnOK
WRL7qUUO4K0NE7b+RWEM1/aW6oBTQDxEODwT6oxgPkDbKNONAFJw7sfpW7cy6x8D22jPog+K9gV7
1NDcPtnghwbr8/gXxwAsgFHLAtocKgVCRmhtkpiwxELnaw4Cba32Fc4lWQ/ABIDm23Rc0MorjCCx
V869ccOxp0vpc2xRZriBm4xvXf/v9aWXPWUBqtxeRnBnVJCFDVqteTHEDuqI8RjfeR17s9shSMFz
j2bHY5Ks0djlJ9pYO85G1XN9+7YQx5/bFk8hp5wzK2GwvaLcYs53FXB+k3bLybSr7de2ywJzUpwU
khMcJpFC3lrdtgzspXOUSB/QpETqtc3Akb8cZi0Prs+o5BAHByN8A2l3zKm4mfp6ojONO3TquXaA
oMe3JjssqapeKjWDZo1NdBPRjphDRk1wzrRiRZrLdE76oAeeFx9TiyribNl8oXqBjPumuQmh3Mv5
AkDDYWRj+jTdY5+AVv7/SLuy5Uh1ZftFRDAKeAVq8lAu2+22u1+InswkAQIkEF9/F33O3V2FuUXs
vrsf9oMjKtGUSmWuXGslylnw3LjrwELzO/H04VnCuKxb7EoURAoWOnwXyz14wiTxggrEMcxxV1Zn
IejxkBTE+xzvOTRCz46uxXirt6VV4LlahSovUNEG94q5d9Nk37ib61th8XChV2TqSEdZ7gM9ZtXF
Dc99Xpz0Kgk0SJGl1A9SacAt9YEJpn1fQETlF3PWnke/m93nRwul4SnZ4aOmOj/WSEq6aWuihxBY
M/cWoCcapE1j33Z0GAKke1hErNpDOaqqwhj5RchYiCKQTq9uPMJAPEfKuzhr8iboUjd/AiVJi2Zn
4m945f1KXVXfiN4eNjXi15WAcWljT1DviW0NXnYeMZSmJxyvrQvcesWnylbAMtm4Jqo1INNS/gQN
Yv8YmgcNpKhqBZav4sSJPwSVnh1ant25eElWkAaWe2RE75q+jAZochhJtdUcemih4nZ9jywdMKCo
kBSfqOXQr3Z5wEjJEwk6HgbWgm7Xp9o+/YsCIJiA/1gwLy24Qy1G4cICrYJWvxVr0jVLC4YICOGk
h//wKrr8favhFsVxYyfBxpuGfvJAB5GYP/5imvB8sIEqB3fGnBerNsyCWV7MTo6cSHgiuoZzWXJE
IPX+x8Dszs24baV1AQNAoWwFFZteQYIDp+UddZubvtFZoJiWRteHtVQhRnYBTZCTYhOKdDN/NACD
zL3cp+CerUIr98OEgG+q+OVkZdC5N9Bs9uUDIXTr8p8ZoD7XzS8t3bn12eYTVJaOE7toOKvv4sbf
MCvZeu0a2GKKhee+CFTXqGIgyQsFt+krzgIy4B49SB8kDDmUNgCl0R4apoc45eAJoeahR16gmCrf
tnczmvK1VOatN+T3lUh+XR/tUljleRNGemoMhWu8/I4OcsaCFSU2KkeTsO039UZLunoDLjQRpIlV
rRzthdmF6MfEJwvoFO63aV7Oxq2VzOpavypR5i1DYPfCzH0y5Kd/PSi4d2Q8JvFmOO7Z6fb1kg1q
wAXa5gAcAacXdAR6tNDIDqAzed3Wgq+6sDUbEDSXHRbHXnEy2Nb2g8IMr//+whnEMMCyMeVYofY3
i0UtgUY7Z0CrYG49ZYazieu7jr5zei/YVwhtrlgzFsLPc3PzWCAWDUDSMcx55qMBpUx+MEDmmtJ7
R4eA9XCfKSipfKs9ESj13CVPahiiErK+/TcZv5dkq/nv18e/OL9/xj9P0lnCGiVafelpkNvx0ZCH
6z+/Mr2/fdHZfrQtKP40WkFBKaKF/vjYeVBkepTVUxJ/pvrX68YW6IEQMZ4NZrZZ3NJoJfEzWMvQ
Rz6+Ncltrb7q2q/au23jLtDiW1q1QdyZYZU/0O6A8kxQ2ivx/tIZPP+KacrPxswNhC+42ulJa59F
HdAkGNeoMxbcCgY6pYTIVHJ2p2k/M6FcAonaFqtWOGLjjNrW0em+8M0HoPf21yd1eTR/TM0OiIDE
laMzmNLpLcvbUEH+ZI0maCFCRrIBMEnUr1Bwnic3ASGrs9KBt649qJmRr37vReqOhm3y5fpglnY7
4nD8oI2GO+DWL+etGFxcaB6uPppva4hjba7//NKynP/8zDGmdtc1poVx8Hyf0Uj3wHgK0MHuupWl
FQFcCNe3PnVdzSuY2BR+Z3VmcarTSKeHvoHS88r9uWZitr+o3451VcFEldkRTe6rKZb/CwFU5JjQ
OQAEOTqV9Hn3m86JsnvDxYMhyNy7hP7F1TFhqnDz4jGE1M/lYmteLtCGqhBs1yIYjqCzWXlILs4S
3gzAPuIV+aEB0hZt7nC9x7MhYdBT0kMq72yy4k2WwjXEiGhLxLMblcB5x5humFKVCWaprr07YWSH
Sgf22hnDGtIByKOFJteguZsYQc7L54aUoQl9yetbbmljgx4AUkpgOCQ4P5dTye2+qvueUWguCH0L
gTRnAwUDti8YVNA6Isvnv7CHqBtATDxPQNVxaU/afmk3NWWnDDOqkJnZyfQNharrVoyl2wlAg3/M
TMM+c6NTm4blD6BWyHv3rmck8BJ2pEW6KW33NgWdi54WUYn0UOqON1ZtHmQJtnpbfnO6/Etn0qPI
6k1tkXvCvU8r3za5olkEi84ddGujEQ0UnfNs75QiM3UV0xOyvj8I7zpEruh8FdAouUkKcH7Iwi4C
rito6hj5HWn5DnzYcmX3LS782VfM7jJDj0cTuolwmArqvp9HvYJ2Zxu09stfDRfbe2qExarPDmuK
67m2uENPlsrvNa3c6dTYWSku7bysIa6ZHslgPzWueihY+ULUWqCyPNB/7M8RdzRV4G5JYN8fnq3h
KbECvYGCycqOW/IYKKzhlnOnszR33VnFOO/sosQoeWh1xxL9zHq2vT6Xa0Zmzru1Icmo06w8Sed7
2e01+WM0V1zr0oU9cbiiTgxYy4c6K2+V7yYJYScT5Xad3ynND3Uy7DV6wxuyMp4lqCKgpH+sza5V
MKkNNi9ddnLTryjtoF0qDZEkD6SFbvM8DZMG9MLsxrbv0Vy7smJLLuLctnXpImpu1zozYTsXTsDs
Z+mnIQhmA4LD1+YvqM2tXCpLCbyL0c6OnIscgJ42HjtBAXg7tCDt1J+NodwI8ehNLeJ8Y9hQcxRr
0rZL28Yhpj9RC+loT57lVGRTJS4dO+Rs0NThWTeKfjPEGlR3aeMg4Y89g8zNxNhxOZ197ba1SuBx
+dg8j45/y0rjptMJqlmDe8jiNSzF4t45NziN+szFt2BtrnoQg59Es814AMLY0Ypab5cVIEMNpPlI
yb5bw4NOo5j77umqnsqd6IefF6AtMooePAIAW2thsavMzfUDvvjzwBpM15NhfmjF8amdtCZBW1EF
NjBW3/N2f93A0laYQI2/U1NI9s9WiZLO78YMmEbpPMnqoLVPcb4SUSyN4bcXBKGjgQTJ5I/P1qWr
uiH3LAhcmOUtk69uthLBLp1bBCrTXfJbCXMW6cdDZlapxBBKkIlVnhPVQntEggbdDuPJauSGjezp
+qz9buGYL/u5zZmfyilY53gG2CyI3Le0LEKw8OySSVe4LTYFKHgTZLkFoxE6nLYVT7cxySKkhJEI
xlvHK0+cjmGGv3lddce69A4UJIfSqSOMJky79GduF5vMFLcdaNI0xiNPdJCR92+t2D1wm2x0NkbX
x7S4Eyx4A4KXNfpiZssElPYIvt2ppVAeRLVxqx3791zUYI5AdhXPFngEIIYudwIi2NzxshrdvSJC
hkcjK6dl0QWcGZiXTk10XiUSEN0TcbzAsQ4KBLROR7dEe6Tupm0fO+1HA3Iz3VubvcVN+Gdo8+yf
Bc0lNBEAgSw0cODzoHE/JcOpbk9x1YV0jXV08UidWZttPxb3xExMoNBZJ5+7VEWyKNaePIsplvPJ
nN2HZAAw0WcoZsak2JctCWTjBAVpgiyzDwScerwc3wB/eLFNvs2Z90gddBo5VpgO4A7syefr+3Nt
zNPfz9yILFAv8qbaqpuBtbJDXWlcuY8XT8DZrE5/P7NQDbFENwYOtdH2gYr3Y/dkrYG71/bJ7JSR
TstMV2Dl8kqGsf1JgaguoQdVyG1R/TD8lZhmbdJmN31bdE7txjgQmri1oJKR85VE3FIpEGcar27w
wfyuel9OWpKD1neEsvgpgY69bN7i/BOSCXp8HIzHUh4950kb24AXL7J+ZZQHtNrYUMe2rS6gclfR
N6P63g2Q7V4pLRvTTH5w0WcfNnM2mXJZwhU+rCBHWeWRB8h80px0dTBbFdUWQO3VSZjfx/qnXn6T
fJvG73l7KOWX6/v2/zhH/ztDIHS8nCF0/pdGRuH16GiEXCPHAfC+IDPKrYO4ZOz0oAVXT2I3kTZ0
u7FrQxufC97pvRHrN+B1+nn9gxYnBoJWDsB5qO7PXyZSQcWsVmgkbpUIrO6AVoN9D3W41lm5+BfP
05mh6SycnaexF/ZoDGjIsU11U6Iu3ZbNrViVCFg6UsBKooMcJGQA58yO7ZBrcZpS3P/KcUJ01rWk
D2snCSDmBErLZEfjtQbpxb11bnJ2ikeVJs3YwNvTVoaZ2Pre1wF56M5/LDI9HHT0aRRpNLRvQ7ZF
t1BoasOG9Me2Qrjtr0kwLD4jIO7lgFoZOKsPKArD1yxaTz1J5fiq6h20LAPW70X94MgskPU3u3sb
itP1TbTkWM5tzmaAmCk15ORYHD/b10E6pvvrBhZX9WxQM89VVm1sjAUG5fT1Bu1eYVl/8YkWjG0X
GfazSHbX7S09VxBCglzeQjHxA0Np14p8cBV2UVNnO8mHqI8dFGj6ezK1jRTmyvCW5+8fc/NIxTJl
LmwTOwhcYzWw5XJlOEtnzwWxO8430ELgB7k8e2UBxn9Xh9Mxge915M5BF3BWbq/P2fI5OLMyCxGw
l20hgGs41RLVD/Vkk9uSFTsw0AzNcymf7PwhNu8gfxq49acaHLZx+zR0W8YO1z9kcbOcfcc022ee
BlwYphZ3+A453rHPfh7KNtCtTePdEXdtzGszO3M3rdDNPs9hK02/afRROj/hP7PsrVA11AE/c+fU
qR3Jv3p8J906mBpv7TVmxMVAF8paWGEkuwG6n0382JWjVoEc6WSVj3r3oqs2zLt9njsBqIRDP4ag
nGsHhDzma+dyCdiCR/3U6ARAiYX68+Vce2M9ZiCyQwMS7fmmsw3vqZPqa+7ULEBr/S9CON3oqRFv
HdLlAErn75kym2eRld/7vF1LoiwuPXY5qgqTAvIc4eL2A2gVp6a1xm42PNFPKYQtNbzCsqbY0qaI
hFx7/S2QaBuYgj82Z4cLXrjxaxcNeoBvHgF02sjC3NCy2Xi62mqdjGyWP7Ss/Tbk8V6vsgiuMqq7
7E5aZvQXO//sU2arQTxplv30ErCVG4BcO8wmrb8mIBnd9N5er1+v21vc/Wf2ZifN0GSpSRNuUm/h
99FfDvWcd+XSb9fNrK3q7JB5Mu31XExxa7MvLT+i4nPdwYPFPEx0FNqw164bnKLBebR4vqSz+8wp
eQdmf/jjLCmfY17+ZMNwSOMqKBVIf+3aDkUpNyicrNwDi3aRBNctdPsifJklLzzN6ikETZA/SsW9
Qdu7Uq+/QOBgw2hxq2vlISvGyJV/0a/o44lvWsgtQQZkjqqqXOAujRL9xaZf7LOxOnBg9jpgZWrH
WZnZxR1zZmpa6jPfXKVGFdspDotF1UYa2pMxikjmbAVsNC3QhwVEN4vr6Oj0/FBHYkOX2VyHmaLs
gja7NQGlYJtmDeWzeG+fmZntk1IJs9Z8mDHj7luh2e955a6MZHlL/BnJFKmcT5iVxKwf4dFAtXif
WumdWQsaaMqRANihQZA2r2OhNpWCbOj1Q7A0OIwNzU0mWKyAuru0nIDdU/YtZIKcpggh2hHEfCUs
WbLg21PqB+BYqN7O3FVfi9yQNgC/bnnojnX+//z5mXfyGy1HcgI/r7GvKvsWr4F6Fj9/ItsEDgOP
jXlxtOs1fP4ISDkawY9Z0jziCK3EF0vHBbX+f0zMhoC+NmoJAwBv24syJ2QyTNdmaWmDnZv4sMxV
lwlHIGrr4lsfrF5uLaHOrR6YEqFhF79wjT5oSRNe311LJxRSl1MRFlSLoPi73F1VMiZNmY7IJ2XI
yo3dxrLEZ5smR4CbVybxoynkyoGJQ/cEIGX4d2mqhFYHiKOhSoctCNxj9pUjEmlj97GqPBJdH9ZC
LDYl5hFmWxZ4ZM151V7L2Ojnk5YS+LbDcfwJ+EMwqjzQql3bv+pGjWOEXA/JNrm29hJdHCj4EgkC
QX9S77kcqCu60bTjGsJKpEf/KHDMod7X1g4RWmMEBHw2axY/7k+MFsV66NkBEGjOa0dDD7x0beJR
z3vtBaTQUMItkOhZSR0sjmviSPdcQFfRyXM5rrgfYw7JCJCdKaiXCqfZUMO+ocK/M9UasdrH44AR
ndmanThCtNF3GtyFhZuDG1+7LZgZSeVv6yaOMsY2escfGyZX2jwXh4i7d9ox0Cyab5uxIDUB0wMa
JIUdNeWAftWkD/ysuyk49Puub9KlVYNeGnEAA0b2fZ7zGeOhdqoSvDlm/dNXQHHipLvaSizz0TuC
Mgnph98kiPqH3hSziQ2etkgsOWockNTiKLzxNT6oJSPmBKufpCywB2e3o2sK1dsdAqbKe0anReCw
Nc6Bpbk6tzALWPreKWJ34ioZQYtTVqjeI/rLYmvz75cEEmUA7xLwD3+QYEvMGO0QApXDMb7h2qEk
wdCveNxF13RuY9qDZ6EEyLkSvekQ1aoqDwYfEhOfWaMiku9i0Qe9+Rh3RzW0gWF/uj64aY4uozFE
EGeDm60SaB0NOlp4luRWs6mZHaT6lxQNp/VYoIwpQUCwti+WV+3PdM5WTeuMpJEOLNaZ80mwZscl
jXJQpK2cpIWcx+XQZtdY6rbAeSsYYmzHk096XoZ+tTfM9zT93tAi4vS2tz+jgTCwrRsGSm5byNAS
Bzd9vj7HSw7kbI7nOJYKknCQQUO5wtWbNNB758ksxU3R0K3g5uG6rZX19Gf3TMYTz0dtHVl+/2io
O6T3fb0IYuQ8yfjFXWt/Xdu3vnm5b7NWJnbl4Pk3+g9F9ks3GzQUYcPWPwQUxOISHCDlhO3/YfSP
1we6anp282SQNzHNfppVHunVK7DSWf2r90/Sw40ef7HGeyhvBKSn/z93MIdLGGgVKlINQ/a7DZOP
tXEYxMrYpkN35VDOu+149r+HElHR58I2D0mT7vMUGtqCRsLVVk7Ksqf+50T6M+cz+oMV2x5mUhrv
4O0OlHy7vlZLF/f5AZg5GS/VnNxv4EE1iwSpBmakDkS1MutAQ5Hetpp3FHZ36sVf4DQnF4AHNFJw
GN8csDc0Va4xiujE8tJdYaTBaLBdK2XYl1U41tvCvKFJFnVsm1u3Xr9S2VpcRjAEmGCgQLZ/jmwe
DaN1BgYH5OvHIY5IXISVeibaJwVg6PUZXjY1lfecqYdyDtUrk7yWssZLoQdxnBl2VVQlu5REzloN
Y9G/gMHyv4bmvsx2M33IJ2RADEIX43NdyWACILLkzrTf3erp+rAWKiZYwDNzM3fGHZYXTjnpXfrP
tASujVWQKH8h9Y1u/Wzde5bve77yrF9012c2Zz4tqdDvXyFrBhJad8e9O5M7QdvdO/5KXLl47M7s
zByYslI9hZ4wqtgOMoCf+fDz+uStLdVk/yymsHO8jbmJcTRDsxG1GVjc3bjSjxRoZRqzitIGNe3r
Nhcv97MxTX8/s5ko3ytLKI2fHLJPoZNOQ2ZF102s7omZuyq5LfSMYd6ccXwovSxKSuextbIbkAhG
DG/JWtd3KIHvjUGt2F50ZKBOQgV9At7M31Ql2mR1cC/CkZVt6JZ3CXBBEIpJn+Ncbr34e/XvJaKw
/1G+AxcySsBonLucT+CfzRTopQy8Gca2Yv63nuUR8nS/rs/ptBU+XDioFUxtsFBYmhehQMpnS6+E
p6J5Hfb+t9pdgX6tGZiNozYqOZIEl2ansdehh/I5Sb5fH8Pidj8bw/QJZ1vP0/K+ZSVMOI4KrOzJ
G71dInlQdY9G/tke1uLLRTdxZm+21fPCHZO2wpxxE9mlT2mvBb2/XRdYX5w6pOJA5UxQC5pnDtJY
dlk9gAUiFyHklWJvd33eFo/s2e/P3J2md7mCXiUAUV6Y9E9QpVqL+JdGgKzLFGBMfAhzBqg2BUOm
r1yMICObCgUWvY3+/RjOLczGIJQm0kJ5uJXAWuFjILZV71DWvG5l6ZJF26qO3hjPnxDjlztsFLWb
d6WGSxZcH2YjNqr/oiVtMNpWWLQrgfzypP0xNn3M2Xau8GrPzRbG0Ia/bbIHzVuTHFy0gDQAWnGR
ufkAGO947TfUIwj7cj9gAii/Jrg+YWsWZstSZ7RjfHCy0yd/fMndz9d/fekAAgMAclcUz32QHFzO
UOyCEzUBJvbUBpW2V32Iguqw1oOw5FVAE2kiI4P6y4c8+GhLAml58FZl7FfN4ByzLATdYlDgxJdJ
YOUrcI3FPeahxIRMA9rJ5qfd50mfuT3sKWysmH+tDTvMvbfKsHeKfLk+gYvLg/T4JHM4VWNmwVUF
QLQzlEgDceOtA97n5/WfX1wftFkj/Q4NFwhHXK4Pjy2N0gI/T3pno3VDNNouyM2zkPcrlpYWCawJ
iPHNiYZ3HuZzVK1NoSMiMKUTtn0e5tp9Wd3WTT8VIY9pWvzFxoY0FNq5dRs6FXNaDaE8yUF4idxW
GcmA6uH1mTMXB4T03G9hh0lm53Lq/IrGMavy4pQroaO9gKJqnYzIE1sOaptDP0Z1BqY5lF5fDYDa
v8oSvASpE/MNHSGuzRI5hpC7N3Z9m/cbDeRrAfpwa3CPqP4hI3UfjAl6YGPf+GlXqkKjXF1HIEdG
F5HmDygVW3pENeF9kXU8ruzw2X1jIwWPLDj+hxS8CwDzzIvy3upijYn+KHgWlvqxsb/aI1+ZwVmg
9tsIcrXIfk8apNAnupxADyAHQfNKHfNGq3GzQTBbNXpDgbYw+5u0q7TXwraTJ4swfmuDkmUtEF46
W6j+kknJYoJpz6KDOu+EQ0BCfNJSSKXo0F/DKVgrA86mEoJyIIQ+MzKbymqgGh8ptgn8Hy/ywEPC
uLf+4iI6NzK7iJTbZODDgBEtKL3tsNY5uzhReE8CEIg35YfCiFX6YPNPmwK0IaS90bkDAZNRy1fi
zyVfZHug0prkyVxkoy/3g60aOwF8En2nen6jUy1gstygUSoYa3vFNywuCgi70ISF2ix4pC5NuV6b
9E7q5CfdrtV+ILQCE2/sBrpbZ/vrfuJ3em0etwPeiLME/mkC5uRLWxZ1SUE1Gz2gHdqQnBHnnA2u
9eDYJTQlUq/3As8qB6AMY7FpxxgJ5KH13jDVX3TVlaEu7Spqwb50cDVpY+/IMdCd2kIW2G+OuHOb
yNI1UP50Tf9GM4jHZk2jbtDL3QQJqsc/YqXLGNRWjf3AafdFlyq99QfJIiR27I1HM/Rr2sK791CI
CsfUc08MUU1IVPUGvozhqdHLcedY4g0JqG9KV8WTkaDXMweY6lZ5pNh0aD8C/RMed6r4riue7Lox
n0h5gGMr1YgEnzk8y7TJoWYszLvBdeKg0zMngF7RETTgZN9XrhN0fYWzT1kWdJJ+0X31NQXRSwgM
ybhNi89s+OSNjxUwkmBb2YFyTW2LRkD6pRyDNM77qAdGCzKnrQRtkwqrxAnjChphruHtap+xiLfo
9bQqC53ZNpKelUWrsDU778YD2C3kqMNt87rif+MAgAEAdBC95x85d0RFR1FIPHlH8HyYDQtH+7WS
Kw57KSQ5NzJdVueRqKBmS5M0B3BcD6GV/Nmk/mZkEJbpky1WfOX8LMCwJ803KNiaQHmim2pmj3YY
a0e7/JSbnQzKLO5PfqpVh4r48W2FTR0aqRo2rmb6t4bQ0+eWo5YW1vrQ36Mfl2wtntObASmCXZdQ
ayU7tHS8UaomeIkhs/fheBMLvTfK5/lp8MeQ6lWU6WgoKl5WTjbmdH6wfeQN0awGWcUP7Au0jOvc
bvCgyWxCp4ay/hNCwx/UG6ug6WzykDAhdwZumDtCSmfl9pyNcbo9oa+N6BNwJ9DJzNt/cPhaL+6T
7ihIuReuem58N+xBu7Sy1Eu+H1iuaZxI0eIReLmzauoVdtcRejLUK7ry4pVJXIqizn5+Dt2lBsou
Y4qfV9kNH24AE3adraw3VvajzP5iW3gA6Ttov8WqzR8j7VDpoFFCNz4l8Slxk3sCam1B1zBaS/cY
KuBAgwH4jFM/u4xFXiWG8Du0ZE+4+RK9xHaUVs5WEytXy+/y7HwHnluanUICfWfUPQUskeQhF70e
CM08xNBfdVQWAhEdFS0N/LbfW+646f3umJrWK0mH0FL1vqMs0noz6vu1m3y2N3/HPGBdmFoIEUEi
Br/cM6mpt3Ef9/TUuD9s+6svfjlrek1LDu/cxCysKi1D8TpXFMz937r2OfEfzHobF08JWPuuH/O1
wcwmmYI8NDU5BuPYKvDZoRum7uWV07y8ZzBhU+SD9p9ZkNCOGdhbyxZsMUibx4MMXWR4MveAuuSK
pVnU/d+1+WNpFnVrRG+yuIIlNJToIQhLmjDPRuvGjPNsG1u4n7IKSrdJjdtRV6i2Xp/NhXUD1Bnx
MHhkkDCdDxScVDWowNn0agLE22He3Rjnh7h09jwnr6Wtba7bW2COArEXssEgqQIvBTzl5V6MLZDM
+jIZgDCDfFwx3JL0VXONbd4eAYbRYrZp0zfuN4HL33u7DzP9pm5+eNYzXgwBphHtztmD4a1RGn70
e4gEIUiDp/D0Gp7XnSCrp6VJEqtjabzKot4Q/qYyC8CxX2Nr39T+0/Vp+DjtmO7pPefiRpw4ni9n
YeCk0DRbV8c6e+rZd86+UPBuM6OIdOPbdVMfN9iFKWf2LgZhdlMRNapjwWIgcLZ+vimAMPbcF5Gc
uIrA2Xfd4McbCnc9+sWRYQLnB8qtl2MzqGamUJgYj8za5jJKV26NxZ9HoAuGWNTtPmSXaqospRw6
HpuERpXxbsXP179/oUqOAXgTjxNKkEhXzBaHQvINOVlNHcXwYHfQ3DEPmnptvGPRbVv7xOxftH9U
Trfi2BYH9sfs7xrOWcxYj0AF1EU+HoFzI/5T+hd4OhBiA5IFhCLAfB+UlGXm0LTOgd4vuia0+W2W
Ta2KO635vDKBv2/uy4vw0tLMRxOiRJoVORpkSjQpW6j/b51e/24ljffCoAAK/oKKvDWemx8Yre1D
YZM6EiAZ/FrGY/PddTmajB18nj647bZDsxv6Tiy1ZXr7GS9F5wisFhgQsoJsAGt3X5I4+VkI1xFh
Njrxj9HXFYiYh3brUS7erMz9lIvKDOuWlLvEseUnZgz5sElyP3toKtN8z/pEtnuC58Atmk/4iyYb
HtaCQPevj727jNXDE2esQTZI6x5TT/ucuoX/CC0NtvFppe+oGpAcSsoiPfYJaXao+DpFAE0Fa+My
MB6FMvPkQbYFyKhJquGJKYBepGaSBBJQ3J0lC/Q2CA1yEoltbes2FrcsHepDbjh4N3I53tikTw52
hXsgH7t0p2HDgHQe7fItKBC2knIzSjozPhmI6lFWQR+SaStEvV3bhqaVJX4gHN1760umPaR5o3jg
9I783ns9vdHHrdeI99hvvtlAXveZth9zK3LB9PKU5qS5bXX5mGqdvSsHLg45qYZNWgH6hOYUHS85
rkJZ213oglLpIZZ1cxQoBn5xzEz7WaGNZZsNuXy2fU27HX0+hsrq3K+cTOWZrGMPTqOaXUFUjhU2
RhUaykm/NsLwHivcj6C8yn6OYNvctiPyhh6xsy2rebsx/dTdjplThb4b9zeo+kCZz2Lxvk/9Go9Y
aBoA7gLcYWUOoWEU+QENOwS/0suwGczvovJKkA6oMRodL40QmHWhVgItEr7omREW2lA86Z3LXsaq
8Z4Ks8rvU3BYBRUqTrelmxgPMqbg4IgbBhwIRJhqI6lfORNipzzqhhQ89DuXxs69YSXoXkEbBMjo
kVtQZgvNSkhno3ve7QLDoe4NdUrrm64s7d3oEEf5OUgQCJpcDw0rxEZWernLhI7J7hlkM7w+3yBF
ByUFVXVbVzNkZDqtOJC4Mm40SzQ7NwFpbRbjNa4pg4e8jWVo5rm5IzZHUME8Z8Xvf4yZLg/9zG3a
sVa7TVPkD2jr2pr+G892PjjkY//HdffiLtxoSPKDbQNdofZE9X55wSC5lgxFOWQPg5WSb9xxcwbZ
JKe9iS0icAaQphJ27G1cvRv3uEhIMPamH9WENzeuUfjBwAoNgt9fkWMMHaiQ3A9NzkJTfKltHZK2
brcRGRrw+7EbTynT++9eix1jkmzbdr0ZQijFDLne2w8lXko7qAkPm7xHY24uWBvxhlb3XdxZT6gT
8Z1mjvFWxhAIGcyxP2VC06K6pa/Kb5t95iAzotm5G0khweMKmuhdzmrxXXS03DLi/1AlVP4Sjlyr
O2Z+WPmxda84klKN721NR7RPuhr7jed7HFjOgshnbhV0b+GlummK7p21FtRJGhAXWEoXO0lYgyhA
a9KQUWyIAbQvwDnoeInElgzcNuveu8ywAz2X/S5uoQyUFtBV5bTNHpgh6rBsU/7Yl2otfz/bPf95
P0OVG1Eo7l3gBC4XVcP4XV+J7sj9tA5EVd0iFtyWJkRP9MZd4X2a7aDfxibxFmQbJ0LkedTr54XP
RlTwjy5zosHR7kFWfYI+JQtjzyvQamZuIcHz06y0lXB74Y7HmdWRMUerAIou89goq6jmSCN9gJer
QMuGjroSjGQrBwRTNb990XwL32BCjvBDEcmME2Dl1Zg+mH1kSXBrbsY8QoE/F9F1Q4ujOTM0/f0s
YomzXBvhPWFIPsR2FpRsJXZdCsWQowO8AmUdNPXPGTXL1FDQKdXSB26Nx1SlL1T0Ejzf/fuY9Y9x
6iBja96jpeOuTftfNR9eVkY4RcezuUSSBTNpTy4HFc3LIUKEKbdBvxgf3bFSWZAS5u9akA+8OCaz
Ag7lj4h0Ld3L3FFRK1x+1zDabvq6hxTowPMvaN837iE9HW8oRBzDkdTJS2W4LPIldkADodltHOv+
vom9cYsL4h3dM/ye+7Q9JF1SN0DqGHRbOFw+lXQkjyn6WkKjpequT9F4aqLxLiKZO0RIaSNVO/rF
8EVhVR5jJd1HEJEm73HjVZ8SHZHU9cmZo4r+c4zwfrGhfoGn4zwXVRix0ynTb4+2/6xre0RsQdaU
UawVUI6MUu216RO4nJXc6uyp9h+rNpgwAfNBn+6HQuL/kPZtvW3zSte/SIBEnW8lHxInduKkSdre
CGmb6kCdKIkUqV//LmV/+LYtCxbSjafAcxFAY5JDcjizZi3Kcjf29BaiLvUKQYfA4xg0BKWG9E5u
+9vKLZKtjJYQyTNPNmdMrQI9P3JKTdtu2sJrBRBU6UNuuvsqSiBfEpFX5bKdX+bbOImOC7M7voQn
rueA/m2UsEFDCvKL565HJSvKUndxVtRude+knbxnyHCte5uT9VDa2Q6zoAuclcR/MDvHv+NDou1Q
Vo6WBLVGL7/2U8jkp3B0NBnCSR5GIoiqaHe+WT8NpvxyxQmSmS7KQIBwuHjZTU9HbmeuoHby4BpG
iJsqaJ0XplB47Ree33MH16mhyfuEUaYpyLYmD9x/y0BolANqen315izYo2w5ZPagQzQtninm107l
caQqDBlotg5ZoIVTfrINkDjy0RiFjWeBKRqH02Sy/MGv2kyHPw4aIkhvAKtfGTSaFqD2tQLtfUiW
lDHmLIJDE1BZdNqgn3dyFhYKWem0rbE8uefe4eHv3g+2PqyNkvmHpHZwc+p5mzwPHVmSDZq7CMDS
qCNVAja3MVN17oG5ElT3osE8EIOpbdab5KUA39eTS4bi1mdAeDmot0Agy6k3cYYrNWGpvyGDEf/9
8sKi5AokERLKn6yR5z/E8JTZx1yZhzrPd2lR7ZayyDOeM4o7jY1oIEZGuvbcAGElpbGK3UN5b9gP
5VJz9NLnp4vYazJtTRD1dGKX5zeoeV6fn5mj4uznj3HeSUxQCSs3gPJzD8j/luIPiN7bJc1tMnMp
A58Ar8cGw4k3xfoDemcZqkidQ+3mNAIdgOaChSmFABwYAnqXrV0oEhzH/KPashTAbtRj650WAdnY
NvETpDwDNDuaGyrc6phphr4WKIS9U1aqHyxFYBUg7ETC3rCXAJCT2f/P3YXd4wNgr6NPdDL71M+G
XmO4u4RqgoQ6z4Bi/Lq+ABMT47lwNjmTBQCxaJZTNOAdXPeJ3jbN1xDYGAF07+GbQPFAqgkghPP1
9UqAAiKLGwdOoQ+Wtfd4wL9dH8HEhUYTNvqnARZC7s28gCYpszKUrwr34CWEB36nJa96EvV4gAm+
YGoyWaMpwDgRSIyiZ6Ms9flowB+g9QirBFIMsV8EeWLxX6mGxMqXR4TTC23JNuju8WCdnNWCoOCN
t6EAfgdIoyoNuXhLjK8/oT6fFGNMNFKqT50rZUg62KXqD5E01zmo63iydvT7ji81XI4udBIOfM4a
KnYWHuBjc/AU1Gk0XdTrQ9cfDIOXtzVElNdJAx691kt+GNh6q6/P3qm5yeyxykUjsANzjGUBMgIr
OcRry/5z3crlmxBzhscZEqOoSF70XhJeupzoXn8Q/Sg/7mw9dbCsPsiy9xZIT99qgI+jm+tGZ1wd
oR1eoKMiOoQQJoGIC04VWTYSRmUTSPLoNCxIzYWAec7JXWBWQR+GAjxq0+dOjm3WmS0AbAcrdYPh
NWq/2FT66Q+nBia7yFGMW/Dx/qC/Qqw+sDaWsSR9OK7x1OVOTYxjPLlWILSj8nyAifhGBwOY9icc
IiTiFs7OOccGNBHkwagmQXhsksIq9c6LKg4rgwg0fyshCLNx/mm2xtwVEMQAkZqTNY9dl7d9QsUh
af0NahmBwlvCcj6ue9bM4wx4EOjOeWOaAcy0k13jdF7DqIHO7rLFxtykaDEUSIwmgPTcURtEaq9q
iWZsztFOTU5GlmpA+5pxJQ5qb1brvry5PqSlz09Wp8dDnBEPE9fGx254gFj6178PjPrIeIwzGmiB
cx+rvYoYaH/lh9rrgmQsSCwRKs9t91EoywLqFiszLcQ3YDSKge3mhyR7IbGzysXPIv/+D6MYy28j
ABF+PNmMA3WVZduUH9oAYXpo1Us5rNlBOCiQoQKHItn0mun6qAWTuC4OBUHK/Zb6m67c/sMYTkxM
YhjeOK6RcUMcunYn1E33tRgV59VY1UPGAv+NmPHJFNVCp17WOPzgd9Wu7tq90z4BU/fVMRiQ0Yao
DIJ5VEKnd75E04NRdlIe6m6HUj6yO9e/f3ki4vuf7OOIgC0QBpx7q9EryjkwiwcL/FvC+ctRI0mG
XWSJdW7lC0XXWWMurkcfLVVIR4x/Pzl+PYjapnpcyINvlLeF2vvoUlN6GuidHejtP8zcqJaB+xCB
MlqSz43VALf6OOrVIX6vzRvPW5i4mZMR2GKAnEehHmwTb/J9MphlThtNHlAPezQJB6WSV4egBXlC
ZzZoZBv/xaL0WRPxrjP7l+vLdrl7kJA1Rm1aFMBQH58cYlI0scVNzg/cIK95rX9Dg8yH2UYLg7w8
K8/MTHFcltMM6O/p+aEv3L+6AqsSMkXXRzJuwvMrGSYgd4R8NrrGkZA7XyZqMNFBOIYf4uFnZ3ob
5DzALNKuQKKy+gdLSHcgVkdO5UJuPW69VjO8mh+oqe5cJuJQ2CxMGoSCuWwXOpCnKK7xdBixig5q
/LqPu2BcwRNfj/yoZqYr20Nd9dUGlvpQL1hz7I3YvfN7Itfc0UOLPgADnAWNV8a7zLFrVFsb+qwg
xLtOSOoHde0M64o7VhAJ0d1en5GZ/Xj2G8e1OfmN1lAZeSlEe2hyfU0T8P3mfbkbwJVjGeWbKur1
dXtza41OOiR4wAM0Uoie20P6zxMo0raHmJEqILF2Q5hYoylx3+WLnEPjyTV1LLAbId8+yuaC+PXc
WMPtUmdV3R4M8jH0H6n23TVfhHo0QLBbIp+806l2azfInrM/0lx4387N7KnxcWOdzGxDNM1POGsP
bdmiaEb6d+b2L5LqfjiUzo0plvpIp8JIn/7mQuwQuV5kliAXfG5R0lFbzmzbQ66X7Vh+NG6YmUL4
mCBHUEie3dW5mT1wAnaItLHj0G8AnbIbg4e4e+yFlZ47n5BaQaytW2NqcbKrO5YXuUiG7tD06Ixo
a+2BivxDJku4tzmPOrUziRWhwIzUl47CY8n2Bs9WWq6FWZ6EXflFPvn/zC/ieYQqYxFpWkPy4rz2
oqgBMjfR4l8gi2kDSrPkz/UdMjtvqAwAY+ngqT8FkDmiHaSjjO7Q+exRlerGreU6bZMF7qgp0vtz
NB6qAeOlDwzdtEunbTozyYmJmssghrXfl8M6MoBFijrNDEpE/asYYIgwNuv8myjzYq0sd1gBz2Kg
l6C2A0YMMBeVCEoKrn8RNjn+OBAXAYCBnABk6aZXAsDDslMpbQ8laERQIwnMeKeRnbDfrk/2zO0G
JBNeNiCFNnXkoc63TGujBJ4K2BH6myw+jKZcuNvmYoQzC5MYQaExOuvzAqBEuanR++VCvlukBcC7
z42BPpH+FW/3wCFDeH1kM8fPmd3J2VcUqNAXDuy29Suz4tBrwYFx09KnLHr9uiXQXowkt4jrLo/0
qCz9djzobPoObY9EHkT50eINPzxdNzS3WCeGpo15nEQW2DE57ioCXez7JZmopc9PfMHX2ySzIoxD
AgZi+QJYiKV816w3nA5h4g0oehSFqY2XQn1QuNvdKkKvIN0U3etAyhU8JaRGtlHuwtTNHCpoKMB2
8nFyXfJ+EjvSoOidtODhLdSaV1a3Htkp7mMTyinXV2nOFMhe7BESAaGhaXkT7fK5XxnITPs+vXcT
6yaJ7ht74XJdMjKZx7LoCUS7+/YQdQNUZN5a9z1FW9T1kcxtodORTLaQ47ZozfcQGyXebTyiLJwb
i7zY5jfLX/1vlkbXPIkVGFhLuzrHcIZklbohXtqtHcbtPusWTv05Hz8d0jivJ4aEOQBTqw8oeUfq
To/tJ5eav66PZeY+Bn3ef9d//PuJCZlDn9jUMGsO3kJx+Ss1jZAAlLfEzjE7FNdF/gMpfhicxBek
Y27Ccmwlmil7Fzu2vpLaUK2vj2bOB5C+Q+MikMhjOeh8NAVF442TjvFqXvhPokE1p6F6BTSW6a26
tGS7TgzN23Wjc1N4anTi3UmfJTIqsYWM/B4IlcQE6OJeK1+uW5kZGvqMXGSpgUmBrOQkFG8S6sXQ
d+SHVFXDkQxM3uh55d164ItaCU91x8znS91Nc0Gqi7gGCAi0nGJOJ5tK6NhJyoB7DNrRad8b17lr
0n4NFagQHWdb5oiVneyjJNtHkVw1w8J7Z+bgAB07yg1gk8ZlNfWaivsABmddc2jNMuhjCzJrr2Sp
a3dmZmEE/3ArWmivmowRmgw6K1jRHBLD36UxIHJ1c88lBPryXS0WQ4zRByfPHBAJfILM0QeAeuO5
j1pp3xU0zppDU2RHO4/0gGQNBELpu92O0HZK0yAW1kshmqBxklAWLNtc96WZzTjmINCDgNqXddGY
J/IkalThMxSzs58++5H2fKndcozjL0b5XxPT9gM8UEAO1brsQI0b5FX3mXIg1PNMhiyone7Jsv7B
U6CYMS4huHkgans+q2aOjtLYstghLet3h8sXwdtnTSJ8uz51M5sdew/fRxg+AjEmq8elTZqhc9jB
yCy80vYF/8a7o5P+uG5mboWQXUGYC9QDMsaTY1n46A5y44YdomNn770lbeG5UeCNN4Z/gJBcuLwq
eY+VYJgtbd2zOyHeWxew8IXTeGb3AsgA8BxeleiQnGZU0K9e6wqwuEOR27tWa8OBQwuIygUzM642
cpqMEC0AYqAyfL70gFLTkuWxjmKa/KgT60fU+X867t0XhRYFCnmdwMCfwusrdGl1LFOjaAQgnHsJ
00rdzleyVvrBBi/yauCDt2JEC5zYgj4EjUMVoRXaUEvZt0vHGM0iAY+cjAEU9IiROLmvczn0TCtz
/VAbK+tFGNvro/qcrPN9e/79yQ2KhyXu7xrfBx1oHoBGGEr0kLFdcZkfoAW4poW15X33m6TVd7xo
3ptm2NQakjTGUIZa3karwbA3UnmHgWuBnxDQjVmPWWTeZJ481sLHXiHtPh+YWOkmfwGz8zcZxyGJ
623libVB2DMtawCnBNriYrmOkIfrgOM3ufPagJceb+0UtfTutWycG9rboaOZodEZd1SILW7OhQz4
FHSCty2aSkZub6QGcVJO6yp+6XiZQ3tMeJ3Qh4F6fNdXLdmX0hA3cUKMJ8h+piJAY0H14Fv6b03r
mmcVU98JHL6NnP3ws094na+01KN7P3LKlVN7v5u6Qc6042phN1w6yOfPHJnuXVRqpmklzeKVC0io
s1ceOm2+x6vrDgLO9ouT3UEJCNBE5GTRS++O1+mJB7qMqkRVrb0vPacIWeqt7Ux9b/kQmka/hoRL
GhgsXrEINdTS3KDLcGc3JpgjWXkLHst3tDoErewATW6io+Z6t9LKbsqyucXnVhXERnRahaBDQOim
OvAzgg+p9ChfKYkHeOPFD3rX0R3aCaELk1sfRHl3cUVQ4SbNI6/j+yL3j6xq4jtZNXueVMgap2zt
VOgbydJtZir+NzYZEO1R1q4aCFIHtQui4jLqt7L23sqsywAnkodEln1AjXatGfkdGYOP1GRm0CeQ
zuX+0N6yFFpjRW+RQHh5v5aQFF+llK6Iq/316iyUaM/x0hJtOxXkLzUWuALUM2AySgOq0m4TIV/M
gijJf0jPuRdl95ba/qovvVurZg+20e7tLFuZZvLUdcmtjPRbq/PvIhDop1m7A1HxG3qsbxPLuUH/
ECh6+WpohxXt843hkH0h25usYt/cqLkd7Ph+SPJNhdzU0P2oKmPVt/ZauNoeyjI4l3t/bfc1hD/V
TaXcb4YTPeWJQN3Yb/QVHZz7uNGRhWT9u1Xqb5XZr5AvPTgFWbPeR4NLfihpn9wWmgDy3JNrksAT
PLJOUvsXJK92etzxsPSzOCwHPw6kypNNZcQpWhLSw2BmyDj22VMq25XZWb+00nY3FrSHVsDqg6al
L3+asdvsWJptHQ5RN+SznBrdP6ZaUZ5bWzsubi23QHMHCDZDtGkBjOxF71maNLu88Y2Vy3QgSNx+
5QHvHaDtLAl5XP+UHQjDnMhewLPObEHQngGoDPYzJOumjYRFWRl9S4W9tzT/p1FVb4lY2OSf5aLz
Y9o5NfGZuTjZhHjJ5F0rub3X/VY/RBaJQXnYkzelVaUK0aOGs8k2V4a+iZDAVqsH0ZBbPc30dVP8
NXVvW4IdVwPbsfxgbNXBqfYVb1EVNZlzKPQG/TvOqjSVWEPze1iBKX54pZnR3lMoyizcOZfBCBKb
NgAqJs5aPDYmKeE0SnRAIwy5d5w6bOWhhbpUUz97cbIwa5cn17mhyRMKeGnb7cwBQdtwU2kfqIwl
X890nJoATOr8cOR2LzQ8oeU+hWxC9q1mG9Z9OZlybmJyQ9cleg7rcbposR6gNqn91JfCQ2+CtMSl
B/dCylzHg31sWpnMFNpV6giQYHvvNG4JnPTQbInHn0tgOo3EDH20JJk+p6tBH/qNb6RkQ+qhWzW6
9pu0al2bfBXRpFjHUB0fhACfjO+Ml+Ot0OiT5pTfuWxWaFLrbweZ5zhh4+Q+66BurWTH1nWL7kY6
sBcJ7etbR8vCJtJ+6Kw+9pqOJvD+qRjMo6ZKML9Z92nf070kooAem3py/HItuLUluAB4bX2PaP7T
L5K3PC7sAD1WRmg0DYIGX76XmfhpG9090eu9soxVKuq9m9e3cT+ENPHNwAO3jerSnyjeIJSx7fsU
xb2NiuMKHZzkvgPLNG2tb7qycZex0BJmqDfNxkoEEl3AjiXCuMPWvEmz4dnITTvoM/8eidnn61fy
5fsViwUgABTTgAK9yL4nuYc2plQ4e7sTMS4zVgc1V0+cpE+VrgWR4yy8gS5D3xF6jhqdjTIdmuYn
CQ+qaFUIOhh7fyjBuJIkXrRTpeyee+pDjxT9xdhZier2ZauqzfXBOuPHz08+nNEOuuiR4JnBVHoE
5QuXR/0+AVXbPTMb9uIWXXHLO2aGAtmlLXrqkhfUNLVRzsP5lQN4tQPAB9SjsW7uIHrQjAKk3iv6
d+37Ju0oBKvr3ApsN0GTj2RpHaAjL31WZS7XNLZ/VQ2Jn7mqahqSuo0fZaaLJ7zw7bWdxyBpQAlG
fyW1qf9uI/AeWqLDNYx9ALbiAYhMsP79iHS72/iV6794EcEBpLQSaTbW37tDG91bbS3umJeke01L
2Qop5u5GGaAgFjzqwElgpHe8lWD7ItR9bEWkvkWR07+IssaJjTj4wyAt+qXhmWGKftkoYImjFaDw
d+Iwi0QDJlFpbsEOvZRzHc+ByWLggEBeCGc3CH6mVUOaWT1eyZ7Ym233vSHJmtki9Ji5KnFKFDbb
DH30lC7yGs84IChex4erDlqTi4el17qal5K031cA8fD0b5W+JN1tnqCMiCaIyn5f8LnLUeKJDH9D
RhEP2mklEe8VT3hcKdwba84fRHELCnRr6Vy/jBpQCh47YNDgipN3ChJjrmB17JVqn7GjKh++Dj8E
5MWGSJUFIXTsnkniooeEeMd0XBuF3xfQLra0wODxm+5A7ubr04UrCm0MKGoDXj25oMDFWrgyNuXe
kM8e2cDppHvXL8HRZqIGwOn+a2VyCMErjLof95JrpgG0Ebe5+aMb0/72y/XhzEQNZ4YmE6cx0OVW
Ogzp1V88IECWqetv/5uJ0TVOojlJPGlTAhPUD2O5b61Q6xdaXy8vCSz/+IQdQe+XHagdtSKjK8bp
anG8QUEyeWdd2AJpkH49nENzkg07SFWTC3qn2pB86CpD7Kntij9poQ9bCqGohzQzyRo0LMDbX5+9
GU8Yu6FQgcbbCTfhOPST2curqrF47Yg9eDrR3k1vLAyrBHIhkkvS4zOzCPAYcNsEKWnb8MafcmJK
twdLFbjp9qJ1yO3A02Fb1jX7UyS+fDY7PQtd2aNf9PoAZ04G9I6M2TpAlHDITgZoRpJypuVib1sN
WzdK1zfCVdrCus34uQ3sJfRPx5bOC45j22w4GDprsTf6Rj0yqSjyObGxVtxcgmZ84oYm9wYqjqN8
OBJ2QJNN4kuqGzGadKjYJ4PIDqKwqsAANc4Dd1j7mNSD+Zuqbti7rh0fmmHQ3rOEphAUdnrAzYry
Rzd46S7Crb2uo2QIyw4YNC3n2ZMvfDzHKyNCIgliLmY5DIFT2ISHcVfk6xz6F4HME3BkyA4M5Kxi
Gylyb9U3Q3yPC5+Htd/pAS7O/iaR7e+utgTQjhr2DK/YWslqK3WJ16aoQXBsliB9xD0dKEeumwRc
f71HU0QhMg6A9wvrzI43lrRRu8hd/zY1O5y8Q0JWhGn2LS8hceNkVv6GnuIPQ3b2hy8HJ2zrrlt3
lsF3xOijdZp0bJuVjD7oJQevHEet5AMoeG2fex3JA9PIwDPiNG1/7LKoLxfynHNuAZcAobMDDOhF
PqkuYjLo6C7ZW50e7fuqan9S0LvcG12lFnJtM9EE0upIsQG47iKPO/HzoYlqMxG037caLzeDY3sP
NBLRA9MgDQmmJnMddVV+75I8+sAzNPmHkY4UtGDcBTYC1abzzU1bqgF52/R7z1C/G44+byeDtlSc
LwHOZ06RswfvZJzcyBMTXENyn0QBena9eOWJo8oexJKW9cXJaMIXELAAd4oeEMRo5yPKZQbmTi2j
x1jXDMgT8iejUKCLyN8tAM2uH1IXfvJpyyZolcbb4AIW6pWJy6HtSo/AV+6BRf+WWsXKNcs/181c
zN3EzCRZQKWnQH5b0aPtREESE7BWIwkZa2tKQaTlb65bWxrU5JwCaYsmQRBLj7VjrBLkouoEjTrO
z//FymXSAH3tRV4V9KiJOw88oc1DtcR8cX0gQMSdewI6e/+fCbe5If22/UOWbuGLmPxsYRC/nluo
m6IBZQ4WBlKf9zIxfhQeQ97IPppG9ODG/XNLyMK8zbs3CsPgcEOs+ZmpPrmNnQQIv8yX9NgAdgvR
omqTOOgd315fnYvbdxwYqA5GCnNENNPA2TSdXvOYTo++9p0+etXb9c/PDgKdGYhcQIOMG/583qLW
5n6V1PQoagIKEnRWxLp9I7naek15+7/ZmqyRLDuvcFRLj66JNvEbdLmBbp4NC0jq2S16MqLJOcoS
r1Z5gRG5kZ/hKSpXXWPdi8G7BRXdnQAn3UJ8NDuFaBE38QiFEuQUJVDg+a500MIdE/Q202NRq7Bx
NWDEF+6nWU+AhgIcDnkWxC/nS4UOx84hrMiPnrw10pv8q/fP6GjofMAjE7AAPNLOP+9SZ2B54o3u
/K5rT2b9W2Sv/+AAAHTgLQCyogsS7KiuW56nGEEH/mP7NssDUdygcHfdyuw8QUkepA6IV1GIOh9I
FZu5iMf16Ir4o0DRsNLs39dNzC45MOJIVHojOcfEk7Uo9VNIm+ZHCoppgK8Q5RlBsvSSnTnTxlQo
qONHZAjkfs4Hkpck0jUeZUeDs1uMlgSq65qAQZawld7eLbVXlQ1LPD4XYRA6Qk+tjmM/OdaqKs8d
N47p0bLFoYrSHQ6P0LL5c1sOf4nU3rWab6qkX6hazFwRQNSid8lBuyuya5PBljVy12AZpkfPu2tq
GrTxnQOBhOvrNmvEsdFNgDTHGFKejy2WCDwKj9AjM7fDcND8Q7r0/pzxPgupaRSf4X3I2kyOn7rj
eVmjLfmY52Ebgmjr+giWPj/ZpdDsqimJ8PkhDVS8Y0tK6XPf/0920wCcBWwB5zPUiUTlpQVoUGei
ABqWC3mApc9P4ideA4chHXw+LtZ59iLdJTWHmZ1pgS9nlFpAPvqi1zH2SET8zEqPwB0FHuRfWpLc
KECoJRsWnGnWlDtezUhsWEh/n09VWsiaEfCjHV0rCViJxz/5q+PpJRcFUucOAjRFYF8gtEVRZBIH
RjQD+37C0yO3q6OZOzegmAspuNwCq9b+U1fu29frjja3VbCzP2EHY+5msh+H3BR4P9fpkWQ5GNTJ
Xd82Lz36hq+bmXOIEczkGgg+LnURDFLVnpVm6XFgx3g4mF/fLmNXLZDMoy9cZBXEkJK65EQeSbPx
fqTd+vqvnxLEYNWR1Tr5/uRAKbyeuUwb5BEPamrbm9o6SFD1NV5gFDvhf4ub70ORhlAbuG54JshB
GwuY1pDigmbJ9LFYANvUZ9TsjwWqW3b/OzfvCu0Wvc91vBC0zfgesrYjQR5QVJcEVG4hzFKP4/44
VEeN36kMfRzDT4AdmHrToeR8fVwzXgdr4F7DCY1oapqZMaHBqYRmimPhJ3stcx7b0n5Ju6UC9ozX
wadRI8HbFEmt6f0tmT3YmugEDmmBRvhXny8EoUsGJmeD73dEMVSCjugX49XGGhbWf2aezgYw2j+5
pFvU321r/L5X/Iq1ldRBPvPn+lLMLPyZickBkEUgcXPBWYohfNP7dFXnHY6ag6Pna/CX1qW+MKQZ
lz6zN4k7wF2Z9LYjBR46yGiREmVfFeAXbGj32HgLxsb5OcsAAnE76mi5iDmAgZ2mJlKf93ll1OKY
Nc/21hDfvj53p5+fvKo4162ocPF5lQcALGTdykdnPBSvki0rvl+3NecKSAd/ygvhf9ODOvbtovVY
JY4mmFE6CJwMr8iZLezLmbvOcz71mUaYI9C75/6GDKEFKhLCj8BliApFRstGJhDwRq/fXh/O3Mrg
EQKSTFytl0oTmkczVMRjfkzAT5Fav4eFe23h+9OVr0vI58g458fusTVW9MusMXCsk59vTiaqR8sM
BYMiP5r2bZrdDXLXflH1drxzfAToiF4hM4kC5CREa1sJduA4746pscPdkps3FVjP24UVv2xI/jTj
O6DzGDuSp8hDRfPCMArSHT3koLNeQuPuexn9Avtgn7/QJnhNboQTuI/Jh+aFCfiNjdCOb647w6Xb
4R2H5C8EZohHkBs9d7u69QGKH5LuaOE35GCpTgAge6+qL0elYEvQR/4NE+htHAznZvAbQJAa+y22
qwt2TeTYvsiyjjU7tzBxC0nqCqowsACW2ayDmsDq+kRdevVI3mZCC4OgWf2i6qWVLqt06DUd01dA
i2T1fv3zl2cMPo+5+fSFyyCAsLwRtZ51CAZvrDSsIBYsvrrv8egEu/KIdh0bgqZZFJF1KrJRZ3p0
tr4AxFYspb0vpmg04OOBCRIxVNCm52QdxbqeWzR6zO8BysT98sUpmnx+4qqMlYUSNj6PJgqDt0Gm
/YnthVhsaQjTnc9TQDOiLHqMuIlWbBqAFvr6KOYsoP6ATT/2+Fysgm+2sWbG3H+s1Du4rItkiVHp
wpMwTacGxqjjJHBxKt8tiN/5j1FT6ZumBZgJ/VTWfQ2gx8JszZnCKemCcRmAYSz+uanS1CSYeyof
5AR7A8BMZuRhrxbSFnMTBmUDVCxBioKTarLsCuUZK2a19pi64D0DeUx1l5faEjPN3FCQnoWGiY2R
XLDriAJS1r1k8dHj8mj58Z3bm1vQ8a6ur/6cmbGQDY4QGMORdT5jqY80ep+CzB/JwEdf9IdMB439
omjVxakOH4AB20Yt2URn1fgzTnygJrWrobE1ejQhd+6VPdjQ0wMQFYAsLpE3jTviLM6DKTSOocoL
bUewbk/cLW9yKxLUj48lSG2fcz//WwnggZiEio+XjO1jke/9wx46tTl5rZuDoYpeJMlxZbW/zfb3
9TWaczgkaHEWA//uXvAQWz1TQGQ18TFT0lv7wnVWQ1xG6+tW5pYIYrO4E330TF7InQBTqWiH8vfR
J39b9a7qn7X+U5a/vmwFKVS0aWGDAlkw7WbKlc2zzsuTo+eiAh+FXUcCy65WXbaUqxnXeeIHZ5bG
WT1xOSAlqNT1LDm2aDB2m+IoQIsdoJH2V2mnm4y4z0VN/vzD6AgKucjakEtgSJ9mDlERfE8RAOOQ
7Ab/ma72qZsuONxlm+SYOT2xNPHy2huMljRufOwkJSvTBw1vZjr1urU0+znVSB+0Ch0BYIYawgyq
kXdVPUAGJGcmhM9SaK3+w8BtCPyihdzDTpgcI+C5L4tEB11a5dshK5+0oQxM64fp/71uZ+a4gigt
SCctUIKhaD65DiFYQQxpd/ERDQNxaKaFsSU+B8i/RnvDdVPjnr3wnxNTkxnuoL7ti1rFx0GJR02p
EoqTOTqtuijIG2jCFH4wDD2Y1ZaIT2cdFxqlwJPhsLxo1yyyWpHe0jTw6RdxMKT1X+TQx+TmA2jo
XyHN9dOLmi8Th47+BDw0SvdAGl00aIJAHj3zVh0f0XKyLfp6DSaiVeQWXz9kYAbpM7wvQEQzhW/W
lVlYzEniYy4VCkKqNQ4UuNM1Z0qFtEi9hRBzbhHHMicqDARxIJn4ZWWARsdBMwqOG7/dFXiEbhw0
GB8E32vQ0mDr0qhRMWRS3Fz3njlHxQU0wpVHPsyp5GAphpIkuREfzTLaJqAqCRhYmqBqvDCh83aQ
A/g0A4mJ81Mu8miPIBonDrE3KN40/Fe3NJSZiwED+a+J8e8nB+kIx3UsGidH1gBMFP9u3b1v31P/
2/UZm7nlzsxMtnaHHIQmaw1LlWgtIFP0HcCchWNzdrYAFflcEducck/knt6jW8jDqel168HdN4O9
LvgSrGd2JCdWJhlihsYorgysiVkB10aHJr8tPWvpyF0ay8S10UQ+1EJFGEvs00CZ4Jau8GQGTdaC
K88PB/rMON1R6p4maC0hYiRPx/WX/rHXkTsDT8j1tZ8bC8RK0N1HHAgeTKNQhsLqABqc6NFDpBgY
bVmsk149uBKittctzQ0GcFRU1MexXGCeHbcG6N0t8SSMk+fCctDQQRbOnNnBAFIGznBUBS9C6oTj
vNG6KnosGuWvWkv96U0V3/mAQizAA+Z2Jh4HI1saXm8XMAQaMaskdRI9tm0OUR7S2Fv0uIWIRevQ
yRf5DOcGhkgCqFcPNYgLQHcjc8g4Nzi8G7npChY4DtRIvlyvHdOzJ0bGBTw5bQZL60zFxhvCD6hz
oM2eioWbfW4cEM4amQjGCtH0EjJlBQUwI8WZGa2d94hu7I/rTrZkYBI6KLy0gGyM4yOnJQmLCE1M
lnRkYPPSW/9vpiYvD4ByqR1VGIuOw9LNt5b9oVe3/2AD+xJaBCBSuVB1LfrSJhVDQJLgtkZnants
/yHNMcY7/9/E5I6phWkXQ+1oj5GvQ90K+aZ4oTwzt1dOLUyuFyduDBJLDGKgG9kb0O+r12VUhqZc
OC7nQo5TQ5PFH7xhIIRh8QuoaNFdLQ5+vmvNwPKCNMe/fzjQ0I+CEBBEbSbgzef7pTQ9FJ81jKsI
KgaGKLmUIZg7MUfENEIMnGkgxjw3QCKtGZhqYaD6P9KurDduHen+IgHaRb1KvdnxIttx4uRFSJxc
URu1U8uv/w79MOlmC020v8HMnQGMUTXJIlmsOnXOH6N+V1WD1/YKTn2wyIv801lEOA4Ot3ENIzNQ
a5t4MR+K/rWCRPxlFxaTLgfzaPhE6RaJZTxTpEEMWPE+TRlialaXPIgL3d0nntWF86x18Ac674uU
j21Qj6S8llMJJxrwJzgzEYcKHZXTCXRyvegNt9AiG+2Gi1EFTqZwudU5xMsd3NsmkMxysJlnuOnG
Ntei2nPLJ6hdx7dFVlmHsosLxdm5to1AyA/4I9SKhaLZ6WDcPq0ZrxctciZnM+pvNhIqaf4D+1ex
YqtuR5DBAc7CB/eetGJdXy2kyeB2Ft16EHdVoYdV35f2TccX2pZJr0V+cgdRD695vexxqu9L541V
O4gBPLFtRihwgUme/LhswFj16aMZkg6aNu78vhMWUhIaZWCkQfZNe0eb6rvx8R+uQaoraP+z6gAN
IuDDUOnXrrodOm4shAJgUf5AShxd1WCXmC10XuLQHra0CNH7Yqjw5CsmkPwkQCMgfYjedimhC1md
CbQDlETzYG40CHZCmeexGv9cnkqxFtLpcGJFCthHhvrabGteVFHrW+mXu2pKotRHzSMpx7/gT1L4
9qo9xB3AXAqqYbldv9G9uG+h2hTFkBr1h+rg8DxgyFWFU2vdmD0qrZcHuOKMeAA7KB7qYCvCv053
rYNOBkZpSyIvG3/NfrnR5+b7ZRNrKwXACHB8CKyB6JNOuaSz0wFswV7ULw8mfbHmR6dXoK/Xpk30
fSKoBjDlDH0FaXkQ37DMj1ytygJWGA8a7aZgsMvvjocOYMvOFJHPR7VR9oxjk2Jij1y8M60mhhSb
D9H0cQ+yGYj6VltakocRIEyDJjstI3ua9d8G3j3qy7Qd6+LZndFbbhY3Dm1v5lr1ujzniARBJMo0
YEeGkPg52UM30cXyE7wvoA/1Umvp01jm24yXt328bCZe/zUS/LiGQZORWoqdsnLmgHwIcTO40RA8
yzfNBFMxEBZ+ZA1FD/KbuAdVTlHvaZvU4GhrqruaZr+zwlexEJ3DrsSo8WUTUQIBV7Z08UBqCHSw
seZHBhvsuwVJzMPUlfp9isamO9442b6acno3tFP9XE6tvu2BdLsxyv7vZT8/L5KLH0KQSkJaCTy/
MqB0cr20T1tU/dzUckD214EjDiTyd2gENw6pl0NpoSnywB3j4bHtaHvHWvDlsaa1v0IQpdokVcbC
uJ6aPd5ByRTQVmvuQVaZv13+oatLdfQ7pQ05GLVljWnsR0B30JBCPCeoEGK/9vMYh3Xv0v3Y6c7G
p5VqrdaOguMZkjaN0YzIGAxpHEFKe0PobeHOGyg1Xh7eSiBysgziRxztzImOsVtMMFKC6wG8L2RX
8XDxFK8G8VPP9j8cSwAFEMbJuY/ccwZtpIkftZa983m7m1JVSnR9tv5nQkanjAC+MMS+JBqX/FsJ
gDf6Ep/GURkCr9mB4AxyH5DmQUFWmjA2Es11e+pHPHlOOiQ9J3uXDH8vr8rafOH8tyzMFgoBcnkn
Mwe7WAyclyxDAQDNxZP/fNnC2rofW5Ccy1063YxzWKgW0PwdGvd3+W5Zivtybe+4FnjowZcINhKZ
0srzGXPawieRXnlhWwHAAVqd4c9iQoSdVqGXbi8PanVtkCpCExOE5gyZ0zvz7TjORt2PCoitbN2C
1wh2Wv+GouFA8V78WALZpYGH/58t83TjlMhO1a0x+tFkk78OBaNF597b/nxflRCBp87T2KW/3NgM
xko/dOCHmrkZTRAqvjzk1XUE5zDwmK5oDRF/P9q/HGK7czfP8BR0+7aBDbaS97xFOz06k8r3BS2m
irtcZVCKgbKstRffWeA4r4tVQFr9V6oHzeHyqD7CnLPZBSM3yg0ufEem42EJ2D2yNPejbvDGG3Rx
fFtq0wA331Tc87yotnqXz5u2cZ1XNy6sm6Jc0LS4FHXI0akQpZSzzZISSA8v5bC366bdddbAQ4f5
Y+gDAbobcxpvKt6YUCIG1BT1B6oYxFqchfAC6XE8lo0zvrWs1+a+Xbw4yq1sb7kHxzk4OtrA0ZtR
8E8c48e2xE48cgNjTBt0CPjA0FRe/UyMIj4Mc0L/EFr1Yc2bWLGz1w4oCG8h+Yf3K3qSpDBCq7iR
pWYZR9O4M37W+fXYkA8EI176ACA4cnzkaHXBoJaKRHb+xY2MPLrsXmtlXzDxA0EhcPqo1EvvIdJN
Bq9LO460NJlf3KrP72aPZOiq8+zQaukvvoD/T5sdLyIeI79nTQeNWqkb/MkrM+8zkwmKYCjcIHWP
t8zp4vVJzJZGpO0tutGdEFr3l4e7dgwj2EeHGohWAUWVQpiFVFnvNBSJR6362cTjN1azbV9NQeeh
c7Et6//AhPgZm6gtoycbFaczOLrHTdbXPRxy1O5ouxns73VThhrHu/BXo1NFBn/t4IdyuqAtQd7G
k9+3NaociRdjq1lLtJjvGRIF6FVSDGnV54+MSCe+Xrla2jkkjvQ+DypaBqqc/ZoBUFJhSyErJKBX
p37AsrG3BpAwRfPWsG5IpZgk1efF34/OiMEYasRE2FR0sv4jqfeIitrmsqetrcPxCMTfj0w045jF
ZQITs/Hogy183NuDYu+qRiFdeJ6f06U2MEndg85fWqr4vGoE0vWWDFaaeV6Cg03Xb5Mu/rkw/QFq
MIpkpsqMdF7TmHUOWJ/iKGX72NrEQwgdxk+sBU4UVGgM4ADl8ozfMYsl3POjmWyIduAENTRFLLC6
FkcmpFEw9FT2XQcTFK8gCygZxRDWYg2UlnDB+GBXQ4np1J3K3M2miXMcIvo+TpD937XLz0ZFmrdq
BSLx6J4E7gaR1KkVKyt95ukNLoMhpI+lHXQvpUrBbvXdDSzl/4xIF+aAs5ADJRhHLWMP1K5B5GTd
g9z4BbFzHzQEMf6wlH+HZdokQxcWtfF82R3WopGjHyBfMpNIpPYtfkDJkPRJmi8Tc+5GZr0UybRB
r+4n6uqgsABdBkrEYIeUERVZ3k25CyruCKy/6InXwDKrKdxj1f0sEI/AELJ/vvj70WmT+2jfqBI8
zVvq7QoH/UiuSgBy7epE7yASRLheACOSPHAxU4Ap8EKL2tQtkJHIrFdB/b3Tvd64TQbQvSFbmG14
g/bby+slHEKOgDFzuNPwfgLnjWTZKryspATnHOPZG6puT3ZmbeoJ3WN5tYXashlq3hKwLlOcTKu7
AcRw4D+FFCIg36eT2oFn0/KGBZX9fOaHQrMQJiCu3k+upoPOsWt3l8e5ag+NeEJlEwwusny6ATZU
hJJIw6WQX0j/o/5DkXxt69fLVta8H+xIqIIgQhAa5Kej8hCuFsVokgiot62B0GesHsfqNWuQ8DcU
wavClpyJ4Ei/Z1pmIS09/C6S19EMamSKIOQ6Nj8uj2ptAxyNSvZOM9FHl4+wxM2NQUKV5Jfq8+bp
pOVj62o9nvVRRn6NzdvVHabIAEJOAI873FCIEKVzV8sLZCljFxmbPEjygKtY7Nd//r/vS2vOwe64
mBq+b7C3mJVBmqmKX2u3+L8RIB10OkGJQZJxrAmJ3OrBcvdOvNXjm8tLvHpxHNuQzoF28iy8I0UO
RU9uqtzYmGl/i2fTa1dpz8Qfvxh2+Wzk3N1UvfmmMxWVgpgl+Rw6ti85QdtZKLvi5owgnQOB2tdy
2futF3D+UDc0oOPTOP+5POSPa/3MJDLy6MlDehgZsNNpjXEapD0rSKTpTcr3dYvWuaRa0uehje0/
Pp6dj0bGkRyuQUF833vzsu/aOLs3aT4ESU3f+DzmBzQENI8u8thbXmfLY0mhc0IL+r0Coexeq9wW
mZpxUvRDrZxmqLFCHlxQQeLGkHy6JIPtzrGNZ+OIhFf5sK3wD0+Fv1vxbBSORYeGaGA+y6vpc2YZ
nBpeBKXL5I0UigLRilsjK49apI+hYHdKMfDSujOIWVAtrJP6xUnTX7Ojd0Gnl4fLC70yDLBa/ltn
8fej+7vtKnTkLRmJHFDz18Gg0lRdPYjRuo7cDXoikYE5/T5v/LZJvER8v9mhNrkfYytYqr1dVhuQ
XH0iGgGn7v+sSUuPJzQgHjwnUV7eZvkNWK0+MVtgxzBE0z/WRaza0WzRymoMXjASNb51E7fdK7fI
+2UTK96LEvE/E+LvRyY6CFi2jZeSyIb0hl68I7EV2vGXfvp62c6Kg0GGAA4MIAm4C+TCbTJkFXUa
DAXF4iwsXEfbtxmbtrWvFYrzc9UH0EgApU44ANpZToeUWbgGUDgikVl39/VQ7pAMuYWOzvMyFzd8
uppzStxpBGxzAqNiQ27h1FyiaVZBQdaITO9NmymFsFezzmCzhUiEi2r+GaOto7W6k/Yt4tFhzv/O
KNeGlVf6RTDpo7Y3et+8XVAGWQAwhgM26HY9sBw4k6DJjDmgXa0FIPnRFRHP6noCDSwo+IR+hbSR
C63qXO6ioryY9i7up51bb1rt+bLTrJ4WPugFQVss2hCli1DzkqzLusKPPDIED32tEgha+T5ucAGS
QdoKTbNSuFDaPW/0FsGU/jMD5kfFO7B2kYPmClTBOFcdpIUl16grZnbG4uNqMKZHB3qmFnj23CLb
kFT7SiEBHnglpC48/tww665aVMQKawVvQLfAuIqykumBZOfUN02wWzZ15QKe4ZLAs+6tIgu7/iUv
BeyZ7xqnDynzQt17urxwK6fKiV0pgljMKak1SNtHlTf/9qv5rTbIYbJB/dQLAYnLxs5lX2w0C+By
hC6YEByVj8k6T8rEKDz2FANXsCFlSvf1nGKbpO6sBVM8o9c/r8i2GfQfGc9LHHDuk06zYiMw7YHB
mHbTdAbdlIy8wFHyjTUkkLstl/4LT4ZXD+wHit+8ko4+/c3SuWuYZecYpcOearves0H77vf0S9wY
36GysWstHrJ2Dnx7OpDSucviCqkCU3FOnnv/6U+Q7kqILeWQb8C06csPTbu10BZ0eWFUBqTr0eF0
0qkY4/DNQat4rvj8+RGE34+agY42bvwvuWKKttyyr6Gl/STQm85yX5fPA+x8YgxHRsQYj+7HNiNF
n+owkpXh7IZ03lz+vmoQ0mWVVnXVFWIQNoH4zAatPWammKfz+/B0niRXq4aZEJRI2VM5/syGG/uj
aejOptXO1FTvx5Xb6tSY5FRgjMZt2VoYz/yz077ETo3ixjc2QX0H6FT/UXeqXWf/x3VvB1WqLNld
ns7zg+fUvORy0HWyCz2G+dHBeXcoMpAMbpZRkVZftYJ4GTc/KlUoQZw6BdhQ4qYYCXta0Dtohka9
xyvE8baXx7LqGhaCClBXoIwjx+SA7CQmZGPYU1duTWPnN7uqU9ziqzv0yIQ0XctSEXsgLnui3mvO
f/ie4vtrEwX0IYSmoX+GUEG6YGledw01uurJSR/taW+Fy4SwT9ECs+bf4KFAsQvACWgCSavhU+jJ
gZkLRyl55MuXGA2kWfUNKaWJl4qtJObj9JlqIBRD2IOSDZrL5SWxB9Nidu5XT97kB0mVgEvoazLe
dvN71R9KR/Eo+/jlZ+YQK0O9CzKiZz2bzZLmS2LDm4u458BF1SYPM+ArDvhteJlP+gJVnCGH6j2j
u8mCEDX66UY0IU5uEGtacfA1AqrFDFcKGUt66wJ7tssdUoR4AhahRmuQsQ0Qa/nagVHwxXCXZJtl
vgf2HXSi6l3z1cmafGt3/W9nLoavIJzyvjIX2U8GGvybyYCibup0UJ1pKlJthsQf39s060OG3Pp+
dmN0o/W8Ctp6YV9Lc+xU9Ivn/gvgO/pmgavDPjwTfEOeYk7mdtAjNn2Lyx9looJ/nu/BUwPS8V+l
BqmXFAbIvEfibZNqIUqBV98BwgguMtSn0cEl4+JMkpWL2/t6NNsMjER9uGjPdqcwcr4VkVA2RcYV
cSg6Oq3TMwuoPLc3taF5wqqEFiTn2Gvnv8Z2pdgi50sC4INIh4D4CMpE8utLN3vKNTjBU0XC0g1n
rvj++Yqcfl+M8+hCXmqvh9obvm9Crojs/Gnrs6uhawK7IaQwUZAVefFTE5OTsVzz4/SJ9t6m6/2A
VopzcW0QQsAbVTrsbUdGFZdurVO7YelTQ75AKI2xTV4q0lIqE9LRzhMtRxt8mT7xITSrMHe2yfXp
CdxMR6OQTvfZY3pvUYzChaBNuS1rhcuuudLR9z+Ur46WukqBwq3cAvSUxX9JWQa+iq5PMUfyPT55
s9v6CQYwp9/d+j/etqGuIolR2ZCeQqSp0fxfwMbQhDp6ZaxbWxVDrmCtxUJgy6HcYSO/Jn7D0UTN
2UxrrdHokwdEqm7U4ZQD3nefsZshfi0tCDMCG+//HOjfwf2j+X9ZeqDDLm+73bURy+nvkPamb/Eu
ZkZMnxZzM5g7Qjfu9R2IuHVFwsWH/Ihgozsdqhbzca57UGASgLTdPY9f2mx//SiOTUjb32s59/Kc
pnhXINcKsaoDJCUum1g5jE9GIS1YTCF7orUwkXpvRrnV2MFrQtdRDGRt/xwPRFoO3AZGopUJ5ire
duOh0T+x3AhKEJvi0jqXW02Fmm6SW/Sp0m+abFuzfWdsL0/U6hCOTEhrYWWk511hwrNRMWchUVHe
rH7fQ3SKuJF4ui25U6cZedOnLn1K3ADFzk71Rl1d6KPvS7/ft+qh4hTfH/yHpAwy9kBARZx+ZiGO
rEjuxAbwsrSxQyFRvjOzLzlOfHJ1Rgf77siE5Evj3LttW3pYiDfihISEfnbLRoURcWGcxrunRqTH
40gKtvQMszVStmug7ZIjeUmcX4O9HbwnV4+K6vkT/nU0LOmWdCB+QJG7o0/TvIu9baY6mlX+JV2R
3ALqx53E962QWJGbK255xfdlMj4tZT5gXfg+8Kzd30LFBKT6vPS0svrMa9sMC7KYQfPm/v5/Tb4j
XY1m3lsEZy196vtb6M9xVf5pdfMJkjz0vAhIseRO/dgRb7Zm+oTuUQfcLOlDOgTM+v6JURxZkVwI
HbDeaLY4BXMSOuUh9jeXvy8279mmOPq+5EId6ASqxNPBxrTc8CgrbyZV1VwxT3KcNVRmbHcjRjDq
t2RB6zUK83/r+O3qcaCNF/LcSNWK8FrypabP0RUF+fCnvkIHRVgDX9IrgCwr7gpcEFLdEADAWU6k
pZh5n9o1HYB6ha6i7/1p9Elx0q5MFRDEYAzC51FZknG1YKrVczweBAja2sz5Fz978cZDOTSKAEH8
UmnRT+yIkR5FdIalEc4EWrnQfoKbOdT8J9OvNq6fgpv9J9TLL6+N2AmXzEkXiEmSyfQTmNOttzKL
Yrqfyx+5fQcF7qufb2hZ+OD/Q17jXHAwbppymfNYjxz3AMVLjz30g2LDnHuBMIG0GXICK0knN8Gr
AXJfRgQGCS+xtz1VRYgKCzJgaiFF1pUfFtIfvhuOqrTc+ZZHpxGiHjSDAqgOLLW0+n2bagyi9aBY
cXdD7jzX5XwAAH9/7arDDOpegi1WsD5KOxKKZ/qy5L2B6hA7xGW/19r6jxE323F2H5tuUOyd1VER
9NhDr0vAGKRRLTWIq2ZAvyJIj986aRwQpge6/n55UOc7B8kUFJjBM4n1P3sLAQGCxkOKWKGl05es
GZ87ry2QIVveR4iHQ2PuhdDr05ywaYqmAhDi4h9SFEkp99tsLPRIL2saLHmJTmHvj9WMh9bKr1YY
RO/FcbZIMpZbVuugmG5EfnfTL4+IkC5P4JpzH31frhlmzNWABcQORYE3YBsP3Y+fMOAK6h00ZJzD
DR2XO0aKzFqU2y9p+l6g8nHZwJqjAbxpYvODhR/cK6fbBwSkjdWBuDiiaeoGJKbuHhDgBq0/lqvw
6dXJEslnaNGhviqHGEC/1wbXsBi220GafQ4dVUOdyoJ0p0ErzkyWhsCf9fqFZtWLYxSqNOoH4vL0
/IdP+Q7K+aBEByJTmjFLhy43cH+YMTdLAjvDFUP1u6bpXjVqBZ6x2GHSdn+rpamhFp2Cy7o6xLUR
dJkWuE29vbx+55csevUMwIRMAii4LrfqmOnA9WFC75xjhc03zQD3eNQsn1g5IBARjYAN/pwlVp9n
D4rNjhFlFi0PEHUFGXwNOovLQ1lbPbClAWOORwZoYCS4YO6PCdc73YhS0D0lX3Gn/z8NSGc4qWPO
Rf8t+Anu0unLZ/bq8e83T7dSazsJWgsXI1riYKQblaCaanokv2sW7vBKx+c178Drm0pXxOarngRW
W1D0gn/JkhHVQz2xvBxsI6rtEMqcnf/oG3fm9XkW+OuRFWmS4qb0dZNZOJGbDHTW6ea/y060AhYA
hgTMzIgsBXfBWRlNczIENakepeBrMF6Ym++pE1HzwUyru3bpA6ePN7yYwLP5yFVqxGtrBMQh1LRN
MEcAH3jqAlW/1C1tyBIRwjZpwjaHy6M7jz2FljaaxoSetok65+n3k7yq6sJYliifAAINQGfSho6W
D98mREA7bursxrFmroh41zwDx7UholD0KsjQH5YZQ4f2KD0amZ9AdaRY7p0O5bWqBzIR1cRBUaRc
s4dKsVAlAgsDymunowRDMLXapMOtarj7sieHjt0U7i6LFbO5tlrHdiRfnGe9dKq5EeOK35a8PbTV
/O36BSMo8WCxAM06i7AaKEQvvjEvUTxXe4dm944OqVubT/eF6UBwu7g+iYYpOzIo5vboMVRQI6NE
h0HWvTn8tnKbTT1/5ZBEvDywtbmDhIMj9GwFdYl8Gpla3IzArkcmUAuDH+qLSvBi1QKQ2raADgAz
KP5+NBJrmWtUFGckstI6cED+YVxfHkNgA0FvPH6hd3RGu5DWaZpAPBbrDybD2Ioghhpk+e/LE7US
YB0bkW+1uehbL6MwUo3GFCAI39alBwSEqWp1XzeEkBpHAxpZZfLzzJ3ivBT1Xb8/dNqfuP/Sjl8v
j2VlSXAzCy1z8W+Qxp8uSQ7q3NTTcisq7bfE/1tcn4QieMWBAxSvOXTYyBu/Mvql1TRzibLqvu3e
eLPPqROW8/PlYazMFMIlE1Eo0NW47iTf5U1jVLOmLVHaBXn/6L7VztVtkhgI2BfBoANCNgROpxPV
tYkzIxm1RBbw9Wk53vdTvG1aFfnK2kCAdMclJ0jfcCmcmqmN1iYzwV23aPf60oXekoVtrai/riw6
IM9AjqEGAkok+YFdTWyxoEuOI6x60OeH4u/1iwHMJR4f8Cl0yktT5Wo+SH9Jhm1e0x0Q4lFZ+69L
rCvO+tWp+iDqB6zagbHTqZpHTyPTMMK1uLmfNb7L6/4tpbmiHL4WfoBKDmhq8GBhL8p5Aq8leeuy
BOev70MF29SgS12kN4CF7PIOrYx9Rg8sMW7cegFlT/XemhDbG7Lk5fKsrgQKgtEOIQLa/0SD6Olw
J5fOwABlS1TwaTcW9EFzym9D5n63YohJePPbZXMr6F30hkKvEE8jsCYRWeIcrBJ6XPB+iZwxM3fo
QM7+DK3PDynCvQ0F8fV29gEAQ5dc8dYOkBaoYhs8iABnf+YMERqweDJDZxKprdORJy1pdSiwLVEC
2dQWsoJgygfBWh56mWKTryCGBRE96Cp1MFYCqC987uiGmp2SNl3hLJHpVsM9TfLvuTZBd2TJB7ov
3Kp6QH+ge6u3dhf26OTaDJr3iScvNj6e1MCNoY1UPsvA7lF75WAs0dTRrUVqyGuqlDtXwrETE9JF
zMaMsc4CdQBSAoE7gcVF27RJHmaJChG5dtSI5we6YiELCJzy6YTSxZ9iqMgvkW+F4KwqrqdlBqMY
IN4fGwMgc8k38nFBJmyZZzQG8QRt64o4WVx/UmYAGwBRPzQnoJgkJ7z9DG9kbqZzZBQ1YGc/00Lf
NsZLmSThlDyDHOPypltbF1wzYp6g3w3Y3ulsmYtHfRa3c/TF9L7vQi35fv33oQeGXgJR9AOl6On3
h8ZGgTHv56g/JP3GpQ+gTU3p7rKRlSUXXeW4YQTf2hnVCB5xk9fw2YkgdR5/zdrXz3wee1Nc9YjD
5Dmyk8HV8t6JWPmTQTgNNYHLBlbWHL//nwHx96MzgFmd1hYMBnAU7FsT1K4x3/jkq+nw7ZQ0ITeT
zWWLqzOGLiRQlhBRrzNPLdKcjLOeFg6Stts02ZeK637lokSODrwvBsaFPippxvqRt6yD5H0EidsU
++SJZZ8YwLEFacpyXnO3czovYsufHNWg1PIUi6Iag3T7DWlidhiEFw3x1jC2ervpFHtj3QLgrR5o
yoGpFIt0tOxWbDmV6D6MaHeL1GyV35lxeHmdV7Y3FuKfCfETjkxorNEFdRWmCfjZUhOnoZ3/ZK+X
rax507EV8SuOrDgFMZd2wUBS/QBib1MFtxDuIp2JYJxBXw94SBHX29L3fbdigLUWXuTQX251S6Z9
nf6yf7TL9QA4lEtQrkCiQtQz5LQs+Br9kjAwgy7Fj07769fXJyVOvi+teN0Mhovz1otiwsNR33ZA
a6Ldtp4VePn1Cfs3DmnZ0e9vppxjHKOx5/Yhphs738W//WF7eeFX3Uu0OVmu0GGUU0lodNRmJHzc
SHN+F1rYkcfcDrPPeNeREemsauLBZDaJXXACke+0NA9ePPy6PA4xH+cO9m8c0mMum009tUbNjfAM
+9HwfJcwPqORSUW4vrZRcBuC/9wBMBid+acbZaqSgmDN0XVdBXOzSeLN1ePwxToIjTxElPIDpVn8
1JhmDjovf++UN8Mf9CZetrAyAtTbUIgXlTeo1EjRj2l3vB8t14kGMMW/p9ezCxLE3KBRxn9AIiHj
/d1G91nHHdyENZD3WROClNTiX68dgw8LuPlwlkBHTh6DOyIQsqfMjLopnK3A5zeXv3/uTUg/g3kV
lCZoWzgDXiyuk1RgXEUZBZ23wC5sKzPfJ9S9epPDjOuJbkcDka5cBCVoBKhaQzOjeQLAQ9u53lNp
3PX53tQVO/B8m59aEk5xdL7T3tXzqoUlbXrxm9sSSHADaM3iehDGqR0xsUd2ajfTygqMFZHhjqFt
PQ5NEdR9NFls07Z3/fUwHDSwoCCPMBv8aWcEe8Rv7aTIPTMCGRW8gAZOcs89IzCX58sOcb5pTgzJ
KZZqriHnIwzFxNxOw88WSLvLFs4PfOBvQJYqCHQA+ZFdeqQuQ99t40Q1tLAWO4f4Vzb+rvt8l/L8
t7mMb5ftrYwIwCKkbsUrRWA/TldKa5KYD8Y0Rd7o/SlcHDVedjXSTpwxHwSIgIqePYwNq7K7rLCn
KHOe6c6mijVZ2aTo8hfSAEjd4gUu+Vpfd7VJE3ze+54Pdy29B9fFJ+boyIIUtTjeUE5lbE1RnOfB
0L/MquBubREEexHOefwXzrPTRdAp8VLLZHOUpbOgSQ54Yl1/lKFi88+EFASXCXEndHvOERraw37Z
jMgPFqMiSF1J/CD1ADIMNIUj3D0Tv02q2TL5AG/i3Y0Vh8wKWLN3k32ihdiOzrwd3I2rKnKszB7q
a+DqB65M8CSILXV02CS8LfO275HqNseQdAN6k6+fPFhAIh1lb6R45E0S29CMG6wKzVLJbwK98KnZ
8Hx/2clW8kdgWkLyFlQFIv9JzNNhFIUVFwNHraau72dn3uXoAdOZC2qJm2S4T6rbgpc3dXV1IAur
qHcgfS90QuR8LhK9hE4mkuwdSNXowt/Hxt7qzP4JuRlFhmxlo2L6UMEBXQqOa5nkzEyd0tCHCklX
/8D431FQ6X+7PIlrrnBsQtqpWV6jeWdokG/ttQ1U6u67Llf4wqoJ1LiQpQDlLhJtp8vUaKXR5FqK
3GbGk4BX/YOpjwobYr+fRrFYFHA3QPwMeWM43akNykZrmToMQxv9HQgrHsuGhG7JfxZNvImNggdp
1yiO0dVxoXiAtAj6Yc62bq5leOYzrI7VJ4GDDOWfy0uzsvpwJiSOLETneEpIZxxoFHjq1vEcVem9
3uTBBDkFnl5/1YDuAh9HWCuI7iQjYzyRvEuQ0isWbZNBMbNUPZRWpunEgrQ0c7doGTdgAStCfgyq
Nlnxf5dWHmhCwT2LlA40iyUHrtG/Y7YgH4xA+XJblakdZBDvYf380GTmA0kaN8gNO0h9VaJnbVxo
b0QuFK1QQqbu1OWaCbzOdGADQqgxhHptCDnOyw4gfvrZ0PCgADpXB0OgnEqyYne2h5kOkdaPgdPd
zdp+GgPLV5hZu4MsaNPhCEWwgc5Q6WlW6eBDNjTYserxZqh2OqjGde3Q9rcuWQ5GTzc5Y/uELOiA
VLQdrw4RcRsuWszjWUYZ9apFS6x8iFj6qi15WAy38wBkW3E9OAqYkiND0l0xW71ImBdDtLhWFuZV
kBWNqnSy5hHgT8K/EJGeQ2dQHkq9rC5GiB1813JA2RR7dW2yEHJCPgwhD1C00kFamAOoTnKU+JqS
7Hqcpcbg3lgJ2SyF4mhbiamBOEcRyBY0Y2dSVUmiO2NZMh6N3fOSjNu8/pVoKF7EyS6tf1z28rVj
Do8QAGjx+hU4gtN9ZNula7Me3mdS7+BOfRWWWfUHjNiKcGHlikDp4p8dyQOWjhvjYGdDlP7nJt19
+2797MfqvnlXhHRrXoBEHZQowKuJ4F06UfsqKwurnvoo55s+sBvFbl2bLvQLg4EGtx30yqQaz5in
JWddN0TDXEQTGu7ipn32iAo7vzYKoDrgZjrOHuRtTlfFBVDBHEsX+yWnm7+JoepDXzu2kdSENBmc
GQVWedWrtACrfDxEOouq7D+bf0cAbwx3NRq+sp+eSqFqbevAlVEnR3rTP2vlJJrVsqLAORNDU4PR
H239Xi4oHKvSBSucJOASPjIk5vUotPahvErMThgqH6wu29hsuluW+GC59WtjDYGe9I92Xu1A885C
u/iTJe4Gi6zwwZUyOn6GUP8RbKSIIaTLqdMhPd7ruJyY2dw7fX8/pgxVXFCsOi5YBfpNX5bfdT2/
6zjzA8BGDymxvl7e2KtzjrMKxRDBSSVv7Ho0/LYasOEgNxKUxYGA3d57q2KyuWzn40PyPQk5c+AS
AN1CPlbyJe4WzqTFOEGc0dtMCftSzdPXeuRosWzHQJ/dTZnZm5R9J33yexr6oHJKD6kOFrY6eYdy
68aspoeBoKRp5PvaKh690th2uoquYG3rAveDfgRb6BrIQerAEpTcU0wIxH+r5i5HmznJrweW+WAX
A7YaxScEDjJ0Bllc3wFoc45s/Z4Ze+PX5cleOReQNkLZBqAy0FDK8WJFzWSwa3OK0qoL6u/OfD3I
GA9GHG+4RAHRBN3b6QZaRmrGDsPvr/I0bJAPA2Ty8hBWjh7bEjVf/yPFInewl3qe1HozTpFWWKFH
SqSjn/r53XK+Uv13PH8hzctlg6tzdmRQbJSjMyGpKz8nMd74jXandWZAyrfPGEBSFwcP1v2sduMC
eeQl+hQ59rb1N9MnHBevUKCaEekCweRJA2js1pkn3+VR4vnBAzFf6fWkxuIRCs8FyRbe1WeUjWZP
Kq/ReWS12Zu2+Lt+AbG3D2BkXnU04I5KPWXlcDo2+JFbOFoT205z6IMZPPIKHew2O96kYZ2+6P31
T/gTO9LZBBFjr2sL2MmJf6/P5Lalw1fqX09zfTJ/H/fB0XCgFGSy/2Pvy5rj1rGk/8oNv9NDcOfE
dD+ArFJJpaUkr/ILQ5JlLiAIEiABkr/+S9q+3apSjepzzNNEzENH9LUkggCxHOTJzNOYGV8IbseD
cx3Ij42+H0/ZRB2byT5BegLB8sIQOlicTgCHpUEhAtUlnf3LTH18eyIf2SGhoYGL/eL6b0eHZDYx
mwq2v8O48yZNlQMKC6gf6kTAeawTcI3HpRce5AhvDgLBwJt+L8dmLqlid+LPK2GgxCsEQYCjHWAS
0cHhGxettGsjzW4oEF6q4kQge+z9Xz7+IMCUkQuD01mZXTemc5iwUxHm8noHx+ne6y/754u5ZJfg
2c0Gz49QxqinWXNGyEXbomhi+vbXPtFQfBjKShGQCmrgnatSWcP9+TaektoHAnrilnm8IWhv4sV3
+FUk0kS9b6FUkdkFcPGPvTLJg4my8M6e4Ww6nJhex+YwSsTg5gQnrfjV3ckIC/9ejvj6833LPkT2
Zeud2FSOnWAvmjgcOKgW1BhH2uxmVZ7BS23soTyEIfS2bi+DoIQT/OrtL3Vst3zZ4MEuJhuPKDaj
wUA/8HprykvR3denDoHjIwfCJcyCUGf6kGxkTaEHrqxtdlaMQxnyJa+wUB2gP3H+H10/OGz+buZg
/SDHndXgAmPaiXRW3llsnUIjj34f6DyAR0F8DpX4/griIN6PMscG0EnbbJnW3VXcmzrJHNlswzEk
QNlsvQnVFG8KNvmbt7/WsXFE8A9oEuzs1x6l/sSA749QVYrsA7Ev3DHVp4Sbp5o4iAiUgMQXBF17
R8T9xPKUxB9iSCXe7sexD/WTzQhCIwovHeJSwdg1AVcOkgjhvUoH+0Qoeyx/AGYvtLTLKL22Vowy
M2XtPEC8DYae31HVf26Gy6l+mvyKiuDBixoalqfIVcv0OtxekeuF1TAylq/54J3njUPkjmQ3kHsd
yVVLzLp1tnGTZpIki4Xd26N47FPBEdgOoZ5BHYxDnFK4xRTUzmzveljmJTj96usx8PTN3FqnKoE5
y9H5qm+AWHB8gzodHuq3YHGDrBAqm+8iPa2VuintW6QX1oCyE1+mPZmTGhu9axSVALMtex3aF4G1
mc2q4Rn1yCMqtPbNkz1ArcTOu06v3h4LcmxlQnSD8YB975JW2V+ZURtPjXQhjZq9s6wPE5GRG3cI
ElzT4YJ76ZVn0NYiEoal4YPvnbPuFptF4o0IQ9xbrc8RAKVtfQoiP1KPEGVmYLmNCxXYEwgc9l9L
hU3GohpqIKAGHr+My4j29sa2zC0Xj1ZT3QbDqvMF5eHl2F2V4nFGfbBg1LSdJQo8xRfD0FJL5quo
ujFDdRspkuTKnKA2Hv+8GL6FdgGp7OGNXrEm0w3B5+2qz3FU0Gm+tvu7uevWBJfpNgJ0l63i8Qf3
115zyd2LtkE1sAKX/yZ1iFzJOkj8cIRlZkaRFbgNqtu3v++Rub5ILJY8AOYg7tn745jJyIwZh9ZC
KzXdTcLJL/PG7VZBM51iUBxZxsBXIDNaQmFw9w8+WZVry5cKn6y1VHvJFJ/WY6WnC3/SKonmVn2M
2NDeSSu2zt/u5NGWf3qCAixdKpvsd9J3mE8q5HR2JoL1WWCnZLpW03Uj87WBe8cs/3QbBi4PtBHk
KugCsGstg/4iHmwIq7y24j0q2G+dafvj7d68Ci3wdFRoXuY9MlBYWvtPn2bLMzYjyN8IP06agRUU
fOAh8ees3MAANT+hMHk1RQ7aOzy5TGcpE5t+Z+CvOdaFg5LuYEAADTwxbK+CzqWhJTMF9AuL+zAI
WIihrDfjsCOdDhIV5NEWZBKXRlb5ydHFdIbxPsWLOjqYizEfJDTIGL3a6+N64G7g9TsyXiqPUKva
zgKlXE7Qr14dzEvXXjSzzNAXMwIRTK+dEc24jZ/aHqPFeP/2rDjylZA0xOpaYCBMjoM5rgIXJcrI
LHfhXHwe5q6+a9qZJG6cka9vt3RkyCABc8BExpUTcP3BOo54AG5l2aClLHiAgdaNxePzzNQrXQ+n
TCyP9MqD0ADsPoRHIL0f9KopZxLmnd9B/3crhtu6PrfDj29350QTh7gG9Kso7CXQBLEuVI4C8+Ta
nNIXH23DQYIowMJd8Kb9z8+RTy3KLmt3qgwNsBmuEcTU9TXP5vDEIjrydbAloDgacpMQMh/OAyfv
prgXrUTyeDVH5/68UXoz1o9vD9qRpQpyAtTSCxUdgfPBHOBZC0AwqOQu1tznVPRk3AxW51AC6GYr
+qLeBMNcniCSvAbpf55Ri0cuMtfAZQ+CkWziQ+nm6FytLyATabNtG96EBOv1BnUth/4rK2+y7pxH
JxbXkeULQTViNIwn5vwhyjIPtZksR8hd0DN2XqHQWxKF0akrwuvwGr4aWMLIXy/KR0Q1+9OkC/k4
mmAWu3zoP9bE+aIdkmg3TzP4pINew9JiaFPS+VMSF/aJK/LrOeqAHAaTY4BUPq6TB0uNZPDVRNES
vssrnTI7h6eITf/c/gnq5xetHK42z+Wiy+2Z7+LG/mSAu2VztHp7bi4vuhdSHzRxsNgKP4A5oSF8
F/Afk7gbkBmHvwwKn14N+be22IV/zAg6aHCJ8V9s7kXroqpZ7fBd4SYxCalFTnFdX88/jBqWG6YF
JL724f4xx22noh4tiB9yW59YVacefvD6VR81EZvwcOZsJ5Lq7O7t7/F6R9p/+YNFC8f/EaUs8D2s
6KL7OAUbXm28dvN2I0dnbwDAKoJYHMzAgwM2D2Ir95XLd1V4kcvLqdgG/gkywZFxWnBcaD3shUEd
Lf188ZlVEzeof1rwnQ0rSqqrE9P2+OORPwa1CNyiQ4a2rATKXlqM70aSSiekc3EKxnm9aWNfWWxC
f7ewvMGLDnBHazAMOd/VTrAea2wtvNi0VXhGguxymviJ736sQyAZI/kFujkC4oPdrCiHQKCoLt/1
IqLGZQkjydsf/XXuGJskYOPlXgovtlcRo52JyKAiLXrEsu0Yl1/zmV9m/gDDbntr9VbSB/WZR4aL
glgrMo/J2ImrMuhPXKKWyXWw4+y9xsHAumGjYsFsvpt9zZKyHG/AUl0p0Z+FsAYExf+5lPOJI+m1
rfTPvkNaipgC1iWvrAvgUhxZSvOdr8PdGNebQpWXqHywljCZnWa+QoWXq7GYKInb1FVzwsYKOevq
poCVri3ZqoM+mr79QY6sQuJC5o3TC0T5V2fIMMQqmB273pFJgsixQ2WBtG5PJTyPbPBoBTUQI58s
RvAHE6sPhWWmMKxBgbqcIpSUuCmqu6IJklYy2ps7yT6/3a2jDeJGAqeoRfd8SL2A3Meaua44agXf
hFrRYlp3yOuVxZX0QqpaG0gC+/MNDU79LoBdD1YIr9Q5liVmXfXYDtxuM9SrieTQlZ+AJ45+rn+3
cSg1yAUuP32AfhWA76ICLZTfyvlUBagjrSyekmCaQnOwADb7206EEltOwMNmlzdfxu4L45+Y8+nt
D3Rkq9lr4mABlrMXMmL8ZjfYm2cnPnv76ac6sPz8xb7ZYzFltkQHCucSRdU2nv9gVcOJvezIKbnX
hYPTRWinIm6HRnrypbf5mYsqYKaYkvyUKfGphg5WTyelHHHGNTt/oIWb5qAtsnPunpq+y1c92BP3
+nNwIHtl4M6sQTPBPCSMfQ9rTlu/oFmxBty+CuvHsAN22HhJZLqzJqhpwM8akyWzuIkHK6kR/dqX
Np9pYF12c51W4h6Xm8TokMYx20zMrCKnoyOMlZtzh69RhvXjTKb1HK9QH4XGzjOMSmjDvtRqQkWU
BpBW2oUkzSc7rVCELPK/2/oza3LKqrvJfhwBbPTCAYPiU1xc2eTU6XtkjmKpAdlYUvZgUhzMolKP
Tlbzpl04DYEjVsqvToz58RYWu1BnEecfgo3Cn5o28Fm7c8iYmAiaxFPE1yMrAX34dwsHoWIOffkk
wrLdCfJRZ2fl+MW3Vm8vtlOdONgthl6HcSTrdkeiR8e5lE369vOPTP+9Liztv1jMupd2azM839hX
tQFH93ya1/mp8vLL7D6Y/XutHHxsO/CH0XPwKUI32ALYonl2hliIBu3asswqHh7f7tXR9uDGGOHe
j9rrh4lAwuzash1HQDHAkzZH6UKxs4N1a7LUsbb5HzsC+KBw43SClAgWOmCr7Q+iD8TE600mduPs
bj11X/M/TtkvLYBrAJNQ1NMFBXG/hclxcQ3N2xaX+ssqpP0pCtzRafbi+Qc96Ce7h+pWYDX6X736
UbATwe/RabZYZC6eMLhPH2znbj3MYycdTABUDBLDXel8rjskG06R+U+1c7Cbx9qrSpaRdpehUkUZ
DmfdsM0ilIg6cfk5OsECmGbgcyO0O0wDWZViMNwJ2h0LKLI/at40hLbVF0sk8ynZ8NFd5kVbB0uU
8NKNc4Gxy6Zo3aLw56DZuVbRnweri3nmv7p0sEabueVR6aBLVnYWtT4dm7Svfnv0/8fT+J/5s9j9
WvPqn/+F/34S7STLvOgP/vOf354bWTb/tfzNv35n/y/+eVU+SaHEj/7wt/b+CA/+3XD60D/s/ceq
6ct+uh2e5XT3rIa6/9kAXnH5zf/fH/71/PMpH6f2+R/vnsTQ9MvT8lI0737/6Pz7P9799Ib+j5fP
//3D6weOv9s8P8jvf52r+qH5/tfyv6unVDQP9d//pl496/lB9f94F7rvQ1zh4CHlwUgJhEwcLub5
50+c9z/5wZBIg/C+gI7v/mqE7It/vLN85/1PuBszEvsFgQvnu7+UGH79zH2P/AhUZwSYyWL15b37
+633Pty/P+RfzQAMpWx69Y93BysAWDcQzxgi8MW6ejHJ3t+RAi83mebcOrd8VC3O+jZYyVB/s1gj
VyarxdngT5+MGD69vbMflplb5PNLPsTBPRq8bxBU99uN4YQGOmSGIslMyV1r46pJESeJL2DM8oe6
Kaw7QVqx0mHW9+e9B0l/gqsMYYkO2KpohBYrryXbaoDUPAF0QrZl0dRkLWtbfHWBrxdpCB+nZ3cY
PDgrtmN1NQ2l/lEExv44zUX3A9HumVfP45BkZJhWFWHDVdCS/KmR/JP0SDskfI6siM6lY32drKbc
1XGJwlnIB9SByweqHdPDCNXuqpEWVmbfhHX52/rhj5baf7uO9tbeTfvcfOjl83N/9dD+L1hxiOhe
TJplRe+tuA8C37l8eLmufv7Fr3Xlk/e4QWLGgnyM8/onAfnXuvLs93DAW0TgUDVjVi/Z69/rihD8
yAfjF5YyS6y68Bb/XlbkPQSw0ELjJgzb20V2/SfLav8ghh6DIOm81JxA8WzI6g/NhQIRGwVBjUPD
YpKPpXEVrQabn7qE7p+Tv5uBrHZZwpA9HlIYnbJSWTZ7DkWBZ3VpRSo/l6YH2mnn7aoIp/DDiy/w
e/d4uVs43hKhvAgBQWZElXsQs4HZwvoCZ+b+us0YKIGZtAraxaKy+zRT0zzCUr/hbkkLPgGeoqHd
DXlHDW8rXMBVW3QXZRBmEUu8PhZdkTQcYJX0Gh5deGT04rXn6UlEZywqAMIkPSDJWSYoqZ5ZGsBT
ZXo/LaM478vU8grXztIxnLLGTVheSxNT01qDlmd9CRphDTYC3Jd1It0hDEsatj6yU1up2WSeCGm1
zuiIKWL6hAPSj3WibRfG32mNmtHIgBiUkw3ce9nwqTRpV9peHiajbVtDBu1dDXYTBS8ilCRxQM/g
8WZs6nysaMEaN/vqT6afP4cdqaULxiowkA0KK+D3EtkrOz+zvQ66M9rrOQS3rWHuYj+sTTONduqH
1hi1iZ1VQZ5RIZC4mKnvj2BCRrYJ2Xk9A8pJbekGjbMqxjo0DXVK7o8+xbvEThJZnptVoMvJwUsZ
6xxcFb2otuRtJEu7uOCDtmJaA0b0MspLIfmWw9r9i8frLjjPq5iVqwr5VdGmHKyK/JvKba7O/Tia
nIqGkjvix1T18iPhfeOcWxC6lbQbZ0emU+cWhDY+MUjeQ5fmfARVsB1p3uTNsKrCoKy+i7wKZBLY
VmifYcwtQkfQJ+W6zdq4eDIMLLpn6Gg9UcJOdMZtz6kal2/7ziVWOiM57HoUtVB19MiQ0mLrtpx6
2CI4HEQ3yhrRGSsJajHGl6VnQp/KkGUAUD3UZL1DcXpLwGS5AaZFua1bBHpd3ln1pTs2w/ChzaUd
XNXt0HR3qG2HBplVM/u6NrZxtwIBPUuUX1pjmdTMQdH7ebZad8Uj5QYznRyjPZdy3y7FulRxFmyD
HpLTmzEv2oEkCjdksbUqETs1LX0Icc7JxGzpJ7rmwluNZghaufLyUuNYqSunLSpad3Uo1rkc1Xwf
a2RjWiqZN9h3nClYAfQy8thVx/HZwGDsnPha5j0qM1giYvyDVbrlcA243yUfPakCGDc6EWqOW9nM
NxMuQNQPWujWSc/yVaO9En6LAQ785rrUqGZ+pUvUAcGgT3573o2wl+yudO4ZFH6tpR13MglNaddn
ERgu03nHEZJeVEE/T9fT7BURHUKYAMMqYdAgJPn5PBd1Cn6QqchZKZEu3rSkDeR93CllbnMN00s3
nWPZ6A+SjV5dUNvqRAUoZ6jZN4HrX7+1NGPRpwp2DCF2n5lk8B8fXLtrseKDykEBsmLweDffGT36
ap6pgkxS6A8e91Bj5APyx24ZX2PPEjJLpHHyerjNrBhlorcw4Z9k9Dj3Xe/P541TZPLj0ArPmj50
YvRayK1dsCcDIdvA0EqHebXqgtku2lTEslOrsAoqQ+F1o00LfCsogkST1rjIIWMrjW9AASy1QydM
vhh8Nx6HCqIkG96M3HLbfD3LLpNnoerhpRiHlVVdzFZjWStX9VGWysjPrM3Y53WXShTWnTA69tCe
B9g4yCeLWZ1/1qBMbk2HKMy8C9a3ctvktmAp8/A5aGiRKktqhIJTlE7Z3FtFMs9tE3sb4YLBFFMX
TOIc2RmRe7K6zy09yXirp1jn9W3cRNJkV7nmWWHl1NRhcQom3D8uI+Q6kPnGIQ5N3iJoPTR3DlB+
oYf6raDu4OdyxfkgJsRYc/nl7fPraDvR4vCJsxJo/kHUiXPf7lH5vKCCtV1O27rVHyoh4xN3sP1j
Gd1ZDkkIP5EzWP7Pob9zWJVRF2ZoBgUy4+B85uO2s7tzJX1QCwtPn7KsPgjiMXwLJ4KAZu4ioY87
wcGhLMJ8nFGBhsL8YEC4ivsAZBlCpE1IVJrz3KbCm+wHlrWnjEuWEduLB+DkgHQF5HYuRi8IDhAN
YcNqK2OYY72f1avKsHrdd8Je27Y06dsf71hTYJssfv2Qp0N1st9LHNZgmPhoamYiuDGEFZcDqQBC
5eqETuD1eC6dgRQeBEeQgv2DaTJMU61CFykDz8wKhabHFh3KODAVr0dBSFhO0WaCAbF2a77+2cn/
C/ffLfKX//5+ffbwuH8fX379V6hPvPcgN8IYYLHjx03VwXL7FepH71FqFFUisJ6xzBb33n+F+s57
ICA2uEIQ9izewviEf0f67vt4IcVBu4h6PQE8g8j/JNLHzR2uBcAMoVhb6n0crD3l4QSP6xB+pTHq
5NQsutLC6U6QGQ6mPvjJSJYRmEHBZQK35XjZcF7Auz3Op4zDpy0ibZmEXYMQVs/OqsVBtXox6kci
/IMd8ldLuCCBDI8xQoHV/Zaisuj46LvUKWCY4lReT+U4jX+2kpdGwJld7kbIkRFgGfuN5H4kO4lU
IyLzbpPHIr9Rk+zXkVOADf52f1B+DQ97sUOhwDkynFDgQxSMEr64Fu43lrmozpf7bOVmiC9RdaPv
squ44yVSxWMdtWnmV3FB81kFqzrX7rCFGQIMhLpydjUdsoA3yazH3knbJsdmEOV9VyeukaOkMevF
/CEeSttdZZPL4dcnGse5zgvFbphxHdxJbDd/6kgW5ysf6DnY2SIUX2IfpK8kN2MDK5/O4IdIAgU/
ymaufKrsguu1K7T/o5xLK0zwCK+6nXiHhklpke8ewtB8Bc4TyiZaxvh+wto6ji4yxNnAOhxXmmub
NcEn5B3wbNeeWUtjwrWmUvbhUwj/zTrRTkYqOrK4hrqShdP9qGz9tVAeLPviKpMFlTWStTRCWTgY
rocuv9AwVzEoWmqr54YZkLxre5wedZaNX0YYRfzgdelfdYKZklpuMdyNYzRXa5Y7uUbHIeNJYlX6
XyPEvC3qownrUQ1diIrwnH3Kel9KWnoZiagzkLynPObV8DWqqtoBubng/VcemeFmjgRGGuye9hsO
i+bOkTmqUzm9qS65RXDLNF4IRV+v4v6rxIp8bFRZPmLVDA/FFCMnXM0icJMMWCwqV7uOesApCVN1
kDLFF9vKyw5yQ87zNHKRjsODO3OPpCDxz3g0TSqZgSvd527jXjuuim+lzHWFwVzcfxyIir6MTjR1
1GUjpBWmAJI89OxDM0inS1AZyPtM9GhZFJBT91jGcf9lzGrzGc5IWUTLYCqffJepDwqO1SisO/Xm
SjIzIus1BlCosjkfL6N4DCC1wcaDpH072s+2MdWTRuK7SqC78H1qa5nfOrnTDengNcqi0o/gu5Wh
BM1FB2AUjo99aV3WTp3ZCSubliRj3GciNdxvbns7HoaknqWLCFtOYO0QATdQGs0zn2/H2eSwgSb6
GzNh8Yj7SR7e4X6Zfx3ge4LQvC8aKOq7KCqSyRqgHOwGENfw746YV7pjAcyfeplJOlakfVKdclHn
CSD/V9JyMVAnNO4TE31jki4oUF42yMYO8UUoworalcWurdnWHtiZgRKQ7M78rnGj4nKJQpwEDk2e
oG6EGxetQAD7pqvS07hLIQSlo+sz2ClmNVYZ4mUQEEi2lB8slO2D7OBXBW0Gy3hpoQbxSVZ6/sSw
48cp7obF98GrgTUUqgjvudsFtyjASrxE1CGu3HgZNtNGxvLWhns5KGcojaxozwhrV/VoY/7bbRB7
aTu78O6JPe7fK2WVTxGuZruphZIznYDEdzRWuTUmZWWHjIJ1wJ3EDbJCIjQf9deZG9FTg/X3NGIC
3bmV8xUoKr4W6wdzreB8+gy3KMykocuYSTIApXUasyxasVw0Qxq1dlNThquVlXbZ6H2W2DK/ycyK
4Cw0uKZLseFIfh4HWfNQ8imH8C5wM8yofJLVOhcqFwlcmxuAPQXEADRD9sCjqnanK8G7Ht30LHOD
v+OfXKvCLxC7Gvmyp408zVFR6sdMMFXGeAQMEotAdelYZhbs7uq4UKuynupbZ/breoU8lrnL0QG2
1swGNbUNdBrI2mGpl+VduFaBZzKaR6Ia165fon5OM0UsOtPIQY+JrhzX0KDUwRbMfHNPGr8dE2Rh
8E5wwoQKr217B5tZLdjOz4jlbRzcmFZx2dpR6tVLAQLbl/yir4Eo01IQ2aZlWQzwsBtZn9Qu9ucw
Qw0stzufhki6K03CBrdAM9oxJVPn76TmwDKyWZZPHmYrwChniMu0LqKapxUbXNR+yg2C9WKIi/u6
zcvpYmz8/LkkEyT8OYzSdl7NwVzNq7oFvmP344ch8GqBLnjdtOIVfB03DDUyRuqOIi6T0gUmAk6a
Vk+ZzoYiKezB5Slo9Nh8ldWTTdzkDlg+pilR0iiU3pfGa5BaVWGo06K07OchE51HJ+CbnOow2LjR
VMDzJ3S4Tb25dzfW7HTnzGuiOOlg5nypZeHTwc287TT49UfkoeNH3EnlNxKNoKl6lspVamSfX/nA
S657127ds5jgcr4SUdm5iY/6fmXKZQ3zp7C1H40oxzuPGMkTnO4WOxOqL3e8yUqReJMjn1pmyJe8
0NMIZpSVVUmmO2CNXaUlS4Yg7B5t7G2rGgK7Jh2cTDw2pja3Qtpu6nFJdjgWwmvVStsk1uisHSsM
n1C9CldrogrtJCboB7mBRXx0MxlwiWiWSxwyXeU3uOCDGfcxU7y4iwG+TaCmueF35mVOkJC2Bu4R
SmfGsRti/6LII8gLoDF+CLVxCALyZGycPhJOB2PSk0Ke95h8jx1Go0eGg4iaajecN6FTQsHLc1mm
Taz8m5E0pVgVg7I3fkOwInURdx9yHYYPZddB9ptBl3vVeoHMqOU5vb9CJW1+jrNXnXFIzprELqv5
C+YmeRBx51l0HgkOkGqYWH/mEo3pBBS3bmnUVv09CubmLJ2mEjtAKbWaKNCC8Sb0eujSxOTPOFOc
qfKStou7ex+Tj63DWdS3E/DwH4XtttcDDgrMI6y+PAGQUH5zYJMH+MRz4WVJ7FyGCS6WzRew/stv
QaVQXGXWvgUWbe6vS5dnKrWka7xkLCOAPHascToAng0+5UZ5fWI34eDRevL6kHI5Du06nAYHBe+r
Cf2CKKqIaT8vtFnpQk0JpKUU2ImQnceY9j1O5RXqm8SALXNjw5+/9gW7JZ1X660iXcfc8y73vVsn
7AzcYxzAt9CdFEohkMvrKcEO3z1qltPamgFlRpEkOKXnWouU6aIEVwXluNi20a4JzmWBfQsTRxB3
1ZsSNbVz8BrOBsCH1nac4gK2fia0+iTq8tlQZDfkx7ZE3Ekr/AnAOpTZ2fWGN8Uq4pHctI0zstXI
A6UoVKpVQwH54st7hI2PjWWcIJ3AZLyorK6rgEih4hRc74fCvXErrDgcJJZz6yinz9dCV6A1qjGE
G3SPxDEMF7oJZ5c9O9GlbO1Qr0vQ6YK0ykHmvi7Ctp7SCaBktR5GEkDu0QXjA4i+0En4OBdrIKdu
WKRVFenv0vEyRJBFP0bU693eoYXHK/gLh8s7D1MedZhYOiiSfO71hTcK9X2Y9YSafHC8B6qbW4Qn
BLmCkuZKKpPIGOBtYqkgUAkc8f0ftpjsc1MD5U65CeuIWoXfdrfzOCp11Wu3ilexgjZyzXxorWEF
WkCxWFitZmmtgRNRQgL3MTREhSt4+DNvlcF/Wc2ImVTl3pR97ayHGNW0zvmkGRZGEeAEmsu+uXDj
arTkig12z9dllpUEW46zuM0HeZ+1qcrjZkhCF/zdVCCmCB5IgfCfZhkuITiX7bwJHlUbumNNC1RI
QC4iZ7F31UWehfdCTZqvJKtysppsVdmfMyPG9gH5kLhDHVvVhbvW8QocUwCvPVxYRMCe/w+N6Kcl
3b9gZG+gEciiPmGsfjEH/v79X3CEE79ftE6gszvQKiJBgSv0LziCxO9hp+65oIPCLGpRvfwLjvDI
+6WYHFyfkOtHrn3xUfuNR7jee2BoSGTGKPiEInpgCPxBPv9AbQN6HBT/wEmAEoBDDO013uElVGBq
XTZW4Fs0E5O4yMZgvontrthYCPCX+T1ce6HRt23uWmf9MJSbUos/Mx749Q4hskIAc1HwBin+/XcY
AyQ8uYSv4oRM3EbMdgdHLUtu28n7M8bTr6ZQTwIu8DDTCoH2HDTFLeVrO8ZpFLZh2jsdlGhNp+D+
/eL7H8NF9hOfaAiMC8A8uPxD67YwNvYbYn2GYMBGn8SY+asB4fgm8iKQPeteB9cmhLUY9bOucmnX
lBFOp4kH1nkXDtOT70/VlR5z61NugziQuoFsO2iDg/gjm8hINkYjcZZ0pndnmgtcR2ifabXEXMh5
rJAKiQM6GXdJtrGgvR9Lx1+JNmzKFTMSRRTAKuuRn2uCcKVGkzeQcTAlksUc26bONMI+eo6GTFOS
B+1WNr03r6XFkRMYTBEWK2nPrXcRlpYqkhPDhlH5N/jyc9Sg5gXShgTZTzhuf9RGFzfM0MLJWeTj
U9CN+TrTFjshQyXLnH7ZChYiliMY7Kg24GP6H3ybrhuMU1osT8JckY2FPBXuX6OXTFgtn5A6kyti
+RPOIUtUmzgn5MZEKJhWIqEJU1iowTgorkkftYQajdl0Yu7spwNCqJvgHg5yAQAoEA9eoXfSYbhD
tHi9WTlR2iJ5Z9PWsvW666S9KurK+vj2qDuHkxUtYovCuYUEPQgSh46xIyC80s0mizpCl58IZ1GF
iwAyf8AIuqeceS0uq57mX0KnaJfrsh4eI/i4lyvy/yg7sx05la7bPhESfXMLZGZldbarcbl8g1xu
aCPoIeDp/4GPdPRlllWprX1pb5NAELGaMecqcmeiuedk1+YQJILcS7gOTT9bKyKSkOWHn6xmdmjM
cilDve8JsvSmaS9hbP94ZliY8cuxJkedeF7sH1eJTGCVLBxdPK9dNRxyuqPxONh3jRn8+vh5vV8/
EFWUPPFwxjuN5s3pKtVyTCFXy9NCu7SSu4Se2UHIavkktcS6IDu3zXdrlQHx2K2jZmY/AQc9vVaG
w4PmjloSyinX6x0Bd5DjOha4O6c0tOWq9d1kDJPAwKCSJDD9vTpdgMHn4nsRXWSDVLxK9XbPCMDC
PxpZVj73gfI+u4XHjE+nbC0z1Iep3ATZlZXFeoDRh0Sm/Vuf6OMSdBjd0fbEFqAyIOdz7TQED5Ol
MqTOpom6aEl6fYlmMbVaSN2HqNB2k+ATf+h+mdfFeVOOTwZqD1pzTYymtWQpPbvV4NbMzUzzTL/v
WSi0R7I2mw8fv6oz74m/HxPfuh+wLpCtcMKcPj/s01pzdTveVVYnbWSYjehC31RZFvpqcp4peHTf
KlVph36xlp9rP7iHlWZstmtNL/jUBUvxi6zUkWE+Wt1bR/nkG8Ui97PbFu5nz51sGTr0scx9Nc3L
L0XBjcSy9UtIpf8fUPzjQPkrez3dtNgStw4E0J21OeSf3shQdeVUORib1RKrWOQDcrqxNGpwKTVS
kpuMfi5goH8YnHaIUfHjguYQbXZui5xgkkUFwDAxFtH0x2fLbayYTJhh4IKi0yXOaDuwP/qtZ/2H
hNxmy8PTqCitOaaZXEUMHrukFXwXu7BTEgnRxQxs3QL7Pnu3fbdMU0YZJBpEtrxByuSxkzXLve1k
6XOdjpWM8DUwOAsr1UaaRRk8Rlc6fv741ZwKo7Ylxs+Aq2S35qfgx3L6Zpqc8mrS1inZfOJFFZXI
h27t0mNDinaLMHyO8G/S48ZKLY86tNtduP77vY8wkI44xxlCMDSGp9f32sTRRqZDksms4z7ri/bW
qdsmtBcJeKJLw71wSv/rgpvpN3sgrVXouNMLqlVOk6X3aWQu2RDLpXavBrdlrCgEU6gGT1w4n94v
J5NUERoWUHlr653ttwNLJxuXIY3mqp3ixpgkvhj+pWP3n1dhqDa+s8zfYs7f6V1VKgi6auausg7Q
oZ8ZX7d5EF99vFj+eRWmLLubrA0hzFnsMfsS0+WAewmCFsNyrWxjPKv/m/fK/1uSHgAxKl2QHRbH
6b2IhK16g3Rw+dPW2G7XZOfAg+z++73Q7uZyTEHFyubsiTmpwIxxZkvympFRCc5gVVfzMKqHjy+z
fT+nuwmjrXgrJn75LIFzMwfdVLmDoRevv5znfW0pa9/wVw9lUbpHPqfla1DYY2RA1F24wY22Pr+0
wYe12XzpwArn83z5gq22S9jIlpZ/XB/W+mlotXFfZYvc1Su+gzXoWbQOo9yP9k94vycCoiQit/9v
ZqrbK0XtierH3XJILJ/OPjpHmX2e2SP93GbEVr2tPWplKMgDe1EXFJF/B7mcPnEbkIFPHGtklE7n
i9TN6dLoNtZadb4GX/naGZYsi3HC+KqBY4lcmc/ePp91/drpSqzO/KpIMG6qE4ucYcy+NsPsJZ+o
sukPymaoD6Vxcsy9GLOyokc0rmzKlEREFGB2LUNwzqnDMWCbxAKG1WNR3+nUN0fYvjqqisA99HCM
VzbmhZdsfbdFenavBHHAPTrgDSHwtgT+p1euuibDz40SN1jZtMdr2WCk6zBerZYr4o8X8vt9k2kZ
xHJYx2GrhoD+9FJkDpWyjYGCq2j033O9DLfaQNl0MIM/jAwaLsQ+7+/MwacD9yXyCA6mjZD43zsL
HCGsdeZyy7L6YaE1SobDQDVN6w39kj3d2TSIbX1yU+gP8A9EtkBZ4fRqAvLeLvsiCSuzW0PqgPJ6
AOa9Xpsq2Ser1JmHbXlfBTqwh7EPuqNulXpcGs6luTHvtwvm62BRwFg/ICOM+k5/iDX5+WS3LF5v
WpoXk+IvEr3OZ+Bbtzmp03hYj/RonJ0BC3shXH//yLd93dwmM204yV8Zw/8spnKxDWA0HvnQbGMd
V5L8Pu+YyaepSw/8/CDZPkwbLB3LPIaK8d/pbY6JyMoeTQJjD8afhrS1OPHM9D8uIZgAPMo2jGbT
YHPWn14Ekqsx2nFqo8Jby/t0Lab9ojLtdmIO64VLnZnZgWlt16AYxgKiGPVO4lGUTm2KWm+iBpk5
LJwXJIeFga9aSN+GJqhr0Vy9miqm8B41V84Ed5bUllhNynDoePm0s+wh2+q8rKwRHbxsb9uhDJow
m9XkfWHfwRRBOpXDYC6p5S9TRXMrZA7rvJnNtGWzr2pMOMOPv/r3L4r7wrZkmwDJJORz6Uph06AQ
0L8UocVwRS8/iOvJuGQ6YP7jMhhh496vU1TctpfTV7Vk1HPGqhsiR07tKw5lNLioQWkFqZ8zf5oK
mmkRTZHxceglJuxy0tgKsirrv4GlDXME0rqGZTXm+wUl/K4HH4ya2W78UEy11kVaRm07am16/rEm
hZzjZkw6K5wtSw7Q3nNDL00Tq3Uh2nwX5rMwtoHIFGvYoDlezu4smPNhpV3XRUNVPBmB6H708M+E
t7l3bfc2B7FyzAfViPwpyaYWXXFjXRgx/v7h8rnxmW3Wmxu9eLZzj6Lypgo0KEL9VG2l+4bdY/1v
gtLtC2CkPFE8BQwgSci101eYTkNRzLUcIqPNrLCBSD1OyaTvPl6P73ZqLgMThiUfs8FAT8/dNjHk
JYDHaTYipJhf8FsK/ozQwFd4c/lPWEuVcWf2taK1HWRviaAoIBnAAmowrtDZF37MFon+7/Fr81pR
vLFhUwSHsjtLnjJDBGshHRVZ5kOZhEzMYyZfREy5XLrSeZEL8362ZfaVvyO88dc7fbrN4k0i1Sqq
VUHtjLer7ayYYUqHamPfZR4cUDalkCi4CS+7xhzdInZHwQhKfUzNp49v+916Is5AyEdojk0IQ9K3
P/+fc0K3OsQueV9Fw5Dkty5nf0wFd9p/fJWzCRcsKC7AGQFqSKmb+t7Zw10IaBGq1zCopSnDBuBt
T6Wl++UIZDOU5YI7qaQXrR3ASNLU7l2rZlgsYQrM+aggMCFVTWlcKqM+oBX2/GhNtPUmk0F2XVVe
f+iV7zzaLi6ZqVW58cc///ww/fvrQRjBVsCl0PKfPqS8Nntf6q2MHHuxKWBnemgldYau4qIK9sxD
5++TQn9lkmQQwmB/fLY4FIO4kgU6LDLnBJIocWiLbFaoQRC6aT7+6T2nV1imOhVUh56bN/RIDKpq
BHs+542ef0V7hqQDRcV4IaZAaPbuG8GEl0IH1CpBI5/s6YMYxWgMaSpAzsyipyuTrA71wKBaDQyM
ZiffkQj4XyyZFPjNsOe/FoMcyhBIT3sV+aI/D2NtvtjSLR5FuXQ7Fcjqmc4jfhIBxNWLoffqicsn
T4kDWhdb3WLcmVVm0XqkPJ2Hyra0JzvptfRz3ZdLhVZLc2vOAqvwr51ZOXcmz/V7mRvaH2F1VQvf
5oBLBX6SfB2WWpWh2Ujv2BtD8JMg2G84U2xl7TJ/tf0wFbVlRX6QeTZmHISWIaLO4o2YHUaRhseC
YKY2COgoaP3OzXZ+XIvBTna2nq4mruVO3YRWroZvGHSm6156mfzeOv28QVRGNoejXlHANt2O3rTR
Ls7P1guqgY63n49xQXXQ3Utn0Snu10Flxzg1KZ1VxqF4qya9yo++WJzvTjbPW4ktk19tmhLgjqmr
T9cBA3HbTdrJh1NMtHEPuHT6xVXRBjoDLKeyCyKBlsaDHPWC515K5rHlRdE8YEPVPSdI38pwpefW
hWSVxAV1Mpb3pcqHrxa7fxNPfl/+bpCOfvezpbitkz6bo1Qf/Sx2xYrrsXLlDlGTWI42+AdzeUc4
KZQfbXcTWDJQUVvX2u920FoVIdFev2qFVpmhNaWaeewdk4ZGKSt0bmZf+TkTwmpoDc557612VvVl
mZPgi+ONM1Yji2FOFHzH8cdgsH7C2ihWMIehq35AAjYLMMW63oEt9uthos19T11IfstAYl7apkZz
AxZmdFEz0odDxWebpO2uVsPRWVSJb+qsLSLI0UTcITYLVKyU6Y7UpJMJW55RiPtA4AG3W6XFsa9X
9djdj/BKS1yVVUqIsiSFRBg3qBaar22HqEt6blV318DYmWgJ9bi2glLGoh+93/XqIBi0ayZWUVUt
OxUm7ui6zJennv6pknPhcUD0hn01+dJ1Q7VoJaRB28FzLRT847YsDDJWbBHpmzFvPYjG1ZZdbMra
uhcKuo+HJ9cdzpADfiuOvnrMFcpngABmcd1odWC3e02Untoz93YA4dCwXDdFkX1DO4TP9Lyu03eR
VB1TKT2wxj2wUnI3JyQ+t8laZM+TOWTd13HSFy1yrGYudgGarz5qRYmLp5X5qOkqr0FtJOGW3Sgr
DYoWk3KD7oaydfOc5/SDIgMelW9yNZsvyHXIwgmult9q8r2bsunN6gCJMz2VQnZ9pDWE0fwcIV+H
ycAvaVBef5v6PvGfMSENN3LHe63SbPymGhzLsXH2Jn3DTgY+bGNwROitQfk0MmHJvikXF8qjwX7v
FjFUkB2YtkVbIC+wOw8X217GCCWk2ceGGtVr7WTLgkZzWj7nytabUPcAWa6bBuT3GsstdF96mjr0
UYvR2tfKhxosp1LiPOEn9XFuNMVcXM4vC+P0wKtB5PyJOLmzTSNu+yE4DFo5raFQVTNDDKoKmVhr
TV1MR6C+WypFw0PNRbCQRI/CiPMi0Tc2zfD2WdHMS+RDv/3CIQagS8KF7zW39a5dGWi3pkXdD8Q1
ad7IW4BTEyqsn2HImyCmiUN8W/rC/JlmTIiLLFzW/TiTNNvZOrcNtpDdHnc/3BVbNRX+Lk2hN2le
yiLZo+PKmqOegYZhEjKJ5krXRf48DPAesSMFHRsvsUog5l5j0IsVwKSHU6BW+sQix5NoyUjMYnso
Zbu3g87dNv7WyneqGftfOeBJHZnmbMH9IMXVr1Rb6u2utRz54K3tgveQl1d7bxisb/awZG00phaH
x9znQRH1ygzErnTLPq7qbp1iIZZaZ2f05AhwxbTteMRXg1Gyfpe9jSA5860TcOhdDb7eT5EzzLRs
8oC0MCxIdpO4GHWgKX3yB0jIfP0Dnz0/KlMjSTRTJw1C2OcapHLF1wm+sxjbx1UvnH3WGncUlBw8
xKYbrwMHboXOd5rvNC990xrvTTjaQaY0f4pExaiT4eVdtWug30Q5Pskcj7lBPvkTa4aWY7jKT3nb
vFZ2eST5281l+Rtqbk+ge3QmPaJM8ql23PsEs+1xCKrYN0QsWMu+A5rmquDgZe5j0YqXnsPdbnqc
J5PisS7y+3mZbhy3eiu2ac5dfbcar/X4VKZi51s/DVwEhOEdbf6Ffsn31ZDtcmHtOVm9vZf7ZZzb
ncFTRT67Wp0TZgO3gbY2sb6nGSeXbChANxgQjFoFtZkZsPeJ9MAPCcbUFS2DGwqi/F0L9TJGnEBr
PcZ+aeKpWG/bQ+71T+Mk9kB5sTGK+g7jY7bdjLfkeV9sVR0HzYbEVuJx6LoX4o2nXispEw7Z/B0O
r7vSF+9QL+t3N3N2bR/cpaZzw/t/sEzx7Gj1lZNPjFoZzAe/Sb8Urnd0ymc/vbMc0cUjmRoEX57e
sMqGXTP/Kdv0GsH4UyKCie7i8Gw06R14dxMWal4PSLOOvbJ8mo3zo+iNwzxB4DW2d+x065nRfj+M
TkYA5w6IV3OQs7lP6BWFdSX3dF2+KY15YqhUi4wmi17rj2Y+xIyx2LzrHcrQWuxxm24I6HoY6uwR
KUOYFb4Va1NahCJbdwiHU37GZxdR2GTML1r7zZrx2teKn8VQ/eqTWeDhJfnK1W1aQBXPGfGQ+JRU
2E1UmnGE6rK++zkvXi0ysrRZXRuZjFPmjs04OmZrEc+m/qtmAe3aav2VW99n2u6zs3yaU+el4nsK
4e3j1dWv0tFpH2aMCCbqUm6d8q3PO92vf0EDXi1quvdkenDa1gkBRcjyh+7V1Po6rvPyc5V3V9hE
hx50X6Sv4xsf/qfaX6pjvch6N3pscWhgH8ZubsPEGn6WYzmNYa4V5RAaoiNIUh5a/VrezUOj33Z6
4u05mP2XjKVjH/XZubM8+8pf+issU60rv+luy4meseffthurP9RM+Kos7d4tQOgT16IjmqsrIPrh
gI7mlyxK1Kqi+12Y4mn2jVevy1TU9z+myUUS3TeNB/+XKpJNZ8DNJ5J1ndyWkLlfXWlp302Aj1/C
rNIlQlu1MHqRGCQNRV/Q8K+MNPgS+A3ydodMmRiSACuIh35pH1SQtcGxHzKzjnR9Wbwo602jj1w8
b8Df+yrHgMAc1m/FKowkWrIll/jMNkEfddlU3nt+64LutRSmKms7W3ozrfl5IM2/gzlx/dgqaqYT
Mh1RPwxFatN3aDQjtnsDv+fAye1I8FUAK4LQeNHob1gRngPlm6I9/abrG6Y94IFpw4Qi2EVhUzBV
o26MWTE2B3PQaDatdiKzEO01uWMC4bt2gwGRLmf2SL+sEUTllvEDQwD5pTUzqGt3njbFTkb9fpBF
N0cGLqQJpMc6+3Hb+f6vbCyy74M9AXYqhOdfvImPK26RvuVRxyBDtq9BcxiDbC1+OFHQuR6kantW
zyqruFkA36MyG7oizL01qYmPy7qN+qpCEmJ3bSsixeHy4Bd1uHIOZpGuBf1uLXNEJDgmaE08tu4E
zTOPTh4ZtiIMcZQBFd7bir8ifPchwCxPhIALLgI2jhMVNkuN9sObGsz0spk6WAgVbfxZEsyb+dS6
yQnTtkJX0miBN8bWbFEz08BCO55iKRb23KqYblpvBfFajMl6sCoAjvuWDbbEgGYEH6W7lN4ERZcb
saXPPfi8Njp/Ctny+mo8MV7wLkBb53hV9mYEmtHs3HLovkLlTzDVPZInUKaFLmIy4pKhr70+hL3Z
F3eeLzja3WLQNiQWL/yoLtK1jmZnxjyw8VrB2gma/vNKL7Ld5cpYn6sCxikmJ0/wo+jlm6Plphlq
wOM/zASfjVAb9eaTTXX7rlwsQxzFtArCMvJ+J8rbrT+XyTEo9gSbU3pdtyJYYn9Mg5EV2oIYoOfW
b5FZDv4VFZ+yg28P8gfIfHGjtVX94pXNdE8VgJvHFoSnTDsRk1ba6bMf9rXuV3Ab2ga+rXSYnFp6
xBllYn5n8zYDTHlWTnZ/nAjf0hXqmdacXssQw/n0WIgJW1wlrSnWitybIvz7weOUaY1vOHZgE9cV
Fh+2Dc/umoX4ijAZbWFRbU1a8BkHmCLha0TpJf1vRQB7E66Lj9avkgy/7i2j2iIkXdzAPud6ZI3Y
WMdOkeRftLQfg3hOFtqvuTsWnxJ3DtZwLRbXunLWbrrvLOGjk+/k/EaekYOnWOsw7CGO6zvDazPE
YULL3hr+h29uaQHl6K1vtnGLZw1lblH7xBC9VoceT5sZDrgy/FhR6fXhNGrmj9pN6ju4hdEAq9fA
iTUC75/IdsYv+FFDj0vGlvoH0dtFRb7kUxjsxrwZ46QwEWr4M6nYfmDekRd2tl5Ze63GlioMoGT6
XbNOjnOVNiCJn+lGonnx5nX8SS0EsxdfWMGjm87yM//sxOCvmlS+hDB6zALC3HggkSxxfGmHPwYi
1QcsHPrXoUMAsFv6bW8qKBqQBDU2ghIKM8F0h7dLdtV1Mqv2qb7gWtPVNhEtmnJaBkGQU/ZAc7c0
8ZyjegwLcx2KHfY/+YuRZtVLEpgru4an+LOFmdi0o1zxqdOqaubrrwgotSZtYMwpFaDRFWu3hNYg
5tscDxv4fyB5PDiw6igjK1V8LxNhwBGNpyNIJRoJ5tSu+i8UV7kXT47evdSNXQ+UHCtPj1x3zK7X
MsHuU2kzbn5ewQIIEXDhdl2awj0Iz7kpekH9pJuKDOJKajc6WSr9F8e/q/QxH/lwjfFnriYpQ0nb
nAF4ksix1zWkitWojchO2EkxhrGwSeBvl90DzRJSAB/DLCLbUo1fiWi1fmfYCVFWujqKUyVzss/L
ItMnsP3+ucaGhwMsFbO9o2LBmmiLgYM7UNQ74oGZa8M+25yCo9lQwZE1Vyq8SxUOct1cLn1YO05m
HJza16+NAbIpVr1nzFHhZj7injVIP+M3VPd4tiyoG6ehXIKwnxxyEay9Jky0bG24gV6w7F0lSEbi
Jpu8O90utHRnGK33ypAvdM1QnvqPhf3M3E9Np7+Obrf+NpepeUvSxO6P+A96d8PsZl5ozWnyZckw
vjlUyIcfNSKJNqpwF0EM07kN5qo2YzYOJNFbhcvSi99GNeJiL7M2XzAnofoUMn1kfKvYuIC8qnrJ
Y1u1SLT6FKEN8cSINKaaOj2a+3Xsdz7jH5adO4qG+qqGLo/Di6lMlANs/Xrh6Or4lJESH1qvXOOy
t9NPg0E1bOfrCcFNhr5Y2+FQh6WP3XJ+xfWYpp+drmExuD0lyLAMMG6JCjyMzHDU1rUOs86ovolh
dH4ZOocM59OI385oNZzgGlV8Za75erBXt/5elIGwdp6aRLSgSsFiGWucnxTp3TsLzdp93busqZKY
eHNK7+Yf/lxuvi4BRSah+3/b+rYmrj4u+/6jNg466lC4pvVIz/GMXTELDIUS/BzR/sriRolZ3ZEc
X0Ac/nURwA488baWAL2d05KqMeHDQuhWRKSeOQOmeFClqLPjx7eCB8R56RZFCCCvzpAiLMLo6Zxe
BwPgcYChEJE7SPErK4zgBs13QCrSao6NDW85a9ATqjPDXpb6ry5I7f5WND5eLxbljyxy0lSh3NMa
/4Wxl1KRyXc9QbbwSMF9vU409qnFIIsrbFLSpKuyn16eCYThubQbJHN27x4pr20ePktbvlpZpXkh
g2wXdVfmCWkR1WGbkD5vOhXhn+dzjQBBaTyWjZaDEKnhLhu81t5NSHgfjXFFMkhX2BX8RGnqN64V
bBsiIzSdcDB1YlIs2NKvGKGbf7D/IoErMvulz9t8CpOx6P/0cu3fBBcZsZFGeRPLEjY+Ep1wf0P/
IzPHwE21sc2mG7xM3VDTTEej5kWBXjtmjAVT0lKKnfPXwZTtK6ft8LnkNFxixvVULxliLdTEddFA
mBBimvu6p4t4u1qoUqkR2KCvRkXxKk6kMwRRVdnVty4voRfqDl9XYim2+KuZbEaD+M5wYkZcNRz7
xg9+2V5XP6QLEATja+T6qgowsVAbVmns9WUmADe9vk1A66ecBI3dK1x8Sq3hAsb/wlSF+Rmt6qRR
eCyocbWTa7SxR+l8CmcaU2nYKY0JgpXWV7wOmRv3diXzZLfIVaUxpBGy7WnM5GNJ/EWcSVB8y90V
f/JmIu4cFjFpu3608z/aKNojPBY6+SFV2VORWqsRlrOf3uQTSsuy6SjfdYlNgj+g8evCEaH/G8qm
NcoHZ3q68DVsi/2k1wfEB7DAHsn3wMd91kVF51/4hZXTCVdD4kQSW4OXzYEo2ZmTXFFJlJYxRnS1
VP/ZWMdchYZDaxc1tgY2hL+ZxmHQTO29uVI0w91KuJ+wKHKfpr5AtO4mYh2RI5bp13XS3UvWNX+b
cic/H45uA/Nd00bTgRvI6becDXWe8/QxgvMUuUfqzzz+wSu7R5tmxqs399Onzlf9Q+Pl6p48VD03
yrXmQ9cEDR0QYJUcTQE4GcVifWYkkd80h6lq9D/ttHZ3yZpU7r6sVj3dIyYX35NumsntKxOdaaA5
DvVV/Cqe2dEmMk9s0O71VJdBOGEHdZfjzfVCxSJljmuCIQ3dK6Xu1rKz/ShXi0uXc56q16KnUXJ0
lK5ElMh2ehONtf7EBS2nYsZ3RFtjCuRzlVIk5ygiXPx4Efxj46WVD8kMpwCvf25NQgIjNWOB/LK1
oP3dI+N+yxrjkvP0+x43oQfAPPIpjxMEt6jTdyWMdjZYNXWUKgrJe2PhA1KFP/5xmrKujnkb0BbY
EoRgvzL0gzCXauK4s41Eu2nmref18W2/05zAf2z368MlgRLwfk9/kIm/BarEvom6Im3uFvA7coIe
NbWiJ2FmzItqigC5paSfSNNZ7rRKPJmjomJMneS6xdUmXvqeop9Nev3xj3vXX/z72/hZiHkxFTjv
LypZ+1JQGIkWJ0drKTvc6evkQfqFusQebN/IyTfEpbYeJjAvSAzQ2OljAHkrzC5JGwLJecCJre+8
PwFmU5EjamxEEN7Gzpbq17jD7V0WUjSMZfq6YmmFoJPmPhLzQb/tU2vZjaqU1/6g0/koKD/XnZk8
f/xgzuZ+bm1hqAFkXDpQF2v1HJVQEEcVB0Ud4SMprvKiBXTxgn6vut48jnnW7TlM87gg9Lx2+fE7
0srxOteTl0CkQVySyD7QrEgpcVn6HX6bphWuws7oZvs+ZhRGewGW2eKW8+eLNgBoVYdnZJj06fNt
5sqYhxkxV7PW3r7OUyZYBTVv1nR/1qOeX3qf25Z9dj3Ye4iKDQTHdejsfY66RoHPUHXkOsl0XxCw
72rbbndAQt0R6s7Zt+OqP8yeid1C7tWx5eG8ycYp/iMEz5uiRc7G7KH1YPjfWaClG4tQHv2ryDHG
4TdO3QkatlnuXeruR6GkewFX2x7k2Y2DiQP5UQDm7u2zKJUxyU7WLdRUgpF5KK7dy2/Cnbzb2S6L
C7Hqvy4FZM2+gcMSL/WMg/ARKI/wtlQV07S2w9zUh6hMCA5DiSHMBWbk/f5MkcvhQTK6Ey+zc+LP
xnTIwuOvQe2GKNLvBO4mgg3h4w/rH7fEXmjQCOHhcW9nT09r8pyKYNZwoK1ObCql3efSkLeJMbpf
P77U+y/C4RDYLKtNRLPoZ06/iHZiPPLirwwEmMvpKuvK9agZApdKiyZ/aTVF/N+vt+1sSEyR7r67
XpHUSTNSWInGZHEO85jiAAJisNMD4X9ikiMTTT6+4PuoCrsz6Nstk4GWOWf9p8GYPaPnRK3QLZBa
m8ljYfrtHZ6z3qHsS2rVYzo8LgbeSqGQZXWBT/nHAwYvCeBbtlnYcGWnD7hJZGOTE4hI5NK5t+Yi
ZdBI212nlk6DwiLQ/fh+30H5totok2bAZvLGLXtnF5zTWs98phZERqw9rFfOt2ovDsnV+qe6xj1o
uTRo6R+HANfj3tAXMmtJPydt60JOoznKJoq/Hx9+PxyPh3AXXc1h/GUOL3zqf/PO023l5Frn+uQl
JSPTt2vd7J/2XOhwOPx5vPly4TLvP/LTq5wF4rSwhN5NXEX1LwrLGcpxFxblO93d35fEtqjDb8Fg
nwfL9aynPblKE7W7/lndttHyebpybqq9ioAtoj5WB1iMI23wNF4/a/vg9eNV8n6H2XBRTP3A0pHT
nvvsUbjoUDNjf2dTpgtVMvnHwMybfYeT/H9+mlwqQIbGAgG4c8+OniYZLa1rhxyRiJm+9JySHH/B
f6X52ZbxDrQZ98WMNzays6uYraCDyegFkqe8empT6TwsdkG3r8wuscTvidtN68LAEa5iYvOvb+vn
f/DE1Z2VvThtHpE3jNcKliTqJor9LYBGRWNGT79XQpvjArnDvsAAd4xzs3EvTNv41ysMMHk1Qc82
weP5r2g0dlleJOVoY9jRipuPdiG/Bl2mXzjM338PnOXo2FD0InzhUDq9X5RRRY0ZGYplLZ+P0Lcr
4r3LIPP74Nc1WJO4DiBJBQc/uwwYjG9OXs8MQA2pT9RPZv2lJb0zY21sxU9LmWJnjkv3tcZl2QDa
FPrrZi/1KESTPWapbd7SEcF6jkpID8tTbeiGQ+dpwKRsDrDbaodLmdQ/Hg3FSJICZPLIHM8fTY/f
zwKpsxXKeiqvm5DSq5v2wgvYtuzTbQ8/Bh6O4ZODIGY4e9WjHvTGQuOFRvbE7EJXel8ya+p35OHF
c2dargUMoPoLC+xf9+ZiA87ezmxlkrLT147prhZUmLJgKDU6x6D1mnjxEnHh3v71NZlIGlBSsEdw
kJzdXG5AktHpK6NC2oVJRlriN5babUGxAkeegOC8ycxdYqUC+VS9AiH7Ba5CQYOPy4V9+R/flMnw
DpcCDCOFOLdPb1nLy974CzsTOhaxb1JmBeJcDr7ZZfHHO/A/ni5eq9sbZQvmv7PV3iozD0SeIf11
VM/oPtPcuXhcXrihfxw0vMJNWmFCorDXn8V3KbOXgUVBxsTSdnGvueWPhXJYh2F9oB+p9ue7Ya2a
ndIShdV83sUT8iB0GE2Nv2Ln3RR+r+4G6PSogdPKcfRKGblWpZCXHUMjB9EN1/QBmrjV6jbGUvhS
QPOPd0J2yeFByZAg41zfaMGrKiMz8sjsPW8vO+BFIKsbGof/nYEHOWcqBvAOI1wNPrTT149od3Io
5bKxWysx/jrBeCFabj5ppIpfislOj+aadV/KbnWPEPu0LDUZXHCnfS9V4Vfgm+B628aOZ/LZB9G4
CniHefYYMpUuhlTQuXdOvdiUqJK+iTU/+9OpzAJxK/X/4+y8ety2ui78iwiwl1tRZTTdUz2+IWyP
zV4OO8+v/x7Od2NRgoS8QRAkCBKK5OEpe6/1rJ2iD/E35iDzc3THdBawaPxFeOsGrOeaWcbc1xI3
qIaKReyC3mC5R14yQhB16FInWRZvenWWCuYieRsn7VI6+4m5C2rGTKjF+zZzOw6faaAJDqXg+ann
GtMbLRP3mfNiT/SAm2w0dfBeQSNEF57hiTGDI1bFTQjAjD8Xoz4rW9TLAys0WA4kIICtb5tOoMlz
I/XC/h4bCnewmJ2/4lUdMu9owC+LaXSx0yiPEgWUIVKdlaX1ygDPkVJ1n2Qo19S+pDnfYEUEs5Cn
6Uuckj+ohob4VkSNh9bAWE/EGd7WXRHzocY5kRyFJpMXaeM8oW+WIRCFoJ92G5EMWbPDCAwrk2Rb
w7oOAcb81NNS+1nZ0vhVUsfKN0o76fc9gnmFZoBlYz4OaF7i+WpyqB9aCaAzIhL3dYrzGWVWlYa9
cshEeGwjbUh8rfOyexyu9neSi5wb8O4WIuxAHe9TAS7c712h3aM0D9s1+HXw904rqj+d3ZXlaiTW
Aq325DQ1SmEF1Bw4Tvulay3tvQ/H6rtBoVXMTtlqelIctwi2OvN+t3ZyoVy3Q0V3k5ksufa8aKIR
Q+/4KVND21zh4TfIGoiGugeCKhXroUxBjGxCs4UG14O6/11Rhb6m0Uc7V4STuIs4SQP0aWQVQN9z
G74mdwA7qkQqv3o+brqUdQ3F2eZBjkzQyxFh+Tj7UQHaXkHNz9LDhEAWBOQBwBAnfnBDgHWrZmqU
HLroMN139pQa24lABUi3qS3ilZeFyVsd5OG0pr9d/7TLHJ5GzRqXkGmJUYyAmYL/K2kJUl+zwatv
0V65yhpILNT+PChauMNKq8dbJTNpWjC6KoTUZtWPvju2st0BUECjiE5elmsNt8z14OXBtK4qt3+F
zoJuS6FgItbDmFT7zAqc/DYfewhWOS3mVUpB5pP2j5S+aNQYxlxrR3d9F9vlBmNAd5cJb9J3DSov
1HSjir4adav7J6KJxrvl1m4BS+rVxsw6j7FKdjcI2Kbv0V+OQs2g7yklqgizGk1oa6n7SZVoTK9r
fap138pQ9FhdNZEKQtiLtXGVQX5UY9iBcFT7IV7H1BXRIRTsr1cRZM1spY9IP9EruBQ/B8sLH9R2
MhjEJvBU/Itgm/xKpyG6KVU7+82MQl0BcnIBl3GYH3Vpa327U+KwzTdaqo/VVuJ6FJuuaoS4AgVX
QNSjgJz4NKyF3Ob2QFBFRzCWfSXpMNCJa7TKYORH6OAZiDnV2ag0bmSvmO1aqLBx61oL+mtLr9rO
V1I7czbdV+2+gDxXrSS0Q6zNojDpH9aZZ/kiClO5m/qxtvFtEhNz73bI6XceEu3kKs2DAaVMpTj6
Oq1jp9jLqkcpHPL5Eq9Vu8Nz6BAwccUqZTpQJePhtkSe/96zYP2MKO6D0mORRNOVe0Jdoy2ttI0S
2p1BdmoKaise9RAfRhx+xq1avAxlypnFaTSrvDWbgYmyVjsGC2Ecnrpxe7NDD14HwS9zmtq3xkl1
F/XL4PwRbNDo3PQNaasFMtfbQYtL9aN3qd2vNJXaMOaEwPtAExkgDuqTRwutzqvChv4pygfKE+qQ
WrMwFdKx4mYkTmdWq10nXQ4GNlXt8HPCXv+KxKJ8O78JO1EsIeEBPAMOcE7BeMEPVydkUpT0GvC1
fV8n6hPepbzym07TSuQyVmCueITR40Cf/EOJDPta6XE47zwzFJsKqwn7/lDGFxavrwX+cEGheoPV
Ed4cxXUqgIc/qozcrh6BXCEHacxXiMAFKhFLtW6AOJKz0eSm+XvosspA0AJgCwuWlnlkFw3oUDrV
yH9akTp9N23otf40RcXP8w/txM4Vtzwde3r3nAqXtQsLF7GVS2oHuCRcHxSufp8ravp5/irHSzim
vPnlEAbAfnx55iEwBxXhyFUUp13p4pboI0Q22/MXOdEIO7zK8lHTQR3iOQYgX/16Wu0//M23bxcu
celGFnuRunK6Opwvka6cVbb+g/5u8wcZ6eo53cZr7FcXtvzG8fs5vKd5R/ZPecJ2Q4gGLRcEO7WR
63Zd+dmdsQdFszbWxVbceffaTnlKr8araAugauvtyi3w7k25tTY4o1bF3XTlbhDfXBjYp36Ya1Kp
mWGKfHWLraAGsZS6PFucCt/ixhE9s7DhXTIEnnjeCKZw1DFEPcozi1eaNMgUI/BKlBGyem+1lrq1
gWY/NhURLuff7XFteWbyUcazaV7iy1886dQqOHmBxUG4XCLtCmt0HlVvl7+GQNrXOclJaEDk0LwI
pQ6HKysJlQsv+4SCxqHh7pk0OFUUJEurLL32ydF69PlaaiXFLXIWZJ5NQw8c7SUY4HXqAI4N3MCp
V2Jq2k9rDNxsU1SK1fptYvRAVIf6se8bOavI9algx9hWWMU1KXdgdo0c77GF/c0RQhE7Bbju3nYD
VwDLh8+/Fp2omgvP9YjmNaeAQFDCbEpNmUPQoppXSBl2uC7xm6Ypbta0TY27Imgg4E718Miuugr8
Pte9juP5VP0uGoY72MHKfFai0W7Rihnjxhg8V9lbBFE+RTbV95Ur5qSvAquFuTk/EE4UMQDeUUyl
5k7z2vXmof/PN0eVUXSjR1sjm7uusP7ks0umpU9Ye/rc9N2EOFfVfstUxj8iSgrbKe3JI//vv4Kz
Kw0dnZMPmMjF0O8qeDwhQBlKKYOn3DgdFS8/w2kYYQlg7+WTTjH9GNuSgN64kuOwySlW/Wxkkf66
8FOOi3kchyDHmJzCaOwvmYl9Bu0vRcvlW3Wb3OHWK1c6+NSbUDfH68SonL3mCnWTFvH02CbR+MqI
wOSjpcqDU8CBHwANbGhaTVecpNKtpwX2DlmMedfS4Lsw3OYZeLHeUgpnYsJDQUVmSVAAVq/pA2Ay
v08Nc2ZftHuULBg3J5m9mHp2qaIxD4bF9WiW04qaM2honS9eU9/hnMyDMfNtSkD3aH+rK9FO49WF
VzBPp0eXAe5HJRU64tG5VIow95Iwzsh8zCjuBGODzEYLLVLHxKjIENFkYxcrx26xpGVqX0xEyMTt
RyhV+8LMf/yE3VkZRHWPsz6/ZvE9SyeDyu1SwGw7r/sea6W7abJ2erOkZVyj94xfL9z7/AgP750T
MGWHL1UCeorFzEz+W2nUBbVkp/eUP1kDyYGZWvsmEs7WFJXNO8s2BEYDsyfQ2Ur2gesMM9c/hhM3
Kfmj1LLpCtwRJRUZOBcqq/qxLgCWEgf+uX9AX3LZs/a6AhGbQVWuqN0m2HLyRhfXpor6N3EHGW3y
2rN/2wZccs61bf1oYc74a6d5na4VTlX2ikCT8B5t1UB0YGDAK5FoYpn4y9lmRpdE/CTLM/xmysn5
VQ+2Om46/Mz/QycERTcTF6+VegsTNa/hn2lvSmpPDyOKmE1aonQ1iLTr76YyHFvgKo7xN56U5qnp
hvCtpm6Llr5W9Dtvqsvxwjp44n3r/BRv3sPTl1+WORsdpPc46dT+R8+6ajFu4edqzRvaFJfkQCcW
J5c2FgI3RAfzkqsf3rRuxBM+FqCNQNvtrTq67XUh7ezZctL4WQMz063YLIQ7loNulbpa85AZVnjT
aHZ15RR1v0ddUNynXuut0liUe0VJ5JXGuSv1z38Fx3OwO8uEobCyKDDBLfZbbYTwtAWK6U/GoH4Y
Y9NiSVTbmzIBreU0SoQ/t6/2pP+alxjCJz54tkTsflxDByuyXA87NTBqaZTICpy6n5jIoeNsUwRD
4Rwx4jxE2BzQlSeyRVXpCO9Xn/TDq6f2jbrp0WQT3qMUza3SuB3J054DPDXrJyS1dlhrxoX5/3g+
Bg/JkcugYcbGdDkfO01PoiaTpG+kbnZLASNc21o9/Q9vgwoo059labP+6HDYeILTedfjbnLnHM00
d3Dw0nH7HNmxPLaNGDkHB027KthUXuDznOB3sKrRHQVzAt6bxefw2jay+UwZCHMKPNhtFhygm8ZO
er/FzfUXMVIC9KIMxi2m5ukhI+EGVEFgiFeMEPYuzpvgm0hlfak0fOpnWSDN2d85c3V/KXcLda+m
i1mCTapcDIeDOoC+MIuAMkTqGej+9OSXWVt4h3JyavgB2kuXqum4Adbk7AORV5j6wuaSxP7EZGJp
fDZ0S1g/+IIOn5YyIsdKI+w+Munkc07tZUON0NqnrnlJPXHiUpyFIF3O4kdP+5pr/plA7UkzAKoE
jV96sCxqyA9rPY7Tu3KwL+06vrijh2sixgH3q6Dw1fZfzFtR0DWBiIj6GKvMnB5wG+Ybj55rso+0
sLrHVN5BxIwq/F9K2dLbqYktuhsaz3hPk5raTJnL6EUgP9ZWsdpFj4ZbhqjmHf7l2nSUHhNhIsW1
4yTTu4SYQA2FfY6FvSdXnXu3bw1729KC+oEETnsH1tK8Z7g83zRF+617lfrWar36o7aba9qg2Vb2
Iu030utjGCiFVOFICpOFpc1EuCsTp1G3Qdwa3xqPwClU+ioS8VbwAWDjJFp4hY0JWouSoaT1Caig
fdkredSvxsoL/mgDPssd2Tqjto3oxXXEQ0F7XJUF+YOrkoipkUo+ydlkCustpV4kc29xUOsCf1Q4
/hpsHt8qGcZ2RGfWy3drmjOYtByrF/95rLAYt7ZA3TQY499MZ0LZmYh/JgyqdvZihLZ96TQ6TyCL
94vCUycrgYYtLaTFYoxrHpuXSSWU5xnsKWKZa7P2hm2VWvoV/JMQa+TYXJjVTkhyPJRGNBchgJoq
CLDDjyUdxk42NXspb8KVZyHrv7Vw2z/KRLUpyo6OvW4whGKuUPqrgcbWmo5vt8vI4vpWq57cYgYw
9yFeLw5zqvBuC8p1F7afJ8p8X4J6B8Y1yZbakmJpWEGudNTQfQdL/4bc3HRNHTLZFDCDf8Sh098j
pHexkdBxMNiTPpRsAm+z3h53WhRgIzy/MH/BtBavCsgtiRJA09BVLF9VWg2qHkezp8MikWZNDa0v
1i7f3p9uqHBDCWFaLaHkqvE0YfF5mdwy1jeuVhD+0+B3+JmKEtoOfv/Yxh8Tw13xqjJ5ieJgkquO
PAX2tr3W3BlaD6UlqGpFWWsWgA4c1Bw9aXAag7U2RRd7V7j9HZscTFgJvht7xmcsB1yiMk2Th3qy
g99NS6b3NvTs6cE0dXFdxFFkcpwzlD9tiy77wubhxDimn4bqkSML7K9lFxZ3SggsRjS+KZVuLUqj
/aQIq63rnCD3hPYafazoki7xaCJ2KAIjOpn7lPztUnIZEGqYCCAmfp0p+T5wkuYakx/7l8q5tFc9
3kByAXqFc4OSMyDT/uEnw8JKI4XJxXcLIFSbYFTEJ60K7SUOouSHYnbsIK0QSDxpecMzFihyJ6i1
WneRLrXPWtf+2nWnrogwlS+WcKY/kd2032gJyPfz4/S4Ek15l40RdY15e4+E8fCXsu1vnaYSlW8o
6KF2krTOwe+GabC2piam+E5LQKitK60qwCHUMhigJYwDjU32bdT5wDlKv6SmP626JO7Kh7yvjEuH
qaO9psP5jgMuka4oSFhHD39kwRjk7Rk4picz/TlSofo7WTlmKy/Xg3fHkoB5ndGefodVkrz1xB1S
Q9cb9jggjFzTDzU8f37mZAJ/kzbk4Z5MJKTSQwcucQ+Lkr2793Uqa5GN77g/wCehWWEBA0+T9msg
Sm610c2MlpGrIO7ceUYpzQu71ONaNaRl3Bp42l3eBFKZw/s0nbZwhhSFUdPn5r5PNDothjC3buT0
VFgyd42dpd90hEsT3k7nwMODi3mP9vKFYXF0fJ1/CVIwvs251LyUfLYsnUZWsNJEXf7h0v5c6Vaz
i3TlOoxDbaf34xYZz96ZoGAKmdNIyy5NEl9T9sEU+vUbWOpQY6MqWL71gJmqbJz5N+jNcD+ECCqB
I+v2hx2SOLtqwlzzEYywdXBUWkwhfJlB1UhMQefwOAtK1k1UyD0xdc5VE0bqnWfSeQyold3Wg9Vt
4yIQEHnGcZcJqkIkBsM6GioVBkCabezSrLeIe8JNTvauT2FVbN0CmEKptiDLS1e/cQmHfTv/4I8n
KW6UMi+egll09rXM/bNbJOQraxvPYjvTeMGLVMd+05adswX6Kp7++6U42jLQAGtTolqcVsDgpHUb
Y8DozIEWc2aP26rFRI4fsbw6f6kvXvbhq+TcRb1lLltyZ1+r5T+31TrKFBKsxpJVSIC1YpjYqWF7
I1qw3+BpdtZs2YS5MjrhkkQZjZsxo0hCZvkMjCLNVXWEmuAwt3+oVdbtCc7Dej6U4p3sXtI/Xd6k
G2rmYx7lygOlbu0xpO0GOTuurkzRh9sxzbsMhEOh7g17EvuCYJFbMZXVJbHIUU2OhsG8qM27JeTg
yyO5NsHZpDCY+yQE23/UqMiKNdQm5TENEI9s0V/2yk4lgoQIZAw0EkdnD+1zyCp6X5whsBbDExSm
z2lPuxrbLoxWZHFa1XocTPWqIiMSeAhJsjnkksx609vK+H3+dR0tz9wCaTjULedPj+P94TRkeMzz
kUwhAiV9fK91wfhQdc6w96SeIkP1KInI+NKUc/qiYBEwCyOOWu4JyOJoY5OQJSS3Q/vIwa1YN0HY
rVsw0z9lOsoXs3WrC8rl420jt0rqFxtOtreYoRcnprgEmEjZrED9kJZXxB9oV1XNJh5vLbseInKJ
I+YvHCkUAIbTDMIZ1Dl1u9NqXKiJcqnCf1Sp+Oo3sR4ziCi6LU+mhgm5csjgcFox1xI09nekUKgX
PshT982Xb9NFI+x7bqQdvmJyLdKU7hVK9Kl2b5s4D18nfY7LBi+xb8nPXAdEL9+XwM0eJxNZJiyX
8dau+2YL7mn6OD/gTsx6/A5aeXgi6estcfudjIcBmBrBhXGXfBAfCvg6tIMfauixMzl/reNGzqxE
/edii73ZhJ2fYcYHGnrBuIli+xorzpY66gAqpSkoDscfvGHwSi4UhzzbXbj+PKQWcyG7LX6AQfvE
Iy7l8NEbWYoAFQAMlZrkI3EV7z2xRLQxocH4dc8CU8lkeJ9ocj6MdA+eao/SGEBJ46UZrOnC1urE
cGOyQuDOQWUecIuykVL3QiuMqCABFzVLaCvWFXHaF4fbqReM19Vjp8lBEhbA4T07poz0qPfQO3Ba
JD7IbZ50cmkBY6KCXPUFNIykZLhuyjwvdjgojZiQLX7WOKhNtGqMNOM/MEEUpYUaJpRk80xszr+Y
E4/iax1E8z+3VJZyhKhjXioc3ktoUaNrIaHe2Kmw9uevcuJJUMAGwQznXedvFnMrdqDJMWOCeSYX
DJPsY6LmsgTdt+1pFzZxp26InSSnHXNm8S+PoG7p0WT1mErIHvBuTAB2IayZQj6fvyNt3pUuBvT/
t8dNe7YILeXdVhhXZN2CAhoJCXkGI5yTOx4kLgmoqFaup2hA7JSPzdRvo1JGuLH7aCAjnW4DUVlR
/2x4Y1zsIG910UbpKvR1MnQnToKFqZsrewhaQG1RRdH2/C8/9YBQ+iHzQXxsHJlbSaMA/tZi3Col
Glm3Mb0bADeXErhOvHGqn5SEMRDgElsqzsuo1N02psSZaGEBSE5tNoZi5gJ5rtQufM7HLuvZLIKA
FQsonj972XaqLbhBEc1zRDsDBwUFaCt7rOKhyKGhZmRyPxnSkGu3KJ073SBmMS0LxQ9C03ugm6is
O7VnY1x77bcR0deFY/+pX4cNkSkeioBBLXSx2moVwb0Y2gqQonXQrei7qX9IfrZ/sYvX3LspUB17
nwA+uK8Swyw3bVb0T7bh0tt0+FQCOFAqUcWuM7JLMnTG3KpGfHxJcnFiXLg628M5xYMkgeXBowxj
aoZoJnyqF/W+07HvSuPSQn9cGqe5RJqPy6QId5vgqsM5kWQXD3loV/uFWoP270f4upXs1jrZgShq
Cfh2IILdJyVBzyXI3WwNKT76gLj7LjXFWCOtqi5tC46PfdgiCGnF9srY4ch9+JugrdYoWU3wS6Uz
fKvMdibZifQvKGi5NYepu0ILs1GS/E/LIXtjjl61GzSqzOc/zBMDhYaWye6EEF9OxMv1YsTG3WCp
EFBWbBUNNfH2dLSSx5qi8FMRShjgRT7tQlUlo1MkzsbOq8lXSKh7rlWBKR0xzMYWpdxrqSEubBqP
d6o0nSHdYNtFvWZai1EMINezqoJ3pigoXtumdO+gsHo3mTESgoTnbqdk5KCffyQnLsoLoXU1PxEq
Sotdg6yKvrE6eE1NIFmdgGfdwfBpd2IsJ18ESkFgMrCA8xc9Lv069Ph0DMqzSUFnZ344Hnqim3VI
fcIf67z5iBgzzyXSru9uNZj3MCKhY8CN837adgSWljKLrvmFBS4LxkyQvdlRG/1qoAHcazh4Z6WU
M310emG/n/+dx/UhZCjYymzEhDT3lm+kzLpGadUKzbmTt9uuNKMbUYMPHIrG+IFk/VLCzon6Hokc
eI3RhpGcxPs4fC4ChYVILC5o9siqWUfIEcw0U37HRhTmLOZ6/qsyk+lRU8LxfQKXNwOLzNxdBxVJ
8zEuAP2qZLOTbGpWtus6SNI/cCNzKEzJCH76/PM5XoLm1Q0JGSdSlc3AYrefYaZDrEKxXlPUga1u
GN2HLUWNzgXB9N8vRUQdRV2+T5Q2iyfTW+zgUaUyg4Ao2gBd9FaVm/SrCRbuhbs68UkwceIYoufJ
W7DnafyfokKUUshTVPoSTglKFHV66f6Shh5eK546QQ2Gmo3Y26jVSwiXE48T3Rrbt3lfZXPxwwuD
/8qAI6oAHbRabMKm99aFWaQrz+zDC9vFY/WfA+2VC817XtAH9vwQ/rlJt0iQ8JjztYK0cOHtjtGf
osZMOEeetu0qHQ3OzBCypbcdncAaNg4zkryqMhv6vqIAzVyx4SR11haeAgs3pxVp524U+hD0an0f
kmYImjvsxMYLdRGsFVirPyob3PaqRzvvkajAMeHCzHLi3dEQpkuOzhjD8NIzVAkPmUQeVH46WtEb
yZLdjcGCcGuRP/iEfERd5zJJvp0fm8frOnsiC1Uq21X6Z0uwmhtSyAMuBNpBlMGmogC6MpJBvbQH
M3glh/vhL9zCrI3DZUb4yOErG7VuSBvNw1weTzoehcn+Zo8Srz5uFLmK6cTuAXFa1KBN814pMb0i
pYEgUrFtwgiiuPvRk81FJc/xqCWMkI63xoiiwLL8XBQyMyaOkbWvRy7LZsKJY00Kg+UB1NCk5yfR
gI4/ItpVXZmh4Ww7rRNzIJLIMpiggROuiiZzfkRqnj7EQdOBmOyyC/XP45ncRMlGN4p2BKF0y16j
m5m0qioVYxFBDT/sLMIOUZrmerIB1K7azI5258fEiW0Yo4u1jYoXWh/HWSyszLnEDimEl+alMDbg
h2zw5QgnEiBxP9gJRwne4tol6NkU11Y2Dtu6IWyxH43wCQWrfUPb+aK4bZ4lD4cQJi6+DyozNh2r
5VefK4UGolgH6QWAqsIX6Tq/0ypKPiKrkn/KlF7v1jM7IGtphblk05dd90yJKi+3QeASspDRMMEB
CtryXalb4xNVdmOu3UZqqj9KRMIabYbfFx7l8e6RrhozIntnKiy8yMOBPwhEeGqtKjDuegJJ+iaj
lTRZ416nI7kxjcnErhiNW622h3vhOa217tXK+ISabG/P/5bjwW4ZNhIPCs5o76hjHv6UCmov+2t4
lU1Y/cTlrN14nfEbP1B7YTN4PKdwITSlLKoIxZCsHl5IiZw4Z3hxoXoIfE1LE9qodCfO386pq8zn
EROlFU3TIxO6HiSRaDnopE3EoOgLdzOWIKLPX+X4oTE3MubwE85T8tJTqfcl6A1bS/04Kmt/Vhpu
gWWG141ufZ6/0vH90BG3aVPxaOb+w+KpCc7EM52eENi0KG4oDFK+H5qLcKYTN8RWhPY7OwQ27O78
M/5ZPFsCuwxNBPhsh9S7i6tx+BNSeV7XDRCagaH5HmZtssJrSy5xJxHUa12/BtAq/LCo6WsCRLzJ
whh0fNo5F5b24x/H2UFj48pZglPgMviLaVoLgizDVGqKzyDNdMhojfGUuGn74/zTPtFXnMscrLS0
8yy+0MWHaQBsZApJlRWRWy2fn9TSVaLpzTWizmQzJCOZ9ApLho+MVF8HdtS8dE0dvrFv1f8zagKQ
wuzEcpEJzzK5xTtJCkoDA+0gljuUDaYqx72th+nVhVs+bsN4sHgsJk9GDy6mxS2HSjcFqSBgrNDr
9NVj7V/FLq0Y6MzoU0w1ofoAVT9t++7TaMphDfum/3X+Rxy/YRTPnJ34A7c55LvD4Yc9GR8jayRG
BjveRhMnQwoXHRh/cempnljGZjYPWcRsuYmSXRpVSOdjzs3JJ3SjksQgq8zmMlqctdoNESoFPN/I
sv5mpXTiFcUq826a2A/4gWoijDLJoIUGqPY0PmTjJo5//kGc+nWkkbLTA6/HAXbp8JfZAPuMlEWk
Vi78yB5A207H0/vS4rF/gfxeXydqr8Z+aGCwQe4S7kB5P7mFizdk4vxAtoskVfT8zzqehSj98VHo
s0YbINDi/ZBNkUVKm+Z+M3YZujUz39sQu//rUjSrDHG6UGTkxIiU6nAUaGPSqpxQC58OlPKryuLy
hoa5pKlvqRcKbEc3xKXogboqLiGutxwEIEvNqkBD5HsDoYV9YoQ7juj/ua4MzdfCkcRaj6mSfzi8
oSJQwGkO8N5xHlRXiJfAe9eusz7/cubHcrAFotxOIYpyFF8wCtLFBxxnjhwDoIh+5hbjq0hj49UA
I/vmGI26R99sr0Jbra9GCO4g72T5398aJeE585JvWOVHHN5kHPReWdgcrZCkzIVUr9hVbkeGTEnW
0/k7PToL8b7cWTQ8N/znT/jwUojI2PQ3gEh0vYTela8KXSPF6jpia2607oVBf/wtzrSXWdP/pU4D
pnR4uQbAjFf1M2rGtYt9zuq8Efbg0uGU9lpPk36Xis70SdOrtvjZOCO5CB40mr8r1s14A827fzr/
BCjtH79tfhTtA2QCdKGWK5Q7sPC4gigTygTEXQwd7GafSp6K+KXQB8+30pHoizE3wgd+ANl7E3Ly
n1lNiW7llob5GYdoEHeRFQ4/ZWtMN3Swu52AnKL7uWbr6PTzgmUvrKwJ0EDTlRJxkCdbFogMEakM
te4J0YXd4lYRqvVs221nrjA6IBGjDktoWKRN9UsUgGH2zXAAcBG0A8Bkpx6m/JpNKLLQgknYx/kN
5UUNFWKg24G0m03Rmmm8juxSv28UL0jgjvTNTQfICnJ/Ebl/8mjqr+xqzBQymhIJwx8dK8bs3q7v
aVq5CXDsgVhGr+6MyEdIoPxMnHi48SKkfZjuY4MxGoYEdneDo/wogW2/h06gE+VXT987pzE+w6RU
flRqbBXEpltRuer01PFYCzrlnnxehXR3c6gAT7NLErf9jCBaV30LjxhJFmTnVJWwlVDZJMpeqlG8
G02oSLs8tCO5EnoFZc8tK8ACRN+pa6XRvR85MQncIMa07xWRu+ZK7VQyuJQJx9hDG5lMVBq4bWSA
+UiaU5dNtr3pLEFEVpZIoKPANXlNIxW/ZEsDuvro8zLXYbU3En5am4wvKIV1c+2Mav1aF0NerDuv
JWcFtW/trErE72KNUYgWh6VNEKUaz1Gr1TBV3ZsklfEFiDv9qKQSbbHNGCUhEsRqLDce0Y/ltaxm
d10li5z+Q8fiRrQCxfx1Dya2XzHKbGtNhil9vLq2CecaiwriHydofVzbszUOa6bMPhPZjHzY4Pj1
VTgSyGNopVesQs8iHAnxVvfWeblUQVT37DSpPackDo9D+UmhsxufPbUTbyl0MNSECLAYIZxEb2kI
qJrfag0q7phNVIQWy+gf1RZyt19ETj0b82k/oCGMqjlwPQVYwfcUrcJgcF6hiSSlb0See1/Jur81
eJr875xwzsIzelNuJIZKMngF5la/zOZsBQaiM6v8UnczlaU1rigMMw2fnwqOlzAWS7ZLTPyzfma5
bwvkmNRJSmXVC8H9q2rLMuMh9T5/lePC9uzOQmPBtwM3kjPI4SSoV44T6+WcBTPEcG3HKH3OBt0m
tgBBahCZ2RWFAe+bNhpgoQsLm4uutBEA4sp6dLQseR07QZgSJTnvxcg8mx52PVz4kccrIBaFGSpL
Ecmiwqkf/kaTDqrsMs4imsCH5MczlthDq3kr4tj8JkdrekU1BB+GvMhVTul9f/4hHb8KpHec4vFv
YM2kJnN4fURbEimFCZVYrdyHssjG56ZRvQt3eXI9cllrOaDY87ZisdBT6NFzNUpyXxno8gxyG5ge
sc/qixVaW6ew3hBP3SauhG9FGO1k0joWofpQ5/2Fwt3Rdh1SF2nEWMxo0nKeXyyMml657aDj0QqM
KfjlkZ6xLkrZ3AibIKj/+mj5+CjGucCuWPq9RV9lMMWQsQufIx4qZ1cZWfC3apz/nPFAA3M+YHIC
wfuK4ODwBZreZDkNzTMiRtt0O5ih+RLHTXihAnLisbETpPxBawqF37L9D6yezKSKKlUd9CmhJrXc
kgM34/qdC+fY4wGJrn/GRaCOBDC7JEDWBuoFh+hx33LZqqSxM22DCvnx+XdzrI3ijdCjRq8yb5Oo
Ch4+ts5qoiaJyav3IKwQK1VQvfKlmkp30wXsilYYFAcyiThFkSGWTMN7ZiVVQsSUgQo6qES374wu
6y98KCfunmMKzVnor1S2vg75/xQzmkhkJjx8ACp1YW+wXLqbVINrdP7uT1yFiqM7cznYkCLVObz5
VBcN0Z1UiZ1MI3DO64Z7Ncu0C8/4xJihw04JnsoZZ6OlvNjqUrsfEm0GsIEbHJKm2lJhxp1WO5cO
ecfFj9l3T4mXXsMsMFsKMqugLFk2BQcJp1cfI3Jl3hLpTa9dbEVXOpEDj12npd/CIIzBmuv2u9mn
1ovoOSiff7RfusnDIw2/xGBSpYPrMUgWE3pUgS8OYoQyNriw+HoKpPo9Srv2FwLFGD0aNvhmNYih
cG8AfRlv2iCS6Lq34ynzc7c1nwN6M69aWhIPWKT4AzK97PZT64zRJoNW+ht7NsJRnfruTeZNVbOV
clA/03YYDTA2IRX8pMrzv24w1Pq6DEtqibEp7dfz93n8cnVaLHRa0C/OfNLFbbaJPVYaKiAfmG+y
ptRogh1M9O9YJt0LlzpeIuf6rkn3ElsKmsmFrsyieoyZB/TzZBixfi3Vrts4wmzCVZWU5r3IibDe
lGS2fqcqUSEDHyxxiTh/fHyDncmigfJmrjctf4NdiwkaCyFEIxHVb0VCaAnJ8c3WcITxQ4/ScWsG
In07/4yPz0vMBBg2eKMUuY90e8SYNIwl0LCubNCJBoNlvYPrsu6aIJaspOklp/ExA282zjDt8ELp
knjLxm7KIUPNTEwTaaqJ59yVhClrMicOTYRuZ+yn0Ahr8twM5SnSPTyBblplz45XdESXtVn0GA8B
x4uyUkB2aai8nlPiWNZGi7EAeQFM3T39JvG7bIr6KZJDSQvQiuIPkp084KeEiTw2eJvJgyxoXxGb
pXTIxZUk21Rhmaa3Y5DayorYSIEbqquIfBGukmtr20Qts+bcY/5VnKkprhJyo01UIw00XVETaBrL
dPpe/x9lZ7YcN5J06Vdpq3v0j30Z+7svcuUupSixqusGRqpU2BFYAgEgnn6+YGZPFykzafpCRhOX
TCQQEe5+/Pg51hDlhnqZTldLRpTctJxbPxsL+25rIMPOxqf5CFWCWsP8/C9n+BBgXorRIa5kehzv
AMwmJhMwWvYZStj9eIV810ICt3hNLRjwYR++77BmTFXFdqEmgO2ovq9chuOMANdwhV9Bf0WJmzEt
EbkPqaiQ/vvxe38XRHhvY6PBAQBsyr+3H5PRLitjYhJxFDomN7AP+i1/4F2/vsv/fF3+T/ZNfDyf
nOM//5f/fxUdys5ZLt/9958fum/toxy+fZP3z93/mj/9f7/69g//eV98xWdU/Cnf/9abP+L1L++/
e5bPb/5DlV7I9TR9G9ZP38aplq9vwJWa3/z//eHfvr2+yue1+/aPXzCcaKV5tawQ7S+XH13/8Y9f
jHrG//z15S8/e3hu+LPtc/v8x/P73//2PMp//GIF7t9JwsgsSfwI4+RLv/xt/vb6I/L4X/7WUnPn
//gl9v7OaAIizGRuJIf07H752ygm8yPf+TvpPokcx4v5QfDLv6/kzSP5zyP6Wzs1H0XRyvEfv4Rv
e4JI1FBARA5BnqBHDfF+LrPhsXbspOxXJ0QeAjKIHlVo7xGzjSNYx6idZdAUpjntX6yF0ROf5pNb
t8uh6uDAPakinIWLIGAR9xIpWidtwTikm+K1m/UYka/XypJZMiC+qIMGjz85xYlxEkdN2L0Km2oc
iyMEvD5CprJuZq/bEgiFjZ8llIc+29P2rrmujMYY15VZuAZjKp2VHh7gSY/znrpplhTTnD1qEXZ0
8mCdxNG2Wh0V/TGIyhFfMM0xV9datnlB7G5t3nrBvM5ICIay5teDgL3nXlljlUaPlldF47iL+lTa
zi18TLbosUot4QcH09Tomvus7cruD9yZIRMctJzFEuHON6VY9fXIyfD6fV9YSt3FC0KT63UlZcr/
/FKUvFsPWMDH7jvH5hKGvl9861gvWGz123CyzfUXE5YaCZ5pbtC//GU1XtbAX5/526BsHjlxgkIO
IbDXlui7+D9UEuPuch6esN5esuiaCiXV841dzgrAhN4fcjR7N+PUna8FOFynsSKsZlleOcyShz9r
Bb09CKnkSDSZPTJ+HsDi0ArfHkYVAFET9n332I2z178QbggXnIKRy8CNRPLUavZMXCTcPs8bgjlH
SLExT/DHd+XdZdD1Yiw5pkEOD5g5y+TdXSHZlG6yLOkXSmhGPbdLaWNJtnPCGaxvjySweWJqzlE6
P1lu3YXqbjEaRcVPUu933DUeD7IHDLwgpU8P1gSJt/cDU5iinKg2v0SiEkHzoIaxVeVxGKoi9E9I
BBQp2PrEtqj1xq10j9ir1SuHFV6ssT9TdGlGxtaDmldsunfN1KHl+CEq1epZH5qlVvELE71TVt0v
IvWq+7ipnPD047v5Nv/hQ6DbQFwzBRFnFTYtbz8EXA6/l0G3fll4inlAS5zEo9n70yyS9Zh7Y++p
mwSBEQH09uO3Jpflxf+Tx/PmZjCRCtRMSLp0Kd6tKAjV/pRrL/sSNiFtxs84wVdRTwOJkebimHqM
E6qbqFBmK/qYx6J5bluwxPp7TN7G1nvoXM0AwyYvGIrL9gofPlxop1GgNLddMisf5G7InahMPogJ
YCc4hhNAE8bKKhe8pkk5gb1h7UQejppKq+RfKQDf0n2CiV9ymPj5UDMskQST5ScHr2Z74S7alUTm
w+qKwJwf41hzmSvqcrxy4nUTx9+qhokrasbYHA4Wiil8wa065OGDVPn8JpKNFZBtEaGTGm0pds0R
wwzZys/Isc2rqB7MV93YsmTOnPb2aM63pcsbvhm3bWY+3tKaz1zC0ehfFjH2/JkvENHIv6ZFzfzx
Lfpu6dwh64qS4AtnOW7HhxYdMy5PMxPidrvUaC7s0F208xUiOCLoXrWRTBJ3BdnoDKh1Kjv03otj
20WZSk9dNdHSeRbnc7rG65SHByWkXkCWHSM6sTd+ji6pdBWDh97VpWvOijJ1cSocNtpiN3DO44TI
r85dba469tOOz4UOl7LwwWOyPdoCgZvr7DFTsB4xp2Wt7mBTZAxMm7GXxjmsNYMtiGxMYU2Xp7VR
7rD35wPKuFbzmC4vlZmkJPyAiIBZTYvM8JZvGnuc931WjQqf+qJepPsZITjzcAvob2X9q1RzHFeb
KpqdMr2p8tass1lOSTjdujYoZn5qUzfjlv54b7wW7m+3BrwfUj8j5x6wOd5tjTxM7VHrWD4J/Bc1
UJrWSd9uL2ee1Q8LtyxUODfSkW5Lhy8ons5c3eVXPBCqHkHnspHWCUkZkzN4wh14inKm1fKohpQZ
gN1UDxzhxwQBGe5LByMyPAZNmY0YvFYc4/5j6SxBgRkg1gqdCB4lvplSf7KXEoYhosnBEt5hTr7a
cPICt+sNA/Ecx11vDNBnsaOMNzj/h6rerG88yc1qd9TqDM4DXo7mzA58ZTE7hiSGYh0Ma9CP1sfO
EbWNilc7KiHzXy9B11nclb+3GFOfkm0PT3U2wiVry/MgSpd8VkxbslTijoCWrn1oy3xyo7tsiofx
qx1YMxvXQarfxCoMIjsL8RMJQfQmqHzkBPZN4+h2OTZID6DEUjmp2Y4BGBndmR8/6bdVr4mqdA7t
V3q+sTJ8/6CXYGZSx+3dR5piDI4w07PoDFPgiiyQuNqmDLV51y4uz3N3HFabWajPP76CdwGVK2Cp
AYZx76lTCO9vQ4AeBieYdY9IsmirKPiVFiKQ+AGuV8NTqSKvwts5Dwc5uluIynVfbqKo8dafWvq9
pZpAigfBMPNcjK2CYiMo9/ZCusZH6R6qzGMUal/YCI2rtcLMoGWbutsyiMxiSX2/KQsjXmYuJHbK
3AluPWS7iE9oediF/1/GeaYmEsI7/WtAPPf7zFsXwE3FWgxfAunOLAMaauYLDYV0TO5lp4LuE2Eo
FkQuiRTn/BXLdCTbj3Ri59z6utJLKpv7xFlofR3dWShms1G6RmJnj58c3bcNUzylH91bcRliQkCH
cSx+Ai6/i/NUMYyLw7QGRWIiD6jn7b0tQceGPPRGlhkG782AfAPS3GjuUFq58Z+hLJuxui39JYqy
n7QDvltfvDEpBswdFvj3Yx70B4dKVLp7zK0i7NqP7NKIc1ylicWXy6732mlYxbWXK7U+pakT1D+b
nSd1fptugMNCLeQhMhls6O7v78Fcx2Ks6Nk/ihwrW+cByMQ8yNxQqeKrWkrO0WMMVs03L9lD0yDM
oO5yfKRnmy4VsEx5cFC84qxEg5CkrJgKkuFcBuYk9rvg9TOdXxgD7zgfr+d6TUcG0/MlGOJN3ndo
C30uLEtM5QeJlr6w9nZUQSS8jv3cr8Jbt1Umws+pH/YvARa+hJcBj3Nr2NWunxXDJ5iRZm/C753K
9YYKqVbFprNSsr1Dmdsul1KcyzGZDI3JQMJ55puXc7dU5Owv46BNdoFgR1+OdyqgRZceK8c2p7Xj
Fhk9T0aKQOwOLpK34gsS/AOHO07Ffv9yCT3CHoBNu03QV5KfVW3dcLEI61Jq3WptysSDjRVq6vyK
7WxdPbQpGpb4cNdY0TGsBS2CYBt4kprmbugaPRT4DqepXRwQ4oU7ssEGEaPenQ95hemHuMZDQKI2
hgvAF+6LIMTpwjzsA/VkxSVo7OK5BHFOFuahcSGvFlpG+YoCLuyp/qBdyQY7zsI3gaJD5oRLKSYN
2nhfx4GmDAxjvG2mW2CmnF9xz6Wqxe7iNy9/4FAMsVBagh3FJMmSucF0vNCRP5J2FyRnTY5GwaOS
/uDVO7jQOIgxFR+alKadidMkgd2S8MU9r6ixDU2GI5cQmaMTLUkT5J0gJTDsicQmSDroxPB2/pK7
w3DQBfcqP3hNu2aAT23jM5T9G6Js1ZrdTpMo0Nd36zJK+z2SMiQCtkwCXR1GxXD8n30avabNjly5
R1YpRDmjS1altgdtU0mqGCtrWeOhVzDDDXvjdWtoGWrCp9SV10l7k+aNiq27RmdDEcILGdfeVrvC
KjFfaUjEXbXBw9lLxpNfS71EN0OSmISJoVQdZVdN3NaCOWGjXeYHTxZERtXfWCWnoLOpW7skux2W
0bOnQzrCw0bZHWu77gEPhyVZH9kxmuH6XYP5c5If7TosTN7o+r0udlZKDdlcO+f9ZEdScj+brGsC
tSuVJ/ic5EeeG+7Wwqt4oygbTIZ+KSsuz9sJc5OXtOc8BjKQeZVLELAgNJFDJNFqcUvOuet/GZ3p
uphuhxEOAxh/XyP1de/MfivyT+ekFsSAnMrjEy2nYF4UgdEP55xr960qp4ATkWJv//gavgsekO4I
G/QmjUnMd3I6PXarJbP+6mS7U72ccluE1f2KOrR+slqPIuPQYudGgv/jt33tKP0lCWZUlelJZJqZ
qaILQk/7bdCKO21bzE9mjwzDar2+jHne5v5OUWf38ksDrAxkH4FewcitxYS00scyy1HyhPaScb8O
CpYUJY10UTAbtw0257N/7WcWQjdHVrFXPlPRmbMA4QTZiQ+J8geeo2d3TsLBPRQBgdvL0iqGM6Ij
q3ZPoavj4pG5KLNTg8paQV3SdvLHQzpMrslmZ2peKEfndCVT+UIOc7ksvFASo05SOuZEqC0rGYbH
eLVct8JNY+pFvXPasbTXzdAmI7yeTUoqzVhmqWPNqJJVMOOa/iQ+v5OuIiugzQQmB7jNKA80xHcY
QLLYzVT4Xn5C75yhMxoOeWCuEnnB+HeOshIDYhctieFLqUZqvm2brUv5laxpImRf8sQUs2vdbREv
rUvU83Hj6GdUGiOzn368LF4f+5tlwRqkEckcnun/oWj0dlmUYTMHRSLpbhQphOSj0yR4kIGEMb1l
7Wd/mfPxHu+90XBwnLyPxJ4julqDW+Q6pdZfktxiqvFq7jSHALJEdRR3ByebKSSu4Oh7XDLCEg7P
jWCXynJrOXWvPmXwrVhwCCPn5Xx0O3+onEOWR7j2bF1Kb6c+FkS0ztvVXurl9k9qwldx7b9+bsaW
DJcHVQWo3YYN/fZzO2E/z1lYT58SRHSd4blc/IFssxjGiWPAEw5vunFiw/k7IhbumnUn6NoMu4Jj
OP4slwz63BZUzSAHjj2yf2lj2vyCgKwWlTt7TXvJ2AIkLZLT8vzCvpWX5XAjJ2fx531iDWyOTYjj
ue5vTVsaKmMuM8DA6zBNVhZOo+AzBbeog5skxfGsqvC/YZEXLsGtowuuJOu6JcdjrQDymm+YUkZM
ZA9JDYv5jYPFc59u8cpwoAxu+tROpuK0dJjRdVcgLomyYLNAB2QkbEwmJ0ZjhjRkqtrNsq7mKXcy
1a+fHVUm+8CR3oQ/02N9X7VRkNN8Qncf+gnM9PdofDmiKJKuU3Ly/EKp7jcQlmo56dzLOIJNKktQ
z0tlttGCjDtX8+M98P5ENuofLAGwAVMzflc1ip4QzBBafOJwqPVTcA4Bq1dHLAFM4BXvSBlBqPiv
39czVA4j/844wHvwNejmsJh97Z9w6OJ9/W408P7sCrPNx8XjGIxqSBc/xQrfQYVoANL9MBP+8JoM
7PquSK3zol2GWeuTorU68Bll39AqvlQxxK3cFTeiYfLbQrdxWKCX9aj/NMVmKPO1gXrXo441XDM2
1Tvrxh1Jj38D8sGWZ9r/+B69g+05TimisZjgauHEgVS/3aYjAlvx0jYB3j3rwsYMi9w8lYW5Lf6H
ZizxuZh7XBOhJeKWdbTp2BHAK9dLgYF/fDHfLRS6+XGMTI9ZJRDZ312MycakoKVxQmy7YG3ak29y
WC8YI95rxM56OUGJLfTTj9/3ndexCSrQpSg6ERFlqX5XzCOol4Es+OxcFKnlNVOqBl5u26VPIWjL
wMCjWogJDzNS/FxUcARfU9ts9MwBjHZSStY1x6upXwKn0Fz2BXFsuj5c8bx0FgP0umrNULpwMiYb
NBTWRpCf+QKjpOLPH3+oV+maNyewZ0S6zbN1TFr2fvkn/prrAP3t0wVxRkk0CT9MTr/G+b6IdNh1
VwqwVre7Fn+zKrsqWnfEoiy0a5OWZCOslGQjB3TDrI2iPKwFcRY47pPu/Ci1tqDOoWdtbTnSV9l4
CEO41QEhYZv5JujtQTVdRxJdPe/oS4sa44sypAZrf87J3Bn7JmoZn5lUigtAq9cvdGoQHdDQBsFe
o7HMFtTH0H/zjqFV+AFcK2ZVVbuvqxyy2M3UM8j5qIWsfflyeRx6VQZx09NqHtwIC9mjSvQdgflj
mNVOPRzUGXcHQWxYzResvF5yQspuohcnYkrUjjP6rvaEub4+CYN1PlJOxw1aDB2i0a11nTV2JxyK
jYWiYxspp8iHzY+f43enN+1YJusBriGDfr82wyDPNMZ18qRapN7drRYgyy91niYmcesKcw8hp6by
mmmC4KeH2fdvbzYFI++QUYmP8bs4Tu5SlLQxutMFqvXd1ua8rqY45P1RNADK94PK4yqwx+Oh/+Tj
v+NPsTeZlfMQKTUdRrgF7xOJXPpl6ehefczCzBSvjOgOBgNmeL2ctgGWPEuy43I0JXAPssMDdLXP
GtkjEC2o3S4lMI6aBhedSBj5JhRC06Zozz2PS9W0ioS1lI7BYEcb2WZqKjcWiq2862VlNX5tejhD
NskmuFoj1TZqk9gSK8SddNYIdjBQAKcGygRFiyzhT07I745rxnzgBiM/Ytr03wkeLzXSHGPXTR8v
RxRVn88jvyTuHqhA/1KtzDddh2HrsVrWMG+X09wMP62z3rJa/BhVAlhICJYa1iA8rHdBLnWWOshQ
Hv7ctNLKAmS5G95jrqaao5phWHn9433wTsKNN2QEFgINsqB0AY2v29tQNVtBmIl0yj7jDligherY
dB+xDl4BCUnBRJ6o59lHmXwjR5n29Po56+BlMcPAoYWtEQ2pn23O76o++oLcApNf0fv4PmSNC3Yn
SHrkn7MkMyfJ6iE9Ux4qeoSkk+eEZ6YJtpxwP+CeNAtzY4C/r3GGsOZX90G+zibyAgVxG0ONFNv9
WFjm6Z0PyibzGv2EdLFbdkfNcK37qZ9TuvzbsW5MO/mc0PXkouzCEd/K5XTp2xXeaJZ52DQsiZrh
87LZ5KNaYTkwnZj1my6y0wjGZyvtdZtZURfsRmaf2dp9VEyUl+1U4G16pWbGGoGThsTkh47fOFxe
PFmmpmcCwuy6Hz/u97kAm56mObwHhN3RBXgvxzRhHmMn9EEeLwV8M0RSHURhq/QAArCW5Sbo2N4/
e1+aCayj/8RNpnQ45shYoTFx8sCHeXfi2bPAmzxW7kEGubbiTVRmrW8sFhKnp88kKSV6EOkiCYet
npMlzfaQcnLxwT03ekKP2sW9KqLBsV6cCUAHADuLAdcufatLS1YJagmFORdey/mO7ibbFsUzLYb7
IYvm1d42EYLcJfHVNp3mdq6nCOwAVKx+qGdoPfQQKULWxpA9qOQht3imdeurDkXBDY5eg9tuGDgC
mb3gh6Lu2t7azm2iHXXsgN4wkszLMejuBfJSVYMRmDu6GM/qWog9este9FTpNCAYR741jdU+VUj3
+7e9m+rcPiLblaQPs02LK9vpOu8whm2DqhDlsV6TNkVJmghBuh0k1jzsqlQxVPWwDiNdY9KmQrN+
QI01s8CrgpGwXtsje2TZeXNaWNW+EtKAasE4xov167oCM4rt6A1QJzaChMT67M+4pNBXFMmw1ocK
nMyNjkUcIIWyn9HbQ4sGgHets32hxtF6jGfJOdWUkwlZqW0l0Vdgubw8ZnU6QyPMq5ZNvBt6CLTx
Rp875QXjy5z7c7BYJRmhtZLC7tQyRn22Ze4sx7wcyCEvvWukDNdp+JwBc5Xejd0nFJEnLcoSw1q7
FJE9Qguauup5ypE5fEHm0Y2vYS46SMAz7VZPOTPS2LpF2LO9ttfl6yFRxDmSRvuhSqe1ulNxZ2DW
M7p94RwwL2PqGotHyskje+TIX5QWJhGSVWcAQzURqEbyGnSQmw343aD+OHc6s7JleeZROBNEw5Xu
yLCbPaFo4qFVWf4s3ab8ervHiOTGfYbmGbgII7Lvgwdbu0VipwuulcgLT23qLsnQuWcwDOYgs1R5
eoVQGbIuOJwxg4KfCPUyaiRXcw1XYbc4DNHdCskpuOuAUe9mEDEg88nJPtf1BHyGNGE237tRM47b
nFmFG5t7gP0MfF4/q25iFLRqUTG1J0d7Nw38LD9iRmKJD2UF/HZjdaDjxwmAhBE+UajndKzW8uAF
xdzsaxdJPcqlQux7UOV6O+iYxLQToTtfh5291Afhpcxo9WkWyW0hlyjzd46sFhQpsB9+gJMaqY0d
ZKy3qcnn3Yz9MKOJedztwEVFcpMFaozB3trojuKiTfYzMETMh62ix7qdnPtp8NW8pcXj/s44a3FT
L8GI+9sUlQ9Dk0w7o/L8tDRLxrQ7VsV53j9Zjls91L61OIyx+YUc0euy00bRFshhDtz1hCs33i2B
rwuUYTzUv+w7MC3rj0Rl3pHubrNb01zvu47FGgVjfMVndcBCKFo3grbL5xAwYzMiUgKgn+g7qVM/
wzc5Wr9AI9YH2fto6yK9Pn5QRd99TL1uuM+qTB+qVQafZGx5xzSxxR4TY9PHDYL2lmSqPdp+vu4c
3dUG0onuQSizqw7GwWe7C4J/rW6cf8FjZzit1pDeZbQpruvRjCFO/ejvRCEcgLBZ78Ol9Al9ulyu
bU9OOCYVywdUEpy9nodyX5W+S3tDdXioRc76RxfP1SNjsfPHxrflDRVf/jBHKOFsrKHs93Uz6Ft7
rZNH0Pn6xsnS4GPsaiZNS+gWmyqr41t7Kv0vdTANX5jiLI/wUqytCob0KhhgQzM8GDJsbDWWv4HC
6F+hLNY+dnJuxRZ4nz7RqqznzC3EXSJw/mS2TT46Veju5m7wjnMkXAQdUXCctdLfqiEVL1nITDGd
FmsnVDVsRp06Lw6dlqtIrNWVVwTrB81U232YjR0mGEpd53MpN16q11ts0mJGzgbhf4RKFC97iEgt
7+Kkewt84LbrfAyE4niIDjG6ZX/G1fKUhGJ6cQhvx2Ytcb6iINyMErXHpqjszz4H8B7BvPhDkEXR
lacLQRtj5ANkTRh8jqk7SbFnCOg7EYv2eWrKABHYvhR3LM1iq5JuZp8gZ4pLZcKWiSvnDu50+LwU
vnXTuzjVptSP1wHHyUmIot8QM9snsB29EVqVz3lb4QA1u+3ysQ+Yo0m71CH5oWW0mWflMdw61+0L
Bypyxy5f8KHG+H0LQ8f1NisjJL+tVjQdAt2V19XUTZwZqGSfaGXKE3R1b6NhOh0n4PBNvHjtYzgX
vbtJG+HAxrcQPZ0QsF+6RR3qDDU9B7X/B4QDvb01NyrapSqyi01WzdkeeONpLukbLpP4Nafvdw3z
9asavaewbphBnxgqsKaIqaTE7Q9VGHXWtSP7KrlL/LS54oPVHuNIc/dARpEnh5raSO363iUk51Yp
802cdhyvrQ+31nVK+xn3kGU7JwFUYr+z/mVBVs033VD4uAdiH/5HqNvgqswt/1botf89aYR1U5VS
sbn85T7zvflmKkYo5m0YNJiOxf2/ZmLHrbMG4RfaWf2pSXvb37V5JQ/hOodProPqwy5FW+wGIaAI
Vi9J4DcrZxQaJLKT4ADMHjr7PBiL+37xJsD5dEQduQqidpNESZrHv/nNHKOONKw0EbnDNzDx3J0t
Znmd63D8JGj27Ce3zIuDYoLjU4ZPDr68cZPygQRnCRSST6Tt1smhV/RNYAd5qJLCu4PlUCKf4Ur7
Br0QtGG9qfkMcB5slkXHz/jxZV+qzEaBR8At1mjP+d2jk5TBoVwcaJPYCNXHTMTF7z7Z/xXy9/mL
P3rjtZ/KCORkzrdTqF1s1BkoY2vWc8OUSNLfFG7R7gC3gev9Kt0hX1/8EXfGvXGJ49PA4DBtJD+7
qmO94Ps5yj24Z3bbaNXd9sX6wIV/Lcew+dprpqtDrKt3ovI4u3tP7rEPKfiroEtuKl8mD0VkzNuL
YDh4PcJwm2Auul0ZWMGd3y3hJurs38HgsNirFvw1ak8eZ1w64S+xd3fF0NW/ad/NIecF2BM2lUyu
Ol8Nn0N6KXQwqqp4sDLL3RKExad2WJhwTyx9bXOaHed1Ta983psBIeUzMhIrRROwTaz6sJQVcsBV
FuflN4sUXD/1Y4oUw16j4JLvKu0YbKHQvQHawiqkcOo0iVqxLaAAkkW6qK5k04c+ryCyXCrQrlcU
xBd44lILjXMrO+/TFI+mZ1JxoNA2O5doscQeobrKGwcixV7SJayT7VJnsy6eopq1LHdY/TJmcxWc
sWSSK1MqRa+4NtaSw9RubMy+qnXjSFq9T0shs/7XNEiaRW3OTdFEtyr2SPvjvrxO0M30v7I3Dd64
WBLKwHZsYL/s1kkpfQ+JmfmaIbUsTI6Ar1bmEL0Zm8GymaSazDi5LBEBSKt8b42DN+wsC3OrJytt
1/ibDTUjvYFT6jS3rl+R4lkQkOdDH6EYcvLnPi1/k0EmZAfMMYriE03/1HG2XYcwkX0LQLsE4RFM
KkNWBuMXBCw3MwzXdW+sQmKgsb5CUgAd+S4/pHNJ4NpQpAcj8NoCnF+fi90yqdt8NzlkOjvYePw4
ee1A9FqjDbyhBGnkN+jc1YTGaW6PwR//bv4wnFvdM+XUZTerHbLFYoTRjmmVeg2WkH6lw2cSsqjY
T+U8Wce+d6r244U222jHwP12h8fY07lCTjrdx9QgObcxypUz/knVZPqfNsomlAv4OhtQreoKQW/0
nBoXtmVw2wulrKlmP+UgNafA6dK6ubCjGB2uUTJIPYLf8EAuxRKeKbSo6Z26Nmi6N7m6QQYitsY1
O9Kp7HjPQnmU6xaqyBTor/ScKgNkOp2xgbb2DNt67eFvlAfWuanm6diABzT9VPMfWM/mezS2DeXt
ws4Ws2tIg7k9my6bXRM6Tuc6oltawzw3dJrl34hiX7QgAtdUQV0YXdtnWBarCbMm6eC63MXz1VQ4
2IyH9gz9j5R0vPi5PJfKMS+LDGra1ubwiRfnOo9UoKzr2lceygkJhqYSAaAE7qD7ITWiw3/KJIyG
EkELt1dAzDOdiu5G4/myMOtlE/yb/QRRlH16JpW3cClHGDz5Er+ycEXUsRkBDc2lpoB/PKk1dSxY
alA5hOtAxKscuOGNH5jbI/qY1Xbs8zmbrlEw5zZOo28aX6Edc0Oqc0Neuk0OrJK5VAdyHxe0Tr/B
sMwEsHYat0HE6glL/QS1FlilTzKZx9cU61ASNgJK/8gUxIzoXnN0xDCtMGHP96r33WWx9wOeei7t
KNB2ntiZB65cV+f+N0tUOXqMrUdOZO/LXq48GNwqXpdPOxjoqBUdHnM8Ed+s3OD8mC49tcyfYwgO
TSo0QxcqT8wDTUlY6uCurPyulpumoLMuNpHXcAvKsDf4EZWF6cGFS45u0bGZIXuR+6TVsJIN0o7l
UhC1r7nHThuv/DWCCcC+DKSYpcegdNS/rOfO4aQjGaHhwarNGgNM9f4XWnCmXytp5tj5tiipHO6X
LFjiiYZpbj7TtCIMQju4RLMUCKxXihpl8ZMc3Q5s+oLlaaF/ML6I1WZe6FYkBcd/HTZmtGRETrHg
Kmb6uOM2xXqYRZAUa7ISBKZ1+b3kWLA/2zB9Ok5npB2bw8Qcj/qdqq14bg0bad6WQ+JUn+y8nqAm
LR7Gd1DO+tJ/yjWCUXdFCLX1MFCPhafzWSLDwfRtxWuEkUipFM9WoDSfQkkbyNVSNjDDedP1qjD3
fOqZ/ePnNRQ19GlUYe6oW0sOiksztJLw7Ml6X4t3JrlYkm03GaYMPCQQuA0ITQh4FxeBW93jwCqC
3+eIxtJXkZNKv1SBNIU++jimtXvZtK/MvzMKNKa2IYmEfZ0bjKDzXfmpWUXaPHcurYxpU6/Tstro
LUC8wjvr9Ty6QJbl63+gOpnLqTFe1Me1iVHISaPWR9TvjP92CTIHL+dbNFRVh+J9kCLrz1qgfFx+
i4qWW+uMIuNO+VC2Od30a3v2jFGeI3aFTjt3ql18E+2xKDNx3gNQ4ZtzapsG5NxmHGrnM/oS5teo
BGZNqtX7NgbCn5stSiJ8K6Fe5+/bM06t/Izb6q6R4bnWMCLQbckGUQefz0cZBKaSPXFBQWvGKfXT
eAZQTBvVkh/mdTAHTSPxJiau9bjI3KdM1fQvk9uZjQTuZS7RWVazUztFF2r6kDJcweUPDc0OsUkX
koB8A/BjWMPnZQJsZn5D9J358GfKEkRcE370TLnO+YXIjBDXpXKbhZGE80Ec2tbKPtBMZvObaFaO
Bn1UKfomuyRZzeM6rxfpMxpTHEt8VzgSPYb09FOoVjiv10yoMgm0zSoE3RryeTQQw4jx8mblOOmX
kjmnaxXW5iQAGjQ5T1bbnH1rh4gWZxLRR/TEOVFw0jdhaBb4uV/7b34Dc+9cnUqgUJaHOcZBmvmn
180T5bZZ9JeHHUKX0U/CMNHFph8yc9xgBmHCM4a1hjsWichkeIZ4upwY/HildNEMtKCtoiyQkPxO
HPv3w2uM83WlpuEqLVAFn/YIOYm6vgH+jLFzc5gtjtuPbRIuC53tsGHxH0H5KxvyeASao24qnEVh
aSha+rAcJx86bBJvKq8uwvIKMpchp2hcPLhKzx/MLme20azW0BZejixUW3fy61g7AijbG/zGL3aB
jR3IfHCc1bQKbFrI3BmvgU75IlRi6OOMoJiON90cjy9hTfp4Cl9DjlWPr/H7FeTPKEC5uCYiHXlB
U8Tgf5cGBF1LcwOXvjUZQBcWhCtsRAMe56Wrfg5efD/0sFUAweWPL809JXSL37hFs1Z0V4D8NJ1u
BIwaLk3XzJo/+SgOoR25aZrar42rlwCSmHuGpB6YCKA03WVevkTV7sKfpmVn6GaGOme5X0oZ6zo5
IPditsllGZ83dJsr6aX3GUavOmeSOHZF//vooE61F0xrqHXXM5HEp7hkOihOmudfNFbkIakg7Nfl
9dpwyTIhWNpVogLWWhiNBffK9gdz6ubwj0nMltBXbAV0r4vlVJyzcLtPzaF0uYHVUBrOazDXJjKJ
aTA7tEzxUaMYWWiiB7vuzBYY49h0zQerhG9Ix3pEJSysBsSWmLc05JbJR2M7Og3/l7Pzaq7jSKL0
L+qI9ub1OjgCJEUJ1PClg9Ro2nvfv36/7CpODKENcmOfFKCAe9tUZWWePOdkwigD8rYapzfKXY5S
PrEqKVVhB9SufEY2+ysfrBtD+JPJIa05EdT6sglaE/UpeKRrUrp8LIquG5yXhqQPEW2dG/KZFkcw
f5cw3jcfz0VeTkD0K9xlPno24wQ69YglIY+o9rekR74xkh3R1WFsrmEwAav0DRDnel8qdGBHGq2b
9HUPMS18mA0nC4bL984XajXehKX0Xx1JCxfWHGmwOhHnaJbD2/DAf7zLGEKOaQD2K+mub4h1Wij9
m1vY/dei8ISsp9NdQJieF0hvK50ecDYbWEh6zfQtYwWA+eGG849j3MOyvQujmB7DXUY/sXhOZ6cm
HSMrk22zYqm7v4alKZtMP1cod7JTImQZXMgaj7J7zYVwwqTJIfAn87L28KWZGXqcbUDpQkzbACOx
XXfMvW4uue/k8Cf0mtGVB6TgowDBU3V60GE/U21zT9Ff4Z+bXJUukzboiIN1qcusp/+hKtKkgS7H
SZ2nI89MHfJ6TyPYVPdOTZzfOtWY26wA8c1pRp42FzfmFfPIdMBmPIVwgbn5DPq6lvdVbZ6yDqYc
jGG7CxSXMtwcibq65eduqE1oK6qjTbWY6xF/c++iQ3auYvtkphP/mM/LkTvkecNPqv+cpbHb3k0M
VFmsh/bIvsMcD5LmZLQO0qanNLOIfNepg06T39SDVksuIjPkGal/sudC8puAR8ABYFZydn5/m0yY
4Ekl/SAv33QZDIrS8Cil9sGQaOpMpPdkUjVH9QaKx5yc07ZHYQHC6KR+3Z6YWwDqjLsIgemk17p6
Dzgyyks3vYFTvg8TufTgaKrqlFsf5BGUFr4qKlY5i/VPwAfyijTlgIJQDmisPNIQanboJh5UBbUp
uqGV+/9OzUtHOfuLdZblWq+rZDGp1Uv46GExSsYM1sL3IYpDEXvTlzy2KxBAXzdyCjspc8de0xia
nDCpaPKRQh0pEGxoWerqHPAVoAFGeYjusJDh8wank2dvbmvRCVvZFQkGpZ0sWlOVpMJ45XkndiOV
mFaZzlYgOEq0LS0hd+/RhUPDAN6AajRPq7yMTQlDGxBsvkiTAJn+LgwXXfTuHvY2XITiuE5TK/tz
QpDAZ0q5Jtdy5DA6W5yjBWbhRcg/jXca4wUC00nvLeovsnGEJxL8xyNjU6BN4oQgmGcPdBCjHCax
NLwbitEDG1IruTJYthRJR/9+WW3pR6pkVx/daPjJMt1+PaqhlFEupGGK2aqYhx2oBgvGP6AR+6Cy
0iaQJE9lUQMTxCnoVaafuK0w63IVKYp8mluwUdKb2Hi0lLrMrgbqnylBkijBW3Hl8Lrltei1rp+d
kTorX6zgFr3jVK65ZoeGYFMkUC3MdcaNXgSov6RPMZ5J3beaYWjQJAlk8noV3GVm7QGTqTNU82/N
tsAN7zwXg7EPEBPSqXgJptLcl3Nnrow5o8VP3t3kvbAcVKpNT2Fg8XjqyTl72G43+Mlm35wgeshJ
GCyLpLGWXUqjWONznpMf+yK2hBN8XCwH+Sb8L0xh9lcHt0q+Q1Mg0AJKfFelQKiivH7U0K0OCAMU
i7ce+INwaYI1Tu31OQRO9N2zryTmlk0u713A7FbOOFdV4rttNqxFHYCgGEteovAvVQAZK8SBZ7Qw
lgdGPDlLwyyP4xCpBjvrCnpbR/n7A8nZzqpj05n0htB74ZTJI2IWnhuUNf09LJ7qK3RDKQc0oqlL
emoxyfX1TxhSCbyg32yhNM1sU6pEtRw0hIneeuv7V+i50GGrHj35Rw25tEk+BjaU4NW8pb4hj5Qu
3EFVORayIp2hLxx5eLWKVeCVZLHkiR7EPscYhju1U/o1XIbnivDdfKRsr7b3ZQcDNDy5q8Mqg3wp
UjRo6QGbQp+OSjeiickDGleCQYYDZmZd8Srf+/nRaitylRuUZ8aKPBALBxapjnvB0sh5sIaVnHqd
a0ra0/utZDjtkaMl7Ffin8ZTGIkJ5+I297NsVV0qOf4iaUOjBCM6WAU1k73BuuJSitNaZW6NFwoL
Pa3Ae5oHG0okP6Hfw72OgxT1YEuWebg9YLYmPhOMEk/HFX57XIAx6asd0AZQYPqrIXJaOstyQ4m/
4XR6h0YhtLYLGJ3w70orcNiXMOP4wZfin8fHJpFFeoDjYUM58M3ZDYu7YhML1305gEMFC2hSbXFs
oiAH+qco7VxJM3rTl+RYdBiyBaua9s5lXIyW/3QdoYyDGk8tghTiJuEBgZfu3K6397IUdGIyK4B9
V5mUJlqTOR6faUIdAoVUaU1dBRJTDaT9AR2xMYfbdHbo2gAk7D4o0/3iYXf2X648DvNyRSo/sI4S
HzO3yk6uaWe5Y/EJdFkSc7hZsgQYjiSv1NpojACGovJnUkMKZtVBBzhIa2lp+B2/OB6cRheaKfet
ambGkBwIGROx+IwMhg3BXTOt9KYIGEnNpgLTZfe5OI/wYOCoSu43uJ2Utn2dbgE7s3Cw3ic5OwAI
dQBoPVS0Dsl0xe6tzwb6TkcqqiFnjPhkzfpwNHmFqcr6wjWoaWIgLJBioN4zqUPXphJMYZmcxDXP
zVIzfPHVSKGNUlGGtWWtj7uFnIKcya/KaX9uUZGs3ssYJdEQCVa6x22Z/r32JjnULShqO/9tLGDX
+AwB92cvRLlmJRNypADqFbl7v0/TOffHrfsbPUszrxcDbWnxQqltlRe/xQNk+jygSHDDC7rENAcN
2ncnuDJcpSju9jlo/YugUdbzkAd19zR3kKLSu6ikEv+wpTMWY/VWN+VrzTL6j2fQ1n0t/Smab34+
7PQ18woz2jCBOvXYLN30p9l2ffMSWA4Og/HM9cGicoYtb+4KO8SD+DrstnsH5pdOH9aetXVjmPxm
3rWNuexP9p7PF6Yj2DCDGjsgL0gIv9BN3KjZTiNWcLjTLiv8L2dIl8fem/0GpIb6znpX7zVj0VvI
Xf5tpK03nSIbQ7OnMGP6UH9zh2gcwQBDdJLZzS0XA81W1hjTswF7uNzIY+0Ns+uMFuBqnLw6XnBN
tkuzdgK6tUbj0z3ccZ2GhRTmw4x4EWKZu56ZeFLv+SlDf+ZTahIf/IvJNnAuXYjx9juGiDhYjBtp
MQfRo9VnGdbFzmyZ636Z6Vkt78vGr/qvzAuA1RLNqbc8WVYwNbfN3ewaxWpp3mc5Vq2svX5+3+J1
0T50IJ7uc8T4LePJa+ap/SskKLd/tabv52CchjtuX6odvlNxRcA8Y5w9TGgwQYaZmfDNL3H5MCAq
fk55E0n8HcdunYQmEUtEWhseB3c6gjX6e8aqDpzmi8ckUZZ4P63k4VqsooDDwEoS4x3MGNv/AEmG
J3Pq8UJtHHjseJ09QwmmZsi2ynPvE1ov9XaqJhMUtVFh2YDEwlZt1UGhE2WV4ttHKMoaLJg+hyDt
FAcqRWpwVeZwzg+E1VaSJsXfxGgUDHjFcLR4phNICqU+JFf9S6Kf5ObqUyzrcHRBy0Q7QvcyEHou
ITuMfRAzOv1QL+oDR0GeqkUaO3Z3xGYHttkZCrVs/KkBys7OAQ66CN7sfff+iGdMoMP3q7vXBgai
o0W6mWWBlEhMpyqbvwfUWU1NS00S0f/WbJIcrVZHdBvCpml+H9swrr9lY+HH/15wkpoeVnM2q49j
ObrNf1R7U93tpnGnQcyXFiOiAs62JQNh9kpztGkGDeUraqFiuzagi1N4Q5abrDgDprEc1IXqe2VH
VpJwkzYcDsxjsvqdh6ddeLetI9TM2LRR5r7vrCkptzsMeUZUfZNHOTHgH2ItAynFVBfvfXzt9z+x
sIfidfYhUs4YGhbgBVdnLDAe+2qXdm4Zd83AEIpm/i0Y+Pigu4fqY0XzUwp65c/GmQM/bRi0csmy
BHH7uWvnOsGe3vTa69R3fXeCNGUb544svHlp16iD/LQtGH7PixcWt4y06OaNS1reReMmLuliGHjD
ysb+VJhGZ74MxPoLSqyVllFZ/qtghOwrA9CL+8YOp784fMb2Euzmdo0jLx4vMA/50jJIxydARJix
/dwuf88ZGNw9dV3zWwqK+VJBk35knMZ8nZaIjTiCL7v/brEXYdo6AnYM9Ody/at3oZSdwt1eMhyx
p/Zbl7R2/26DA3QJAFM+9V7YPy1m7r5DsOLUp31BrXSzvap78b01/7YhcH9PdCt5y7mbAspVzh9p
2xv3QUyc99xmm+/t0lp6dAuOY36RkUQpQ2ub8TNpCCOHePllf4qbyQkuCVzPBxv0+99g0OujkySY
ttt9xIA7WhA8vKId7G+0IArv2abMq+Ey4y57ZhgAUHTfZyDklj/7dzigrtkpo63lP3jejvs+AHKS
Qwazh2/YvMNASmzfMU+MJqUXT+mynDc7c092bnbPUKzpFtdBaReXnAKJvl3XPATYpF9yy1ne5XFi
/RmaTfBlWqzsrywtpkeYj877ZbVYZZEf3yJmvMFfKt1HexmK8DyC2zMr04z7RwYYNf/ibONkmPeh
+JdhufUtTdh3lHp/MPIg/TOmHsIuZsk/MNC5uo32GN0xpXK9Oc5qfrErO32NM6b4eFGR3RZjj39L
c7g7wWKXdGInez0btd+91K5DSM2MdL7AsKu6O6cKsn+vjWF9GsIhXa/FbPZ/wX3Fcw5mIwCgmxpz
e2qLhMgSt9Z67hh2dUKjtdGpNhhSG45rP1zNya6qyxzVDkRTvCfvAj9YvuYRtdilTgbzbLvxDDFk
dZ/y2DOePc74pz2Z4A2mm/fJqrvyNuUxzk7VGj14zCyGEzkuS/wAd3NKrsSl5lM4bcm7pkOucW3J
4D4uSbb8227HhAb0HNKRd/J26C/ciPPJEXeED+aKfIlOdB6a5zZZ42e+tmQwWLzfUAxVf5WGs3m/
5+GMJQ9/wcAJkpb/ZJyZX7H0q+N705j96Y9og8zkPYfLGgTplfJ7j/zfvZA3tBb4e2HTy7QVN4XQ
i6EGDVSjORtTak+gGE1sOdd9AwpGuD9W6/u9SIrx2V6g4T9Az2mtB3C0wvq2bWO0YuoaLaH3msww
OqZTYLHbiC02kDGZHa4u1XvTtKuCg58NySj0S7EZfrQ7J760GvL3WbEXMIlGaXTt2SN0Zc73st+W
S1XHU/C8mrlJJ7pBefdu2RJau/WMw86dvWX7B4Ym4LBuFt7wIcsjtylxs8USsYegCCXtlJs02O83
tGoMLCzpFV3QRIzbHXG3Mx9YBqXzIZ9Kb/+ljPhHnjBmUscITIfsNkDP8VZU3/ndZnkwue4dC6Xz
N10gMqadM+nneoM3jGSxr3I9eIaoWiC0QG35UV1it1sG67pZP2yGGa3t37Twhq58xfSpKrDl/K9x
5//FKhE7mx9vy4bxjH1wwKAZtKJiUvjjl7nrbocNUroPaUOXiYFUGMsQgFKvbYnJXurOa3NfMSsJ
4V2B5e/4kCStlXu0tyf5T1vGDb+oW4qO2a+ICw4vstlyNvm94wcvxivTO9MYRLuPusP1/S++PTn8
W466iAoMtxfpD02jC7PuyUUkD2l9XIgs9mWiNcJvIonbuYwQHMX4ZLGBBN3Kp2l+Jd7l+3qdc7iR
8CgNt2ckQaYu1AAL5sYCRsnxx3FiBuVLWiKBtx+qpff4+HbfTbk9CpjVhGHnDBHfqQzNamyK+vjm
9UkUlX/U6kEs5Avr9pkowdCts22Nk+m8x5FuzrbHCvqbP93YR57bPfnrgBnbxwQ3GW6gdmmOuFe/
L1KeWTZUUtKnEUlCjSHwDDvufjOZZwx4ha+AX91769C66dWjLYQVDj7UJoPiHQ8Y1r6kdtxNxbuk
Wzpe2I7hQGY+YPec7fGH0vUzK781s1vG+5kelxjjpOWC58rHmEzI/xKXoVxK5tQebkwFLhToOvQ7
YPsO8pGtS+70mwavIrPw8Zypi2VI2yvo+O44L9D4w3Y9R1S8GD84BXM8tzujT+T6dkxQsDm1IsiF
8YOU27xyY5VbxhVloQAbTDxknEs6FAIFh+gOufPGazCtU0vIQCHJi7FrK5qMazxSBlSXBqurPr22
jdvxEF2rZbrJPX65TmUwNIP2UX3RrppUj5YZP2aM+wnWewwKsQG7JJMRDMmzOds4AZ76OIFee1ds
OBUHL63ZrWsqM3aYU/pq+4XHt7e44PA02mCiZfmAOxor8yFraf6hCAipbszT7GyYjI9ZO1rvBmWv
iZMhUslnxpp03r2RR2tyTWx38LP3ObxArhH795Y//cV+PqRn/yMZQuCOVIld7bioGnzcj37cz3w7
9ptr2XyYUQC6Pb142zEcev0w/OtTVzcrklFn9AHVz8r9ENRC0OJQ+bJu6WR5FVYwjS1Gjrbfogx4
NbCDDJM/l5ilA37h+EaES4UypCloFfl3HezzKj7DXamH5oKy2aiZAuqmpGAPazuYPN0Zl1R6Y3hj
yvdp31t4ODQpVy8GnoRzIKa5u3Lq9fgIfi9FfeDjlw2JwOquqQtTuDq19oz1YLIYBdZvgL+ktlC9
WwfRThhvUrFVxixuOeU4iG2Qdszr8rrE3e4Epy5iLed00uPgihfa0uJYb1lOFX3/w80uOwNG98iK
rUiZ5mBjRuS4u/yHnHUMK+qVYKk/615K4rRz1d5Wx6tm9EAGqx7nSiXtTG10BZAwDgco7XSJsEbc
LAGq4v793haY1EKKLlocIes86gBbYdgcflnNkGZN9URGvDbpefM3EY1q7eiwJ0xDG89GNQnsQuys
GgZU+ei4WJ1tNI94M2ndqHZhzL3B3bsP9Lw8q7tHoiPmVHa3CeqJuNnp44s34wwBOwOvIP5cm0nG
9iFa7WooSdaLNu7S+jG7RSZJY46GddDS54kdRNij2fn5vwZLKtyrPXgUdw91gXARLm9y+AVFLLmN
GT8gg/H0i1F0P4qF8VowHbyn+R7M8QLLfjvhsxdFaJFE+0uCegzosj38AxT/ULcftN+EJn38fCP+
qI7l622gJJYr8A4Tvv5xhs/0l5vKDdcX3UfXhCstklVdfuZ6ChqI/kg2lYYe/19MBY5JPf8bFNiQ
eBV6luM6yO+ZAPFjUMDSJJCGY85rc6cNrtHIIiUnzYgGpnGeqoE51Ne5bRr2SrSIKi3NaCpjgKbY
Enq14rAVBzkzVhxcvE4pf8d2jejOsO8U9IBaUNRpEy2i7OvUhAmz2oqiliNNO6tlHMA+U5UJ3GTv
P3/qGIm8TWeAsTkFZQC22L68Vea6NKcR2o7J+5rpEl17JR0J6+ZGKsKyv2qmImCHnDTwTn3kiyqE
R03aVsx6HDjBqgdmwRVMnGqZ5zC9G6kV6lvsezl7iu2yYivkzGl9Ug1N3Q9Q3Z+phDHhXTQvS3Fb
GX8ucm8/quRbNWvCinNBmik4abKcBwPJ8HYFvJInFU69fIg/tTgSyMhdi0aGPYLJVG5VSA+BwwNo
t1ZNyhyTAyycsG622MPQkKSX2i25NDeNxRR+iKZ2Qg4Cf8pNQvx7wqPtDacaU4TtnQ0ZBlQ7NIye
A7ycy8NIeE2cDRI4JQszOun9oqe+aV6Zaj+bS4qzw0cHAlTxCQUpNCyl+V0regv0SMQGVJZ24TCV
Z4KT21TXSJlFFeNBMNwmY1hIungN7ZMSKWvgC4GjtB7Cqvez5nFeOO+aC90V0KzGKMJ0WU/MGkv3
6SnZKyFwDHkkzBXFyHfN9uBrlXB3IWIoOoHmNvYd3Z/ifrDKBFKqZp6Oqy3NZNXQzxu3jO7riF71
9pirPre+4KCzhO4y9sw6QUy6hRLGKQSlN1baQxy4p6ouGQxII6rZYvfsUYcbTDfNwQ2m955ZY8x+
x8DBvLRvdpe69O2WwpWWDXqIhOva1MObamCU4GORFWsynWF/bJlxszNgGWyKmkDouCNsanZgnoCm
JB+zeWmT/sGG7ZA+pNjQk9i1wOJ8gabxmIab89ec+B354BbRa/g2t+xliqlMBgb2r7ovpbOY0Jlr
moNbENdcmNVwqNr3+mHaBo42/TXEP2wfb4T0kADf74akgPrPbXMa6KA6/E83O6NFSJr3cdDj4xgp
IqQT+NLK0a2xcRWDHkyGYW39tmXVCn6sSA+60cUhyRLTP+geE94G8tZHd4U4pQnw2oWqsAzo8feW
He4j0+I2q0UcANkxND+1OKcU5NCe3YsRmW+LXWVjUNc7T15i0UM8awa23oxmVgdzcGq7xDLai2b/
JuqF0fKVRaY6OFGLqRa9v6kEjdhOg1prE3zch2XLhypE/yCtpA1EIDmyEZ0llKrHr1DLuTQJSDdc
xzKvOw/IeeNPyC6txXzs7JpOw5Ue2LKAa6C4Yel4S9/WI3qtFY/pl6appUWJ8r8YwXb9aaq/lUcY
WdiWxAPO/nZFhpbtAZ1x2M7JHoeI7sha1rsgTfBWO2VmlRaPrW24XXspGzOZo5eRIpQ1OYIMEIYY
ENfBrFqUG4ixQVZge3usRTwYVH9agcPmyMRn8DVtdDXP5kGqUlZvmn/AwSX9OIuAgkdXHXWCrm/L
JH1EzbAr+kk4rQxllNBGOiXMe/309tEYuOWk7czpYW+H8AO2m16CDEHpHhSfeznyzCpu5S+h4kwW
CSbdHtu8NlYJVQkX9HiGhVgZfVajH2V8eN5+QjO78wcFeQYt72KakmB6hDIgFBGxguG6Y1o67Mgi
7oVoop2ddFPdqUtLiIH+Gn11UcIXz65dQD89jf7WJfMpHwbUxh+tNZ39OT/rbbYYSyzExmzpd/Rz
JwYTZlb5AfgrxX8Avs2xl+cQ+mf1nDWFrGDHH4QfmylRAiblJtbivU3pZn43uA52DBPtAvQ7FQ5t
O0dCwmpyk5PoFmR4GyQRo5gz6FqdN8HmRFopDKIC5QehIOFuCSGq09FnCCOKJ588HFZOHMF5DT52
Vgu/Glp9JP9Pp+OuIvUY4OxzdW4Y/1qGr1sQhCjlFHlDX48m3ihqyhobbuv8pt/XpNjqFjpW6mJg
AEMCdoqdm8zIyBkKMN7o7GEC8qznKdAj7SRMqiELc8u0UmYt1DQVnd+aCB2nRxsfi/C/EyGdfosz
IUfC04POvR4+JanimMMnlRgzKL4n4fl4yIR+GtphDky/vKsqWmL5fbtS5+JAH/joNc7eAN9oufOV
MqJV3PtEPBC/leABSBWivQlF0XbIzPQNaj6io0hl9ASksa5oQzrEKGqXJpfo4zJWpDqPwTg8fR2x
q2kRKo55+E8iJpIEpFMSC5iVprAMfGy86w+zoprPqm9La04KllK1PrRQZ1IHpCY1ILGW/EVTojLm
J7EJ6GoLP0wjBl3RCrDj1bOwExJvPBg9Prw1tjkMfO5KS9/oZEnzuFARcD+MYvqDV6xZQbuLfJpV
FwQbPvjdRJMpvNlGKBwBT+mNdDaf24kICsB4ISrby+H0WSm+mtawlFhDcOwHfil0ai3HUVzvbI2H
2HsYiJrm+mhj6YpJqb5vvYj0w/hOl4FtLC9HEZ51K1zfvg7CUcA2dE4jiZifX5IF0ybSGAtr+OCc
2rgGP9gzPMv4tqjkr568nYN78+y8ap7WsTWC8p3XI/eijet18fI31jsEy0sZw7xxqay6wP/i8o/k
sgpD6+bYcYZr0dNXCk716Am6lZD581eg2gKlMdZL8AvWRcifxZO8GjsJAYYGJ6SVd9qrHtbDaQ6D
hS9hVfeAFW4T12P0jK44F/wK1h6f2Hul/CdyMxyLMbxx4/WrM9Nu+LLgjs6NaZoeKDKXiC0Zlzs6
EwU2DGUyTfvk53bR/oHEQ3A6pw8Fpxv2VVaugo1IIAZ+0EBRomDAtm9lU04ZvSwDmkwsWoCf1xNv
qwl4JRivYC5E0UQ193bmWFr2PVKNxnlZMo6Zhg0RME39ogghrlp3g73sTYa18pw7+ZNadz+/in/U
ktglMgrS9sG/eCtvXWACMzV8l4HGz+GhlNJbp0hZDRBUj7o2X2fJQDRdsVJqjFRlRj+/mDeWNLaF
OR8eQzBrLKae4D7zYymZx0ynHrx4fk69VYRh60yWRYQ56KhaGwL7AHeBu59/8T/ehUe/3nLI8oHF
LTCuH7/YHkNmwkTu9OypAzdAno31urZum9wOn1WdC8zZFKFgS1Te/vPLeHv/AAsS3QOLh0Ah/dal
kM7aPCQI9Z8Z96FQy1R4/kDYwqKj7BdBiK7lf/7NxyC//63iARUwraQNgYUpKMnb2hbpVoKXd2y8
S5X6pAxi6p5rmHdtj1z1UGppGtSqdEFT2Ek81mwcF15p/LvVQqD4lfnU2yVqWwHPwgOoiCzMkt62
LHyoLFi3xea771pAxSofD1WiWqJKVPGdJ6h0OZ7S2/ziOclK+PE5MTrVZeaAhUlbxDX9uFJ6HyG/
59IvpkPl7nhyK2oYzLnZ/G1Lxs6dkACPgfm1LHyBoy2nr62v3cQch+QcdcxbAIZOgghdjTeXcFZ+
4XT5ZgSSByYF3cJmeJAvY37D4M0VmrFJ0t7t7rulCsM9/ex4/dgWD/iLuLgCEc8JaAFuy9WfNk8I
TGad84gkZ0xWGAwva4DvAFPdAVeC6bvj0lIi+8LBWVzCvpCrIfbXaiBaW7Ex3n7+lN9uR/w9XI85
gjY+LB6zfd9YoBE1Z4YNRMGzpnXqIrnF9YQwrMQW4aENZMAWfE5GNXo86p9fhPejvSkP0nbwAwwD
whHuqP+wN+VkmwWR3p5zZHMcNXM3NGH/HM1RGb8m62rg2jMaG0SujzvxnfdaqMFsmXJRKnAvc1/G
wNva4g5Jtgl3JB6T4mtqWIxAcU7+YM3YRIYTGWd25240sCkVErHQWiw7ASEDnqUbBSVWDiOdjHaM
T+etMTtKTLI14tsk6wxbjfMYZv23yPcikNAeZEj+TqFtLImGj5wWxjvBQgwRSRUc1bgLNVCoOhs6
QGGK4QNrOgxJqnTA8xFLGp+SMPIyPJucOejnKzi5M4Q1VL88BRqeiw1q/p05d0abcAfpNFV3hZJm
JeEgHKDSTtPUvAYeqVl7MdEBjONj36XZ4l4p6lPz9edvz/rHGnJY+2ZoerDVUPO9PUuCkCgNLz97
1kh3q26fTIb67hGYEGURw6OWMqITqZjZnrKR15Bip+ZYwUwX2MzcC5k6sNMO5idFTtK3XdFaa/4w
V1yGFoijoR//qpH6to/q00TFIk76LjLw7e1+cBiXB4ht9u+obVqv/gvtXerUN8VC1oObtDcazKfD
Iu3Qyqmwnc6wY8xf7Y43cTDAodJnSI0f+QxP99/aVc7QxPuAVtu7YDdoqoNtxpWTXIz10Hv+f2UH
gQnD2XPoJgcyH+0wtPuf+aL0TCBA5V71TjcUdTLXqVSN+YEZeSOtdKzdfgH9vsX7CQGI/KOQ5jvQ
+z9StWLuxLBxad9laR4QaCrqMP/L9+8vAwyXPwTRIJ232MLv7ldjUv7x/Q4wElw8AdldmAJvQnpd
bum4hVb6pEciLAQEKa9+mNZSWZ7oJDoliv75bvrHBfCaIQX7eOyS/hOefzz1fJBEn1GGwyMOukf0
cI96Sx9+CWxYicseRXx258HtDT7//PvlBv/31GXWO97qMBcIytE/D4RiXVxmPyXbU05w2X8PwwnX
sHTwY+p9Lro3hhsjts3hF4vc/nHAp2eTCRJHIxxIyQxZc2/uu/Cc2dmrpn9iokjaTS+B2zbba1T1
+f6gm+l1YTXO59HqpatNt0YqH83fyGI7Fyi0yydqmIFx9c1+ZkQG6M+ttyuJzbpbT39DIjy9yYo1
hAJJxEazw9EChwwycPMHXVVhRPz8sb7NrDCEZmG7HAZU7nLW/fhaY/hOK+4R+dMYzViNnCB1Z0Vw
Yg5fX3RYUhSzh55LzXzxNhDzb1OYDjPWDlDkJv8XL9l7+5J51rzmUK6K1tbbUmQpIWjDPMufFB01
O0RtKrNTiNDPb/6fX0fkopED+S4wOZ7fvNs8w28lmnfvMRFfz2/ftcjlTAI7KkL7L77wH6kZhy7F
DUGMWZkmgzTefOUwxKu4aHSPWsykvAbWBHkqBh2LtF1kcN1cPqUblEgLRr2P+dKLPUH4LG/M4orN
/glHjQJUTQNXepCKl5gip1Hq0fUQLyvxEbYHkHcZ1chElw/ePo0lel0+lZ6GJ44WTMSJN+lmtEqi
yykfsIS160QaA+MzfOUguCopmZaaedMsioGAke+kE2Oa9MAl4aQIv/UiYFCOUzAoXRPj6/UxUwUT
Qiv8goa5kvEt1Yzg6TWwMknrvmcr/ZztJhzUjm7PmfEpsIIy1YOZa0PUfXtQS3HEhAjR6vTMxOFL
tJimSWoPhGpuJ7kl9g/frJ7DkPsCHcPOFFBF+2fAdRbBlaYcq4qilBLw24Zx23ALe8NNxtPCAO3N
vxsqJltED3m3M9dM1emmueDmgjB2QfR58xJm2n1QD0sXKzoc50q5qDEUjRs3GKntr7qHDMR1yP0P
EraCCcFZBDI8vKfN2jO3/C5mKtBmnZVVrq4EmT4tDzPoZhHc6LYYvhAyVDM78Eb1BNQf6ZTard3M
/ViiCp3xOQHscslqQLTa/5BdhvkJ1498/aqI0vT4y2w8MaLFY0BHhQtoDkyWHcu1tkR+ZShVKvyA
vr61bKvIf6zsdomecGocpt9zhjIyAgio2duji0pLIrFurm84Mw4VrTGm0CUO/iSuC2aEf2L1FeJT
FpxHsHe/u85mK6ovbWajfFRQlRkJJvoYMs8n38Ju1Lk2ZcFoixP/BJg1Frnp3Wkleg2kEEGNtBh5
8eeuAG6k36PzPin8pdwuGo/VDXwk1IJBakQynrAj/oYLACL7E5MuCvelN3HsQbu/T8X+h5IcOR0y
pL8rRH3Mp0zzPfVelRSbNus0/QWYYbmv9Efn6T3zaKvWvmF4ZWyvgbujGn2PuZHIkz2E1zTECm/Z
B2yM890aysugWoIaLGaIneilccUVub62mQiALlms1Mq+ReXW5g3AfkALar/pvjDRUIj8e4Wn7/wx
CIvRoA2hwFYtiuxVFNAJXLT5bvYZdrqVf1TLevJXtmxxbNwZD6sOO9w5tIfmivpdlqHqW8cG0Pd9
a9iYKpxnxexRpXrBMCgWplIO5radeyYezAyS3C8tlgTAxdqLSZtj+Tmmgf0VHa43geaVCCngmfbx
/BIUTrJA9NI+zvWactjqO1VLLNx8dJJaWaQkeNpASm31IoxC4zM+lbNzjVTo0m0grb1SG2c8rGnN
A+fWj+m7EjnHTBddspIMKwAd1E/ckpTkUfmqaCGVi2s4sYf5sYn5uo5kFwgf4RuygVB1dOOntrJh
3zaON1eguQrvVs0KP1xlNSItRxh5p4129pX5CjSqeTJRclENFS3WdBXorc2zIrBswqHQBJkRrXQY
WujWw3MiwGM6iyJCudaYqSV4e2elXvrsZY2/o7lTgTKr45AgWq2Nx7ormtQs4NdGBhMeT5HhosDu
lO3Doj7vMDnpnW0L/2A2OG/3FKOiR7bMqDQLvrcuMdWr+b62j6g38BQI8lr5pyKlfZBjrbAXOhKH
rJwC2lNOdXK/6x4PraxWryY44O6v8+TLb+tTQrddlReJDg8KZNQOAVrepgWKPYwW1mWNU19ZJtjG
Zdn+GnUGjtmQ3iiAp3Nt9OL7YinhvhLBYIznkqUz4VDKr1TVwd9nGB1imf8uNrSK6WXZoMZjQY5w
n993VNGvOzQ1QDzXr3TU+gWZSjprY0e9Z7/lqL+gjehjzg1Gcpol3KU7onGTojk8pgdlz7Qp8REq
PXoBzw5pBn0LrZ8dVVxpUU0BP07SjDSucBI9s6HhPUrbizyd3s6frdIvo2jcJE1QP1nK3mNV365y
N6glUjhoWlLBQEjWUUFAlcN4qll8zHYSbkmgpnJQcVbWc26Em/muQ3JF16VFl/OlZ6pK+jmhz4jl
NxCD8XeZowdTE9ZKJVLV/akWGhoHooa0lRmActOpc9xKGUhuz6xYrRCNaNYYjH9hoA1AXZxEdeHc
DB8OYINE4NADD+5hLOS2izSwwIzdMjwzgiNO6osPADgN18k0mX57HZVhvVq2kXPMH9SZgD7umVBM
BHjIOnuCCch8+L2OzkmHCCA9I412jP1WIglgISgdpQ7IOnHUC10pjqxiEz6MbtVhcIS2WVeI2tlI
kyoig2GGeJwpRzad404qqdJ0H9t2hHmCq4mIMRulWFX+WF5teyRatbLSgOo/sWD2wU/XTyOtyBHX
TDWso1ck1dimmmtOuYUlHWMxD8WbpiFoD29XfyL5IZEbZzTBRiulsNY0IWWdhGZQpF4mRwFXNdCu
ZC+o80gp0IzDhSxV0UklT71KDxGyS7TQTcBEtVyVO6NqAurlqaSlyjLBVwmpAnkGldnCO/YZVz+n
CHBhW0JO4UkS5MGMHnJsbdjomRHK8Fm1mrVrQa72XC4EZ7EImx24nf0AjSh4CMe6azJkUbHvfqvU
y24OB6MxZxoiEwxT6GYfHd+Urq8zJ8kw/x4nc+01zCKQQX9lGAgziBJAes+K3GHkh1bZU91JEJqq
hFOGw4aN05tLNn3W7dht8DCCvWUxc1/QXCp/QPrbklTnij9lkV6w0rsBh4rmg7lkDvPutPDeVy5e
6iHpPQZtfu+nSxhme+k/aLDCSJbx/3B2Xs1xY8m2/isT/Y658ObGmXkAUJYiKRpJFF8QsvDe49ff
D2ydc1ioCuJyeqZbpMoktsu9d+bKtWLJ8al8C3S7jLqXYDO7ZEwhXoczogxJJKdHwvZvfJuSaDOs
DDuQN9jG6Cfw+f156P+u8x+EeS5KbMnMnD+d/Ed6iB06L1VnRh4Fw039N5oE1npofzZcQoa8cFUK
nOvo69vXu2WMwjJlA0UGslaaiY7tMkg3afqQh36WHNOkAJz9h6D1DyvN+Hcm6w/XzLsMK0ARKekg
c0bmgeTVMhSXxEpTmvkUHKMkKM3vIzcFA5B/gfIqCpSlMKTZJoNlATf/tuGXsM+rsAzhcS60pkre
jKwHIhKLOL0gmErFtwf7rB8LUz0QlGx0/2ihLQuEm2x3a5g7CpErCUjF1AZ1kjlqOCqo2OrsqZX8
IX5h22vE1KR8EdKCti8+vv2QS3wqoFQYqSSuD3CfiOdSxyPAB8MoOmX3Bzf2NzJt+KPPXkVzuFQ0
hyIRthRUFYERwVpnGubD0HRFUezyZADXZstQHggPVR4Kue+AnwJrbKdMAyXdqF1DsbBTBmmSUB4V
JkIGSlWroDW2A06qSrBJIawmaP/3atFeIuovzfw/P4b/6//K/1Tb1P/+L37/kRfwvfhBs/j137tf
+c239Ff9X/On/uddp5/592Oe8v8333Id/qjyGlrS5btOvhfrf57O/dZ8O/llkzVhM961v6rx/hfV
Ec3LM9CO+Z3/vy/+49fLtzyOxa9//fUDyetm/jY/zLO//rx0+Pmvv2aVv/8pSpq//s9rc0f86y+7
+kbd9vL9v77Vzb/+QnDin4jt6LMg3JziIZT91z+gAJ9fMpR/QohLOpTQ2FwZMr+U5VUT/Osv7Z9k
2MDAmEBd58CgTqy0zlEh4WOK8k9DkyQwwgbHEJVDzF//3fKTEfzfEf1H1qYf8zBrar75NB5G+k4x
EfWTVINEFMtrDk6+incrlLgAOKlGu9QaKM+noGkqGNjhNT/6kxatJd3OzRFaNkmCm/JLnmGOAb8y
BxTEA9FHPbkU16P2c0gouEHkBHkS9cEnuzX9eDUSf5r7unmLSjSap2pUoJm0EOehzf342h6YR4hX
E/SLSuoQ7xtD0R9L4Ga7FSviwg4gfepWAG8SQ5+T/OYcBH3VLv6Ka3cg3V0dbre3e3e7te3t1fV2
67rba4ffr13+67qOvecn9/pqe7APvOf6ml+Prstre/fIa5sjP/Lu7eFw6+559ZoPH3ir4xz4tu3O
5iv5+vkt25zPHx63t4cD32bzdfZmfnl72DrPvIVHsJ35b/iZXza27eydPXZ5L9/4cXfL11+5Ll/1
zN8cNvZmwzc+udf24fBoHzYOn9lsNs7GcZz5bRs+z/fNX+Z84IdrWsIT3c/md3vn+HlznN+6OR7s
jXPjuPxMq/e7nMY7PN12s//gONvD9XZ+UJ5txyfvnW986563Hm8e9vuHuZvoqPnT7vV1as9mHxz+
+u0hW2jJkuA/HTFrsa2kUVWrYiTdXW9vnw/bRxq1cb45+6PzsGJpqYF0ZmmxxJq6SuSGubF1756+
3/r2rb35euOI9oqdZSHkmZ1l4BfCs8CY7TBET4f7e8bZob8Zkv3VtXvlOFdvd+ESznFmcM5tv5r0
ntSUhJ/oQvf5kdnCOK0YeAE6vNr7zyzMy+6VBXjyDK8LsXB3tb2aJ/T2+uV//Hn7vGVt3DJXr5+v
t8/Xt6XNwrl+fmYs7Q87JtbhfnfY7Xab3e6DfcMMOzpXe6bz1w8fXqbjB9u52TPerDyWhevcXTk2
63NzvHOurph9x/1+pTmLw9tZa2bn+Ko1sGF0EIhId+6T+8i6ocfWZrW28K9nJhZJPKTYOZlh4mr7
fOtvWJYs99t5wdNt9/xzsHf8NK9q36aFx9/7wunt3+5+v//d23cPa1NEmx3sWyO4cMBpYyK0Pk/K
28Pj7db5vT+E9na3nTv9eouPcx+uZzfJwDAQGxsf6My/urfbR/fxcH/tPuX4tp39dPV9yxfQlNud
vXv82NF9Ll7k/rBj3m2OzPPC3tx8i+zjA0PturLt3jEhni370+YGT7J17b27ucMPHa9nB/P22Grz
XH+rnYssV5wLgyIxU3HY1/YTPrezee6vu619/7dnpnk40SvHvdryEBv87ttPwLl45REWe9BkwO3Q
z139hHu/pheuZ792/eDeus7V4YC33j+zWnDWeHx2id1mU+Jet1v6nK1nP+8C7hODs312D7e3OGzm
ze29b9tfmEVbxoRdYnNkFT7htY/2iy877A63h/tfB9/+dT9/6ffH2+fQfpzs7759wNnhh27v+fXX
L2YjPn/v3DzgY/nzbv+wedj/dnD5+wf7kV1ksG3f3rFUv3y4uflyc9xvPh2O+58Pd+wUzh3bgbPZ
PLj2tw9sRPu7K/eBJWpvjscP+Ozjnq536dWXbqblv+luNlcssrfsr9mXr6+c/eaGpf7yxs8P/PXs
FB7cq7unJyai83NlRN5e71Rzna530/dywnfznNhe8S9zd3ftsuWx9G3HPf69yTkr8wD81ZvzQBYX
+w3URES6MYtNuuP6lvXPUputzrt3abOK7O/zXo+7ZF0cbN6Id9jez7syA83A89M9HzjYNxwItvw0
f/Zw2N3w5/6BTnOPzt3LwYZu3c67JivqhpV7eDku7I9HFuQ81bfzHLzdzu40sPdMIbofb7118cdX
8zC6+6drTjru/tblM28PwLw7/O+a1BVujdyXZ+QIuV4EC+bXX/nbbposX2wzgPZkCNyxKTrHoPB1
87aV01H+Y4ULoKHOydYzPGmOpI4HrrVGSzeyNl4rzLSoQ/LsDxP1ibEl3Lxt77xVpHVFEdQRSFaV
C8JpqxIi65o1mBXSFZa6DWHT2BIWlOz3WwEGydVb4upyJhkptWYYVbCqgAwI5C9iWKYHqFCnlcl6
3ncaPO+Er7iEcDxfHpurMhGDhiyuPcRqAJrcGnLq9CpE/WySVGjiSGUfPL7dstMtch4vOBo0YBeg
7gAOiotjEtwqZZF2IzqSZSYfYQqiOqeOo2sRktCV5l0wxc0PPJWlzXW8S3iYXKRinrYoh+UJ7C/Q
ukzbImwLpyaYt1ItfKEnddUiFAB+xTS4GZ7OCq3QM1MA2GF3ULAe2jDS95R7NrALKdZtX+XGymHm
wix8bc9Y+LYR5c5cn1EMAE+nYp9KZFk2UaeHK3YudSHFyJakyTRPtxb7qpea00hRS4nwXRl0DunS
aHQbWGmeFb8rV4xd6kQSlyYglRkZbc6vv3IYVlnpZh2Npe1TcAxnRyXfBLruORrCoK4+mOqKg7rY
OEq8waAakJ3pi6XcASczm5CSASlpVVuzInkTNrJBAmPyV9bzJVO6SICK1Sxx+1lsCpKgabEwiKU9
VmLiNnKi39TRBHlY6lcrC+z0yPeywPTXphYLrJuMoqolWqVN+W2AEC/Fq2MJAkMBLkzS63Nltk9v
r+lLs/G1ybOOhOK+jyU6MkDJV608yqLqxl9ZzhetzLB5nYs+WKnFXKwtkFKTAFqKAsn2Y5wXkUNt
tnL7H7SFyc5iJtoKlud0EoKXUsvAMkoAXinyfUOub8Mu11dCFpemOvh/dS6DQOptef2tLArlQnCM
1MdTsAFfUhIfgeN4v9OiDihu7YpmZXFdnIEAnFVOLOCuXtSfXy2uSKAYBdByCe7J0KnQbr9qqvpd
JmO1eX8HghwV5XnnIl4+P8grQ7omBn6v4TLAFRlOn9amqyZSs7KgFrffeZoT1LFUGKgpa2EjWXjc
QDAhENYyirmUSrHrTJkVRINoQzjX32V9Di2Eru1gfo53ikYi3C67rLUnUQ1WvMj5tKSqRNUpZQFB
Ph96TttrQcLQdR27jJQ1iX6X1WpQEyWH22BlBKV5GZ0eqLCkvzAwUCtBQP7U0lCjKCcNOfrfULMd
RaoZt2VZKI95V137MOMcIYyfdXWRCFWw7wwj2BXGoJEa69BC0LFyFDr3NBabKyvSIooKnHvxPCgS
q6bQDShvi2av2L2PELctN72vuBBLyoUdQkNwX7cNko/vnWNYlkmHEPZXzo9Ho6wMaSuxUwwKPNRV
jpDxpLTZyshebN8rK4spNqLvPEEKVtpc6zoXXkbZQWdOQIHLt0fr6xzuf7eLo11zNoOANSRhS/Ag
tXKZwomSIrbRhCnPGlQyeU220nvnzgcrsACKwH0louKLfTbLZYiajQauLt/S73NzLDdKXEc7sU2i
700I08Lbo3WpH8kpU3uELfHMI6AnRAB/LgbUo14t3K40hSuQvL5jmml9LXejBS2czylwpZ1rdhft
1FsfeltYnuwkzaqrqEduqAjgCo5aobqCvVZ1gLZIK+7vUufOp00YijjAA+ReLNLCTMukyujcUNKe
GqEdWhCbXbSjjhwJsCATmi9vd+/8jaduAWV5uIXAL3OytpZnQQBhPRxcPrWWXg1IoSwrV4En0xay
4f3HTo7SnGCogBLBy2uLFUE11BT3ulrMdfXJRoyndjs02vsP05YG+xTMN6Ipz0mb0y7MxjrPVRmq
SsEo+h108akdR8adCKWKnVTv4+WbPfaptXkWvdqv0JnR60HHWyET60kOOjCx7nhyNY0rM2M+nyzG
yQCYB7cMNRWklRbnF9Yxkg2QGtuUkdXHwBTSXQ4L4zFPNaggDb17pDgLsF5KGKl//1IgdUu2ivM1
F3Jl0Uhomc0pbtj9qeSwHpJSk2+pU2wdyBhLhGh0WJeLwNNWWnxhZpKP5aLMCZvKAnmxQXAn0RtF
Ar+nUdpiQ02T2AVkWTBDwED79iK4sNap3Xg5XUNaxvZ4OopmUY/IyhYcqIK8u9Lbsj2kyFceQ0Dh
e6qYG+DOZd2udOuFISXEQdyBgwilnEtOxyqggKhpsKpAEejbSRiaLkzY9VHLlfZmUPMIsV6rdsqw
C1dMnx075k1Xh4+Juie2jJfI76tpq3l9VpQlHsWPzMKW4dbeEovpVtL/ZyOIFaIP1nwn47i19C2V
NyiApZizU9hIMOS0EUycYZ3slcLIPrw9hJdahHfh+GkaxHKkxck7BqwMpV1T2DGE0wXoY2F67gQ5
MVamysU2qXOJD2XR6FEsnFg4Qbrci23BrIwRVixG9Qpar/RQDm29svNdMmUw/0UKNdlojYWppvey
PE9RoQNDi8JwNwpwRY5fA7TOVg6HlzqPsxBLQNLmyqmFcylTMwgHuSjsShVDavc46wZ9UG7ePUTz
NsPWSOeBflhcY2sfYdAyDHFh2gQoVa+B6MP4sDJAF9rCgXqO52EDZPvCCqsIrkBoQe0+Hi2HVL3w
vWstyBbfbsyFwaEkhLbg/8lGvuQUXq0gQ07LQPDjAvxM622buKmdWIE+hXDISh7mYoNeWZpff2Up
y0eQ0mNU2JbefTaNTNlksleszLWzgwds3YQmZ9+HzyW9f2pEaoYSpXZIBqCyAk8ZDeUDzOtIrvqa
ioB8Pwy7t/tvAQ1i55wtSvJMbAA5HOVFpxanMokAj2JR9S06EDAx9O5Z7HgW0HEYYD1AQ0Pnzwrd
1i4TS/m3MArHWsuKbaD08f3bj3OpkxlIfcZHidR0LdofiCTezIFZExvBs9EKoFkDvVuJ810ygoaa
TCkgN0/iEKdN1ksEsOpCo+wkrGSU03oUI1xAR4W+sgYujaZBGRwOnupL0CinhmCzzERlZHJmUTY4
6B7ottgLW+oK9sD3xhVrl5plgpKY6WapXVoeD9qh1oe0y5GSbjTvKu7G8lDgQd33jxCqiJbK+Ycz
5LIUzUiMCpgs3jCqU+pc2wAVO00J3z9EdBsXKLwhA7XsuTiD3M0Kg/mMagQ3cBCqjhRqwXvDRGB/
RKIPuA3uNeaSI8Cc4KoT5rkfh0p6nY4DLMBeZq742/Mox2wGbBBMVgSVVWkeuFeeI9WnXBNTA4gt
pa8fhNFUtlKZoA+iWbYudjdmr90Xgugx1w3vilj3UbeKYmVvOTtb8RBzXSopAiItVFyfPgRV7a3V
+AmHAL2TpU0zBHX2UR00sUPBoO8VZ+itJDxUoD7XQrQXlgE3AXBYEHACuVwe64Q80MQ2tXJ7TCMl
dhDsGWF0Cz8oqq+CZ/X477vnKBvPTHGJygCdvvBprUyBxyTiRdQgQKmjVqqtkU5rK+F865EYUqJj
zCANyovFbk282R8qg2HVg9BH0MbID2M2GQe0VoKVKXTeg5iC8ISqZixS3H86ePhKXaw0ejCPtVBw
xzxBK0gEN/LJqhXtZ9Cnvbeyzuc+OrnowOHBypujjLgvmBxOTQZINA1+qVBumKWCiwyo9rmkquV7
2RqJK0mZ/J0QyHBVBArM4JVcP789hOfTlVJebi/ccjhF4tVOzacZolRd36KTllS+m+jGz6QynuEt
AplsZandqmsnynP3OVvkwkomjQirslildR9GoSyVEFUKMhfWsm3hIO6ylZGcJ8WiW1WV2C0LQZ73
nsWkkaMGBFyOvEIVUYnimFkYPpXTmKpuVXjqxzKG/9uG15J4kZGgrbuyMi7MWRh0OMpy/iNyJC9G
tZpAPENhiPwOdZuUQcZj48BvGTzmdaVEK8YuOD7SJFyTqWMjhsJ94HQQFVmI1b4RWfh6/RG/GD9K
nhW7UH8mkqvWgfYQKynXZDTf6mYrex5EVWi0lZ+CSkX+8u0ZdaHnZ8YeonIcrWfA6OnDyEndVFBR
4ezLgOXatc33HuIXF3pyC51xL76uzc9S6Qfv3sroBFLoRM0klu+yWlpMLUD5BTNZG9UkdxrfU6ad
1UlhvdLdl8aWSxf4U0iPNUmdX3+9zWRZ5IE6zW2/br1P3RihazVKlnfVhCqkH2/35iVjFiEroo8o
aisvAIpXxhqqLNG4Qj1sIqp+LJCTvukzQ3ARoOof3zZ1wfkhSYAZkokGiT7ltF2Sp2qjkdEuypq9
n1RIjJ/Mxuh2MQSre5KZwZe37V1oGvF5EMfA9CEWWEJOEvTWUpgp8evosrjUQkBojmSujeTN2kZ1
wZRJupktkaYRKV74nLm01K+bCPrnUa18xAfbFumpKVMOEuqxmft2wy74VIoOaBheTpyDjacdGVFa
kPitgMpAmkYIigV1ZAvU3XDYN2v5ZzNWnbgr2WtWbk6X7BJqxCQFCABJFiuvbXopkRUDu0jAtdCT
huqNPJJkrLIw+NTnav7B7AJh5XB3qW8Nwh64Oi65sNudtrYzOjWlRgZX1xAh8DJWeUFNu2MYtb7i
Wi7MUOibAA1IxItFAOmnpialb42uTxEsrKfJQclO3o16Z+7byotciBGElSDLpaZxpZ5TJ8SKuSye
2qNK1S8H08pIb6r6QRYm2U19Lb+f0HZbcSrzDFzsVyanKPIMBlB6NshTU6peyo0/epkt+mFyo8Kn
4UK8GWzfnpkXrbDvarJGJtB62UheeRMxLeIUUmrE6qOkpFpLNK8CIejfHQeTSDgSjYC6TYThQz5t
C6JCBElR9oaRQBsMBxR6Mu7ViJyaO6KXUK64yEuzgujUfI/hUAF936k5UZz0qg3xW0LTPHTNdJfm
ZW/rnKdso4zKlYG6ZI343gyfIkTMve7UWpFRUKoULO4KNtljFlbKto594yAOQ3E19VO70roLQ4ZH
JgptwbtC2nRxn4gNWAMGCgLsnuIbcrKBKHdou8NovtKwC5MdE3NQjPgsfCrzg7yaG0OhSkGDCpo9
dJ2Ruim4ASRFcxMJrdCrHt6eiBd6kU4kLQlAwYJpZWHMG6Qho0Yosym109AVEa3yR1apmmd7AkFc
ov5q8H7vyI5NpJQzCUfu5bYN9Ws6BIOc2VEXek4s+K4qeyFRWk3YqCjII0Uj9e7bzbzUpxyqtTn8
PMeZ5m541adBEwkF+jicMevkKJNJ3FDZ6duxKq8F19cszXvDK0s65PkmiCDE0Nom7A646ibZZGPc
FU4YFwzl2w27sNVYaNwT7OZswp6yaFgKIXsS1FJmNyic7JA0FT5O8E1Tc1+XG2GAx90oQ+/Lf2AU
naYX+BG3pYXRKrVQHjIRoKt7OjEEBvIJbu5PSLhXW1EvlS1iOeqKzQvXMxw/p2qwqUAW1EW/1uaU
1xGMhdDMlxICdNnRKobky+gF0Y88VdJnLRUrVxNEqOD7IV1Zk+dn6TkjhAvlRE3N1XLxi2puDEoS
UtltDNIdnCKjDZG0/01AjOh6MgVvU0MLcy0U9crON6+/0+1onq6sFM7RBBSW21GGtknYEJ+0PRnQ
EOkMfwPhqnz39oCeewFunQZxSCBlxNGW+2tnZDOfbEDAxmuDZ/gdusBtKMSDyc0b8uem1fxvb1s8
79D5nktIDVZHmZTswu8ETSoEYsUJIkUJgkLeMNM+Wi0F7nZFSmWrIdAEm4kvdpD9edEaYuGS9ZdT
vKTBnsU5+3SRdgJM35LKMVSEGz9x0QxCLbbXcpgGrT4JJRs6iQkt2UFE+ZFgsfTr7dafOwmkOpjI
7JLEGoiUntpH6zjkmIyTkIdYOfDvt7hQ+50cmOb23ZYIkRIZIo3zEmA/tcTdAToEyj4pl7OMzM0m
sx9tKyafv0VPeAxW3NH5KlWYR4BlZ6gbjmHRsXUkUOOP+JCtQ4r3kw3EjfsodiVUrjdNk+U7Px3L
r0VvFLtoVNTPbzf2fLFgnVA6HFaiIREQWzS21fW4rbEOaiy6kgod3rMok9+9JGcrkIFx8GV31hcH
AVaICUK754QIy8ExGtWbzhyEw3/QFFOeVz1IT2uJqanB+Qkg0ujIfio+Akj3RhLQYreGA7uw8glu
y4Qq0Y7hcL04RZE71dI+a5H0FFXNtdAu2llS6h/A+g1H02yEdx9JgS6Ic7ID3si5PPt0iFDOoQZ+
HiJBiJRN0sHDrRH32qT+oH58uwsvzUVQlxAXzwFLMOmnptIoFLlvjez5kHkfxIjSe4IJqSuPfXIo
6gpNCXLtd1oVFV+pgStWlsIFH8Mxji4l6gQYfokL1pIY8UeRw7c3+AihlEQUP6omRLW2OBjVoywL
WgfpV1g+qqE/ViuNPz8XcMKifJVkDxFwfYmWyoWpgMggIa825eJXBiPU7UxmMTpt4CPOGwAxvPdR
v/kPHA6GwRYwyDNt3sKxN2FYI+7AJWCUytoReMJDB9nvk2S08crZdbHcWXnQxYIo5AKAD+dkdzrA
HmJEqaWOoSv2teZKZlLvpBziiLen0TKo98eMiT8TFRb98q5GLXgqhooSuhE5isZKWrfzJ2GTixFC
w3ot3pBPzI6xInz0Bm/YlmQ77zwEHVdGdDGdzx5j4dzUQkShSpVDN6yq1B40o9pxMOx3uZEqbmxN
m1xXGpvVTOANIOPm7V5Y7Fgv1gH3gVaZiRCJ4Jz2NewCeRgZbeiayPkctVIfN5D4d9scHreVhXNp
WF+bmjvi9QkaefoRObnQbS0r3DRKgnT9UOcrw7pwfC8NsubAMEAq4qPW/PorK0IXxFoQRvAaIv7R
H0UQsJ5TQ4hcHRDwtMQHo2i8d57mZqOg6MnyUV8+1+IvelEZ1bLSciixei/wrxuo1dyMGbxyWL3Q
NGTY2DyAzvDP8qjcUijiwaIcuNYwmulVKyVKvG+QG0ZkEO4G6n+MAo//9gRZOJyXppG6nFFa2OYy
ctqfOSRaQTiqoZuic+uRAC7acHKMqe6lChUtY7Ccxgy6fue3Jdn2t42fTRny+cx9cBEA7fG1iy0Z
pkVDFbwM1amy8ffQtI2ODuh1xcrCo6sz+bcIyzEZVAiPoQE7bSIkMBSvwErq+OHodw6yWjmyloO1
EaDj2tQju3WaFdlWkSd/ZfGfLT9MowQ6Y+Fk0ilLJhUrykUvRpPekSD4kD7Cd9SVn8OmQaYISWWj
blayUZfssS7Y8znLzQoMp00NJjWBPb2QnTFGkjzpJ9OF8iFxtHaqVpb7BVPE7i1C+ICbWIfz2L5a
iAXVXBWsW5LjcevYeGU2uQP7Mi6trFYG8MyFShyoQN5w5IZYls3p1FQE05E0tD2tqsX8KvCyYid4
U+rIguHfNx05fq9vEQhNB+VDr2j9yiCercvZPKkRDnUgd5ipp+ZlOEI5AweywyQ1d8LUyLaqVwSm
RaRKSzUX7967KqCkJgfNRkxOE5zEqT1Et2Mv8nBrchKr+zjJuk0ZIvH1tpXzVp1YWbILxdBTC2Ws
eAiSiobjm3ruJAOoOymw7rpO0Vb8zCVzRGdnYDZFFLTvtFFaRuw0NHXfxYmJ2UwuVo3QvwfIsSB7
b2bqKGebsUlCdft2O899DFFhqgCBwAKeJIB1ahi9JgS/UllwFDPXvwYxacy8ficciEGC6YStgYgO
GSBW/KmRJB+TABkS1RlpzldLzOFcHrJiJQJ33hSKHyDLRt+FUlCwEadWIigF/D6yIleWyfpoZphv
BOBrh/d2GFbmGBEpUQJTy9AUPIl9UJgw1xWqzMmMclcYxeq1+XDuPnRcIldcyjPJuOrz66/cB6F6
b1TghXUFOMZtmPzZ3nop2g+oX61029kWNyOaOFOhlIdYGFGoU1NVPlfYhmHslpSJ/ZjiNn3U0Bfe
lpE2uLWZC0efIOrKfL/UPpAQCvlbYAGUvS6MTnSwX9KLURiUpIyBsdcyIsPIRPYrK/mSKVYU+wv3
FeIii2mBFFkXUvZFBmdSmlu0AmfJMlP6qgIwfPdimiv3wCARUZ/Deot5Lk5lOBZw0boFMkI7q05+
V4q+Bj04Hy/mA+kIMP/ztrn0t7UiwRpEVSsT0Bg/tfk0oc6tBh+oea2vxaBIrrNJqNZyY+eL69Tq
wk94+phTruWFriJ1074rwmaX1528f3txnZ9FSGoSQWPbpPyc/ObptNCGMYxLgUuJYLbhxzRuJ3s0
hsxJ1UK+koLIS1HQ85Q90rBrog+XGsgmxs1W5gwEyPrU9DDVhSAMA/chXR+Qa5XjD3EjrkWSLloh
qE12n2gvJWSnVrSoBfHkaaFryF23VYo8BkMmrcV1z6c8dxocIRIKhEDgYTu1khtimklNELliO3nt
Lu+LWt5OURWn+zKVmzWl3nlav4rm0gzMUYwCeRa3KG6Tp+Y6P1NL1E4i15tKdefH5XSXaWHiRtUc
q7LazlqZJheWAFG/mWSOuDnH48VYIXysCp3RR65pcNpoGomclSHk5p6LSrPtwJR/6Iy6XlWoOW8n
/hjQDVZ19szF4DXCfPgqO6iC2Xy2GiSqB8R0CenmXObXCuYvdCqHf52UHAtPPAuVWZk4GpZfRm7d
NH5O6RlHPwf0gak7oW7VwT5W8zB9t1sm0Ahn17zBzRyHi7Mc3JB9XSMm42YkQx1iS96j3jfKflLy
7sfbS/3CSiBxxTInUEw6d4mgalqDLEDQpS4YesPppE5zksn6+Z8YIRJNnIMysOV1WJQKiALzJkUb
1us3QSaKbtZb08oOerbcCJ+wjZH3I2YzA11P5//A5Y3kYpS71JWXd+g3W65YV/0uGCX9y9sNOnOQ
zHdtTohxSqSUZ4luy6oM+uQkLd0o15RHD2SWB1v/SIErlNEQwbrs3L0ZOGpflPFz1LeWsjJFSKGe
DR33J6CSHJBfJNyWCGWuczEFnyhWjBqC1JUtQG0sJx+7ZKr92NFTtU4nWw9TuLNtaifrKIHwEXn0
2JFI3XnlxgpFKZUeplQZg29hDBYDPd3ELITP6LcSofjijXGURXsDdQPhZ4Y4m2c6AsStQmSHMYTN
0UbsfdFTnGDMulJ0m450b7RrrKhSHruhsCAR1oOgn98fTKXytTSCtPktNWLRf5nkSVduqtSo0p9l
rMImLSPHLG0iIUcLEQJd6GCPbRGFqBZFekRyLOrGpyFA66m1s9avImMrq2HWOqOEyqVlk2FDp0pM
ZqYEZMURQyW8I6tXOnWU4k+rpu7pU8yFUInsnJIoKUOtHP1wt0uEqM14+HzwjkUVpY1D5jbrH6QR
kcDShsvW89yUJHnsRGNjVZ8GVami2yrXBGWfWJZHgJC25NrXEopLZXKVsh8MbV+Vkz8pm6aLiMU4
CQzPqrGvglrod00K1Apad7OTDZfKlBDK/9QqrdQex8IT3TzwlPE+bycp+5kUmS6HuwaWwC9lzXW2
c+FILoQb8LK5d9OE1gTYuZXqkItKV/OoOsiSJ6n1RQpalSnLpodCL8C0Wj60EZuhFsvGaQ0tie7q
mYMmdQVFaK0vmjca9XPRVknQOgSZsvahziOCrnaXRUkFQzMEp9Ie8bZmuNdDiJy5RfhTW5KvjGYd
bDuRq3b6og9G4n8KNbMrhS3sAX2XHJK2a4M7I2iLrrMpmTHVu7438gRC6cRHxNmZs7KcscMRPtkv
FbI4IveurLCaz9Oo9N5gh502CXdmrfjJD/RoYtl3UqhY/dqd+iqSTTL+otY+INQtar/kaVL9mKB0
XQaigzq4EQVOaHaVVDtjW8J56fpW3vuYZyFbj5E3pmDW20I3p93oa1n21dRimJdt8BLByN6StEb/
jK/sZNFuWjWePpatCQxyJ8BFXCu2HGWzNnLso8NZ2aE5yd6vuoLqmans6TVlC4gZS+KTqcJ3Tr26
ipZy5/iRUI5fi8CapGMvF+r0Cf721n9QLK/JHqlsHRJXg1i2dyiLmAzbFBsvc7s8HMXrFDoniv0J
xkOJLIAega++1TFe9aXxYRwjXf3cRGY7bU0vxwM5wO7qQISgNpd8YV+OCZlXOyvVcfyaIaoVBNtU
HKFosI0YFXigu5GAru+VgmhPYTmTBx9nv8sCQTMSRwxMwoD2BNEvZ8JWoIrTggcexd6fWiCQxXK9
oAYFZEvoeufqFohQZlItJwnTKNmROGX9VxCWAlzyVJR72QdZ9gVQqnD8AEu2x9xEMU4rq6GAG90X
J/FeDwqIE6jaGT0rsqcGiExr42C19kcaQQIf2ILsWxWk9OAh6vpoSOhpNDdxLmpJdagaJGrbXTVQ
Flw7HZcCQ3cLRfe0D5kS6WkLb1EI2/ihwVtHYKQlqylsBf4azZFV9CpiJ2x7s5APk5Livj55iTa2
7T106WVsberMMnrpUwXJP2uc0jNNieacpGBcD800DFcmoKFa3hQ+5Pg2ahSttKnrEUog1xL6qPqY
RuVY7ku4PMIIRGGTxxHStHJv/TQR9fC7bRON+u+mCHvjShLjWnw2QuQnHlODanxQf4CVAB5SRJr/
lNFZ8Gy547Tg9EPYdVeiDmvh48gFuf0sNnmV7CD01+Wr2oSLysF9id+NJoXcKGzH4lB5U7JD1VuC
IAL2XsnW/d6/1j05uLWoPNjKiRXfklcryPek6H9pj4gSpvGGcFM1yDZJ7zy41YsOBWsKXEtVeIL/
dyx+0KZQeWr0qCYsQDGSteOxSDlIQdyODjiERNkBtxaTq3rMPM3Ve47pToxKY/mktLIpiLaQpmXx
QdBiK7lHzyYpP0jswN7HUg2H8QP+rniaVOTOP/uInXs/jCk007soFkzjrinFyXoCC1Tm2zoXQsMN
pKIbd5xVR3i2hwzQ6KYUUu9XbtVS9RHYaphuBz8crO9M2Zw550nAXe4qhO2zn5anRjpFhRX9sMmn
rlJ+hWpHdNoW8kpmVjNHxOFOU1LSU0I2NvpDNk7ldAyECI1VwKleEn/2fLMRs73a13ptbEWt8gdp
P3BR8AZn6s2o+t0hSSj+QnSzzJBVbyS1FZy6EVT5u1wNQ6tQPZ8N+uRSodHViQMLku8PtmUFoUat
Rh7MqNQqUMqhdvQxK7NfRpuK4v/j6MyW49aRIPpFiOACbq8ku1urtViWJb8wJF+ZC7gTJEB+/RzN
20TckaVugoWqzKzMljTJaWFTtio9nXxMsnFGYjBkV3MpDRz0Ch/y5Ai9TA27H6BMcddO9xTS2M6X
ON5a9s/hPab7WgTGTxHKYBcUD5Z6jvRgWd87dKFzyg5VvVIaXZzQFToQNJYksUMk4RmOrMhRtYxf
bQlx+loY0f1HJlUTg1a2xKeQa+O+ugLELPM5i34WTeXc/V3WI35G4MWNnXROZZ/C3tirkveruFOV
X/Wk8lTTW+xC/KYLBuvvC6Ke53Yfmv/COtDd1Ug+wdNoTPjE0mmp/38tvJcxHunsOS7hTW+mav1J
pxADSVdB0l0msmIMfvO60CcnKqTN/CGZg6tjcZC1IPftXgc34mHth7ie591xc7DRykmrEbeDDCEe
VgTB1LbNuQmD4o7pZu/SsWuPj1pwf1+P2pvkaawWgwRb6+40T646h/HuyrN0+vLC8IFjyLir0UHU
VkxVPnb94GQbovF8hr1YL4br7R0TedtmU8EdkwVq46HUe4sr0IaqVWf7bFZ1vdRbtKdyi9GO4RSX
lLgHWbPl9S4We1NiebGnTdNHV4rAP4tdjYnd3BFcQ6n7/auylSwpNB/uWshsdodQ5L71rIvIrqye
KXfe78Uf+i319mT5JZuo/BWUtvhXwew8uaSKWL4RIZxzVQ/wSLi2O7wPQ5OYNIkXmlVMY8bwbizI
zHwahqNfLsQSN+O1xe3dPa++9uwvxZb5lMspEnXaBIuBBho4muFCoMWp2GNnyBp+5uH7OYCE72rY
Ml0U3nckJ95juTzoRdAl7h2XSBN1JCn1q/eRmKC7Lf3hsDnK5prP4FjtX2pxTGyUH3XzZ+DR1Flt
8E332foO+Gt7JEWkqvXI/sixzxh2unMjW/4nMCw9OMGifZX6jVu+klLRFFeyLIyXRnQqSDCaOBmy
xG3HB9WGcXWOvAY/m2RZQ332h8WB0k8ORSjqsQx7Vm0oe1MRuJXk1e+c4HSs3fhsoqULfnaqbNzM
hKLRhNVE45KqarL2PojKkTXr0k/KrC9N5OYDz3P8MR2OdzWUxC5cD35rC35ISLrLaHWP1GczaEt1
pClmy1HL9tx3m3jwkFYNn+6gdsJUqZnpFNq1zKty4p/1VZSo05ZsdHxhVAclSvE+uk3aJpIX4ixi
saYkj6ovdfjWfIWYrryRG8B90lR17ef9QtLZWR+lw2dxlz6jW5K4cRvkHjeFnYNXL9iX+KYv2API
CD4qn4+o7B2yXiZ7azey5dPNGJq87RgTLw8HWdoM06kEy8XK1o/75Hl/FplUd3U7dDLVznd21BAn
TZ31xUZhNIcrf82es/8RgyqSVGyydp+JosOuIEDi0L2pedrAxtSi1/4Hr+V+YLRoufnConbEY0Vf
+3KsAlsXZ/Dq24GEriQbcP0+0kUNqsyJMY39Kx5VsJ2JBzALR7VPnjfWTZpTYWtdpCUcdXVVE1IU
nhVSHZVurDFF50IXwMGHKLqKvELrvklDuglTXlCRWMMROSX+hhq0sFVBBMHm4EEUlGV3EfTT4++q
8cnFiSNSJxaiv4G0gzZSXWpYkeyuZvZdH8HeSJGHP9rc6ynSLhtigpmF9yusxXbB3Nw2V72M5/GW
XoWpTfFYmitABv4dUmCCJV8swV4pCyzVb2j97ovopfK/ahzMf1i/VB+mVO1dH6DNI4hWjI9Hs6qX
vhCtzcl/lG+r3zvLxVF+/zIr4VAzO5eUuciGLU2BQ/pnHtBQ+JfQta669ttueYFnD8ojY95nejt0
7z/P7NjtJzaQxrwqCKpLF8GtlSHjxRuraIn6oRnsGVC31g8fYeUxpjhYZkrOaPSd+SyiObK/mj6J
1bWWinZYb050OtqNeyhd6t7XpxGvujoNhajem5LN+RTRmtO9NCu5OfnWkR5+oRQP94goClZ8/YNg
mGhNwlQeDT4BCCmSf87s2X+OFsk/okiYbLemmPZsdVZyELlZuM++cxVq5pDOOxUB4zm6l2+zSOt2
04cxhk0XYnE7Es2Sw/8LWcIMpBNX0SKL+VdcRMNn1+/Cv/HZTr+4ThjXGXD2POHDAQp8ZnNFjVkT
FGhPqmpyX7eh2HhdhqP8E/aj+REesvhI9C6eVt9bnxKRGIKd6XiQT+qAreKog3Q61U0znY3slvqU
uDYu0mqt93tDlotzbqWxnxF2pIosql3/bXw8EnB56f0wL6wXXVpn3hyAm/L4WBy5sSo/xr292tTi
fxoj14idnn34GCkexyla4+beazznn7d25scmwMHP/rSEH1vZNi9VgEMGK43tcrOGJS1SAJmypTsa
n+2qRYS755Opu392csRnv9jGo77t+8960FiyLAPBUg9NPUlo027rv9x2mffM7IlSp13ItkW52a63
orPjzICwT//KUBZ/dn8sn1au8EfC2vR7pQMibza+tb+ETc63tptcev2eZ57iv2LdjMQ++sCWZDfW
duWCbMGRe0sOQVWtP5KZMTxtrNJMVXv1PSbEQf3oep0ladCpAxB5Fzej87bs25o2Ux1EF5hL9z0k
YC3Em2QRD3IOeN091i4jgCpm+Nyy1j6nMrKkfTQoCWLYJrEnJ+NbVjiUtcPNAecrz8ZjsD95k4b2
1FLrS9TwXaeJ7nSYDau3lum6RByyYpPyoZji6hXlRftivBUciMFvXVJ/JPc9LXBgCNOOJLdn1ZbB
1zYk7b1Z6qW8sZXw5SmJaWLOs+1inan1m1FxCre8dqeo1Wdrk+SFO32o8y2o+9uGDW99TTB5+GfY
fHFvG3EEZzeuCMeiYV1vonJOnquEuFl2HxU7BotvgyLbq2k6xa6N1NXkyr7JSjnK/+LJt4iA+qK9
JdnoeJVmHXU2B0vYY3e0C/KdeTKXDirSnDdSs96K0u72jmoRdOfEU96pk7E22YRkgnZ2LBnuCj48
386e7G8M3f5LQF7fTzWz6JvWegq8tBT0ALmndudfWzfdLet+3yUc9Co8kwI6RhlbNPox0vuGcS/e
DnwBhwkJAA2cBzzdfJtV4xH2KdFCRESWtO1BJlrpXAcE7QDrsQSBD2RniGrhfZZ/YfiKX84ol98S
Of0faIL9tmzXxma6apPfMVmY/4EEto/zOnafTXD41wMfk2Bex2f8tbBEuGWg+UcHZ5Li2u+XNub3
rjsnShTanAqSjLzUlcXEN0vNAAfxguW5xdyDYd9DFUH1jKbHjSnVpJj4Nu7tuIvgz0Yc030UNvNH
Wyv524+g0NJFtvpTLbhOpbYF/8yWbgg7yl7TeulMBvIHDDNN8lol5d0RTHZOd75EIqiUU7NaZde7
cS1pUhx3dfO9iNqBta5JhOnO3PEukGa9x3Uo+bu9kZUQhBvDRY5NodJ9my0jEGulDP9HPUyXohPm
voi/Q0FCqFidThVR09lCWvB6omvayfZZjuYNmX7x6K2h2dKO+eggrPS7a5vkNlz1IX6E6UbU3JCV
Pgv7N/G8zx/etsuX8EgktVsc/dNAVtPvoPTd/TpRpXoZdTP81Uis77GPGEjaCuvEpgMuGG+OBUhN
PW5glv/ryX1ut54roKiwzaTEhtGT7Z3o9+qPjHKoiOVrtW1cHWbY2fohftm2N9pp/Nt2YUim9/WH
Nfd7V7zV8YAtHTNDwUAaS4ycFrqWu+4gzCUdZTttKa94+CmEactTNRmMjxom4qwtlXrofeYJcCA4
5Us7Fc3dfGCUcClE4l7Hi4q+yk72N+jX6WLajRbD1bF9AVmOphwZcmEyG4u4yuOAHE/+CkmJkuzN
39eQTX+/s5LDs9aDdw7CjY6+J0Cuzrx5Xt6dySSPIeI+tPY9liSpCrp2zhK8H2+hMglfhHirf5ad
0mM26t5rMWTd6L1iTKP8VBPU9nNNBLFcnRn9I9PStXcyLveEq1DXzzEuvEQfjbqOzn68umee8XjQ
ubHq3HmLeEdcxLo7S+/ekgdtsNy1bMeZKwVL9BIJM1c3uEZyOVa01VVKLRJXSeXY7eKUYxTlc0Aw
WhqQ8/0mActuCrc9HhbdTsnpsJW63ft9DhjAgt0nc3JfHmoTcqv1BArWebvO/VUdQRSdDpSHbyRc
Hx9TYp0p5xmqu9VqzyXebuFwt6rofpOAOn4m5BCWWUiH8heSYb9vIqOrnJm5/6HtLtpHBysGXT4n
IyBwbgdfk8pTrPX87vp7R9tRr3L9IcluDvO4j6f9Ux3CWdJead4CwnV5Cg6tOpPh4iv/8i0AYMW5
npO/YUBq/Wmal8O8m2J1f8YQh1f75lS8OMe2vg2dSf5269BW59jt+1eM0+XvdRDNnBlfdO9Oza2b
Okzcvw7RJJguhclwdueQU5qEq2lPYlmT+GTXYqyvZrDuJfV64tTvyjahZzkYi3+GcgFedK2HM4AP
gN3m9ahim2JVOthTHDeDAubwu5/KYpyAdfrRi9TOlX3XsqEN9SK3j05dyx+TD9vEr7bxFC25c+z2
nuZ5Ypbd233KOhC9+sR2fteBqY3Th9i3MC7/tsc3pLA70/QUE/oYnzxSx2k2zLSb7KiDHmQqWrWT
id0eA5fKOI/ZAKf9z9sjB9tfnkPtXQWJGf9MxYrLaRGtk5+BMTPW7JG/gvSIcBhvFumJFotO3wcd
wlgPlHgmJjrrjyN4XBuj7jZHmD632jAKlQeyvayyMybyBH2O5ux59BgoYEpkwN3YzQqCxvbPzbx6
Dv/3bfjh+g19294cTnc+QH1lFvZ1+NS1qAZSu68jiJvqoh9Y0vlRqsdw/Y+FeLumgCHOmIc85jHv
ZlEBWI1J+bjtGOOkACXKuWyodk0eWNw5s4A46pmj48n7tiiWZ0iVjtl+H3r3u3y3H7WVK2UaqyZ+
vKabTkXhbi/eIZOHsbPaXpDrN49LX7peHuAR8aQTzBvx89Y4vveh8aCr3GqlE3AWzyUfLQEyeu2q
pkTj0ZSbmw1DXx/3SipGtYBrsEtjvQb2NB4C407RHqa9refYvZrHUW/pCP//UnGqNMqaNq7AKiRx
amaoeaFqtDJlapF7MYiGQXlZSz8+coyJR6jMotFlGmM6XmThWtgP2bfauVRMqddgqv7DEJnwX+Un
cqVulXrPFg5QlAZtezhndZTqyOfC215MIDqRum69L3hjyDaChKmjLhu7EcH3jjeWjRFd+IcB5kUP
q34Y/NOCDJ7WTHT7Jr6HJJp/FUjkHAh/oBC8bM0B6udqiIDaTIfI9mJBP+rW3E2tK9tPURGJmO0y
US/kQwbjqYsEqeyC+eAxsQ2dE9tFc5U6znKAM++tui58j71eUpAJkwtwZujziM51zlY4vo4nSbzs
KbIymLOgGeXPZHaZq12WLp+hfFwgjMldaYTWVaVaxXBSe6THx7Wm5c3x41bXnSJyM91KsU35Zqrt
0yt2p6XfM+NdQzSre+3pQrzMh/Sf0P4eXRroIgFhdfp5PnWwfffHEACAVWWgf/2fZEhJ/h6/vHW2
D6Iv9Ksohqk9JfPUfAW+4jodN3t8ml3MD/7eV1/TgIUHw4FfEP7Xh5SgYvBet1bi17uBPl1F3uD9
LVZKHh+VMwYveqz5avv5DynwAPPHseG4tcZVy0oyVi74tTXBiXtOPsCgLc+MqseY+WWwvyGSFn96
mAkusqQikbBdXdHc41YKn1Tqafs57nG1o/cnyjcdvWj+mh08W+jWwy+BiaOTMYzGPzzPNCC9s11+
ka1IZ13p1blvm+9KY8mrf+q5PnVmtLvdQo6wfYuQORJpUS9ueG+DQ4ZQM137ZN2dfpdf2T94VoTY
Gm7cd3G0UazmKHSep7hvptuliDwLwdRtQV5GLTAlFtqxd7VOEqusAIeVINduv//jG/ouVrSaKhuB
U19dUwGWKvzxTBpIYI8Sa5LgikvQBdfuCohw7+iGJ/XtNHBOem+/o+z5PeMH7X0axmL4VwhSDjPC
tSdG4c0fnhubLCaDL68XcsV7TF88W7tP5Gs2Thai8nlcaP9nykFcQT6xPrKyGW9Je9ZVaXF/L7px
SxW1jvWkrY72a8lG4FccNA3hou4qu4xDsr9tayNeSreZa6jgef7oSZDe040gOZWuBNU/hliT/p25
eR5Amt1H/HoH73FCC18A2XWK6I1vhtg2vTv/LkD+nEvj7+tj57hLd1uE+jjSidcrPLOMCP/XiG/D
42+v4VO3LPTyflwnNWqeRZD7SojjJ8HMDY0s9Yz3b1YKmmhU1aPHNux6mvU2n8pigeK3SPn4fneP
pmJunfBJuUpNfNUlvcKAGvTTURDTp36hFGd7Yzmx8eBE/7Tv7M9yX7fldoxDrpydnRs3i7bAfoCD
RzJbECFfQmxvq+taIo//vubwwxzHwaf9G0pwO2xovCID1j3eGru577tqYzfdPCVuWXofvsLIADxj
8ozZagMF/Httoy1KW6eDww/KaLruFsG/3M3bREsrozbIJhUH/+A9AtgOVATfZHHHzlUvF8YsTOOd
v2AnwOJkCe9bpqAPvbt97pxfrZCTdxLkFdaZqWH5wZELyPioAv/N8ZIbnpXx90+LkuudD0RCC8NG
258itkPCTE7boi8G7/QbAB/HpANH6CfdUt/mpV8IJxviQ/iX3dX+uxP09Ssq1erPCjb7jpWnW13g
qbvXqamDr/kYCEun6XHA/OHmPkdiYu9tEk9mPgVb4v5FOD4eKcnlmACQRCHVtaNa87snuiu48UgX
nnONGoSDzGLnP95HO4EeTvDE9dbutHgob6ZTqEQ1npa5lrcLbhPQTbaXX4XfgQS4Q1zk1WxCc47q
AzVhvQaOYGIYxFLel0HT8ZlhBkRmOa/7eVhXv806nt1N7w4OXDILmV9qNPpp7A+aWlGQsprtwNX+
KegD22Sj0/rO7VG0c5FiTBS8C8/CCPVl7OlzwwD7HCnhjlkSCLFf13PlvSCHxRnAcSt6g2jAw2XQ
LuhM+d0HpGVRjA9t748txd30P8UMPcYtTdpHerhj9OQs4VaejdDdn2ikO8rqHrA6bckR5j7z2vFF
Tzb4j50L8JlerUOUzpp9HPkmcTJ070mH9447NctapL4qQJu2Moge0OqOKo+5h4+80vFEURLBynrd
hjvEuSS8pb0U7RQ1tx7lA+S5mrR7IqeyfmlUSeq5FxhRnwZ0SRI4zwNWHnV4ZN6+oh521aFe2esK
u7TDz6Lkx+cjD3vv0ClXJBzHyk3ztWCgK3MYH/cmNF2h8LBMwptQxcIC6Bv7s+KrfB2PgyVj2yT1
kAlF7SMm2quwG+6HaTwDCZWPS/Xtz9Ga0H0VTrX+Zt+D169fCwQoezfaJa9kvMisFCNSDFnE3vXS
8P59oBOgQMqoh+jyfIqtos3i5ey9eUzdGogBcxPEkfgmLgyxdThpcoE617+0Gt83boOoOEnLEJFK
HFPP/aZFcxfspgjT2Dq2TssNZ6Ks7QFUr+I9DL7GYKp+95SUii8hWq8Hl5Yoj9FAyedDtevdLp2h
vqM7C+/M6ET9Jdj6rc6CoENUQ+cAWuO6mzvn3eYJAJij5PBUQTC8b/vKB5n8unzqGLp+W2YCVnzE
gMHBEY/FLxWX48425REhA+LqaE5QvfPtONKmnDswdZW1pOOurM/68w93NcNf0YqgvrVeGFyxfb3+
Dbc2ODletU4/gO7hvDRLkTtFaQr/JVtX/7fDrX61oK+vcgyRThQjjj6ZT9J7nGpim7u83kb5oJF7
oBCDg8VHadstlMMmVbZ7WJBjumnmj6gZKIJrBVrOTaIJXW5UvfAoTMTR1/HYy7SvFvmaID36qFrX
vjpTFK9p5/X2o8cg2s2bahNP9BMHCpWJPz6Ku19SrvOrsoOTpNRqt2EHCt0JyjE507Ts5VhjeRT2
B7Pbsei0xgAGqAH3eGCuMZrj1F2t/AhcLX/5TrQ+ScGAmi7xtvz1nLKnH2EIGvMCWvO64wPS0hWr
f1vTkoYZGdzLgGYFz2rMPn2MabcRkQWvfjdeuAurz0iaQGMtvR8+Pk9THeYSJUydF3yBboYsN+Jd
LTgHWe35NbJlPMPgz0cEW+l3TWZphQcs05lIqbs+Bu6EkVPjKwZT7X/KbvOACv9oH/qWzvO0b+UI
rQW92+VJs0l7tg209mTDbsr2SEk+WcGW6OkouGDgxmP7Z1SO+mAgYI+77sTx4rm7w9aKmMyLLPfm
2ds3F9DINbBwXB/DmKHXgJluYz08bLqYfnTS83/NPZP+E7CTL7MJ5dWfnc2693LYu58kuNNiowBv
0ITVhf9aBfvABj6Z5z8ENHd1NfTl9FFtw7cCkRlEpQYbN31ZnV6JdFsT7guxrw10EmTiSxgiamkq
bC5TM/X6a2Ph4k/ICFrSb/i8nz5NAt0EHFdyGkJT62xajvKXq13ERCOMzneiRgVdEQyG77nusJ5O
19Vzn6xv7FNHMNkIdCmbDxR1DCG73v6zKIu7tFq+T/GyyHq4OkbVvw0QwhzopLV1JgAGnBTuoEpS
QCegqCNU1X2lxz7KZunN3MOGHzpPlVwroj0qwPHWEXt7JbsC4dBSWv1ULgUSi+ZbaJ9KaaodPdoq
3pjN2wc/AOrmm2/Ewzjr8pF1GsxzC7eX156rwYDnb4kSL1wQYBCphjXOI0C1V0DF8d0pjRecIqcF
l93m2v2BZrIPM/ZKAK6Y10JY6caN9ow6i3iD1qt/2lfiYXIx+TzwSkMl57wCbHmUKPbeROWPNver
3bkyAvqdGl7aj3gMipeALobvKRTrp+sfsPwsxNdEzLjBzqAuTPXqFnVQ3GDJah76CceYM68ChQ1p
HnflEJCDDAO7TSWduz+DN3VjyFWxD/OdkNSWNNKlVrlu5XSkItyLB/YttufNi/XnJrWcr1w8Q277
Fiqezm0ooCVl8AGOZyh/0VxeDT4b9mCx9XBxzISyx0ox3vJRF6QNkVdV2c7K1VfN+eE34N9+Xpwu
/DfKqg1PYt76j+/ywJQG54GPN53EdVTYDltD+NL3KTYu+w6VX/bcUCIGngGj+NHOLBcgjwmLH0fU
kuZ3AMShRaiOYcuTYihHWiJZ3xxBD4I9FujUATBQf5wnsasfKhm4PLupMx7HZ/ZvVADnhOeNM7TM
UKF6drRt/prhiP5U6MERZFa+83s5JoaioMV1R9oKtU3pOewYlqtT0JaHm/+bU9jcIcX/a4ulnTK/
H+n2opr+PDpiD0fIvnWuGm9Ez2QPSE4KdjNVpyamZU83wSSaNtB1iI0S410jyqniE0535DKFvfA/
esRwVCufa7jpN+eqWiZeCYD/5HHxRv9xBIHu88L45n3yuDU5fNJ8ej1RQ2mjmvB2W9B+pX0y1K9m
hy4DkzLBPTvYhhOOuLI6rQj7ZryhRsk0HylYjHB2nRse3IxWQ1nxohJbImT7FiAOAWlDl23aagpu
0b/PLJG+GX8ZfvRObf2rph2dcy+slheK66SySA+6kqgmgASJAgJPaLcb1cN/ut9MIpq6OI3YKN2u
bBJ08A1dHS5UIA+wl5AUFh3wyYfe3nzF+8RDKGZ0TDoIIT62+F6ZmjSzxQcev2epDPSgtyqMyJWZ
0ecCS4BWcG9U+rSNUeufSQkC0m5Wf34bGs98mZ47CEcuGOe80fv0M0pc0d4h9K1vG6pFl0Xme6qC
Y+aPQC5Tl2lE7/WGD6m4ZWsRGjs6TPMhK2m+4Pj4rbNaVJKDW7Xxwyw7AGHSDQ/mAfxvYV37OJh/
swc3BrdVMNS/EB1oTcO1jSuSmVqgGbGssqhsHlFgXZVAassd67TL/YbQfM1i4K7jinTEsa4e4Fqt
94LC4vik8drQw9tIFsurLhWrIKcZC67oWkDlf+Dybd5s6dv1AicfD3nCVIzGYhW4QzJfA26X0SHe
EyzRsO2Kw+RHtaqkQg1WxTTXw/BzgcZHWOXUzqdAHtHnR62C4oQ4JEEaxWja5XJBIwTT/f0CyHXH
rNDr423KYu6UkA47QmkG05e86GGKn47VNw5k5cHHZEN5uqC0NffHthzAbweVIYcYWZ9LRNMr/JCr
JjDNWL3W2CP4+ToMM64/qABpMlW3gxUvASVndhVDf4wwxEUyprVGlyIqBcUgODbwt9g4qvGIiqsJ
bLnGpIgGNxscD8oQCq4Pz9iOjXgzYaUWn0HuFXeT70HNSWTkeMbNB+NyP28epJUvyp80j2Y7VTio
3mAm44KwOL0QDMcLx9dYB1eFqen2IlU75R0eEcDnGldwhmkEJxHarqNxPwLlKfaHe2w0cVvdlM07
f5P/VUdPDRQ1STSp8Dsw2qRBA5yuFOvnuZ3aXwgT/RFvBce+bmXVVdeCxhtuox79p6j0cNiy7siJ
1GGvXVhD1703NDcfU7PFP7ELThAfkVRUnNrkYKXz8D39Y45r7081eFGQN411ro+gHMaHORnmJ7P3
gYN2I0bBPny39l3hqzmTzooqjI5csHndh8vvvmqZcxtsQSnyiDiLHGRcPlEO4JDYMUOS6/etEIjf
xPpImTq2zG8UGsexwdHITP+/B6ROtnRwBn1PaYQnRkdUvLGJ0V7tOKvaHMED9CAyn+l9Zz9uyScE
b9MNmSnOv9L2sX9xBBhfBkzgcpU4IemRFBcRn1zjM35iPK7/60pvMTTUqnzFY3d72qt544YZw/Jj
0vv+r4yQ2Z3VnKjPhEt6PoW8WDARUxNPWNA0EbrQnZYz48RDdstK8N6wxUDjx+it/oLR9x/DGNUm
dbGGf4XFBaMxi97vh8EkH3i/oOaBMQ4mWICjQbLsi/i/tumOz5rZik/ltmja1i7aZNbUTaC/6bxg
y5w6av/UeLsS2uMerNtLkDpYz/p7p2PZEsSi/XB0iE8ch4dfQtvdLGb3dOpEngl4D6SoUBk15XyK
xwTZNXcLcUpxKY8yg5CdfpA65ux55ITOXVD2hA3UrmmHC/2j+j0NVGWaOKRHqzdS+hE8dn+RmzaP
7LVqdIa114kTivDiUVOfqow232VMq4f1p4dW/NcId/MShPAIktvxrhta/7lpfdk/TY1ZsdpJ6m2/
8uLN/lyqZcEG9Zh9bIDGVheXffCb53X0F5Ans7O0sjsHaCO9C6aphxer+MSUJMJTLQfGRbtM4Zx7
mrfmVOraUh8TM/fXvbTeyjqukXECthpQHwJf858r1nn+jvUxigyvtQFHg8bdm894QDhxwSJjK+43
ZhwEXaTUP1t0c1+S0YBH7X6bufQlWHshK+RkOwoY5A3aaT/NbIuXgk7/P0yhvmHW3RpJIaAHPLGK
47+zD4LSo2M96H2qLRf5rN3kMrVGwbKyIdRdWfSdz8wqI6HGjbcgnw9YDjLuMbnZ0rKJmCrPa1sU
JoAkeVGwJkMfGUWPYNN0mwFbAbfNjPwur4mXjCEPVq4nxDX+q7dP9aeNUfZmbRvR5bL9N0/Z5MTF
Y99IdEZ0/jS50K6VOg9+F/4UnYeQZ8U05HERrj6yKS5W8z/Ozqw5buTa81/F0e/wYF8mrv0A1EJS
ZJGURG0vCEpiY993fPr5JbtnzEJVFIYO33DcjraUlYnMkyfP+S8u9DfQTKUlF58TK5p+2J2pfDJp
aMlbxZ9laRM6Ds0JfKGCyEvqjNQ0lbT8UbFb+yPOjcV3WWoMAEtFEage8ZDyIc5w+S2UNCmH11xr
z+jJA/gEjptd1xCv+q2C7nvr8Xvkzz6c55t5HgowIhRQfzdJFHxXqaaBqK3GLKITyxZzVS2TJpCC
vcBdAnADHAAE/qufT6G+AZE004a37HIPwp4/qYGtK7j36L6RHAPJdzsNnbRtULfWoY0NaSRUp4pB
7S+Ov9VlEn12/MR5oG1IxWXw/VkSBa6xcG1TgtoyRjrp/kRkeyZp4KmhgrJ02wKygwuxyv9phpQq
do1TxfpmAgvhgPNqpxt9NjO0LmRxw8RylUZbvQ8py6YgOrStktnWvXh3GgSVbr5uiiaoPb/rqe2h
36TeNv2sPwUJUcxF4DLCfYhnyc6uS9IZxJvrPwcIf7dRlbXqpq9l+uWRDauAlWZDekZbBanbz5P0
DQIi33ickES3o1n5rI0WUi0VuEuV0hgpGg46hQrxJsmdxzbxZ8PlsR6SNPiKwoGQVelpiLT5yY/6
TgEQLurMiMF1z3rcaJU3D9RhvBkHCl/oCk403KgZPWRTGUjAZ3lWu5NmKXfQxeqD7QQAji0lI7MP
dKvFKMoph5FIT3tebSZavfOYDP4OoKgeXKVK4zxKeYiKhuPQsf+g9QPdDNrhzcYn7DdQLLjrr9VY
dyS3afFRbvNa4i3a0nbf8ljNY2iIcVE8qpMCLADMWAOJxpfpd8GR67bVGE7lppZHRffsGQq0N8pd
99xrgzRsh65W4p0TOglnKnRMMi0AqDPwuSCINwolwej3GFCY2XazpPReVkCAJzGbEiAXTqVGN+iP
Odnd0Ef2gxElabXR+jmFplWAsbuH8kNTu4OnwGJUWvZbSXKl2U3h7I+baaRktQtCEuONwirWm5kg
Tm4R06ViYdNSUqgKqf7HqLLIJSqsLySAnj1JyMRZfUnzETP1CN7Hx6KdUHgRNgB3GCK038DM6jQh
i8a8qwz6zp42TyXQYruM0WLUfQXkLZHLlWikHBRfAfIyUkkFiTcAy96k8Id+F345PRWpEt/roNJl
ARikdkw11uIhWpR/2n7P44+6LrVCqodkXLFBw6a1UvkHGd/QejxRclLQvrbvlVKrlL2v2/OPQBrk
OyimvfwBMpn2ezAUTRRnUuCZeAkF1xSGw5n+qJzfQy7QFDD8WhfSZsfgwAMExImyxlh+DDE9SLxC
l/lgvSwbn7umpq1cdSbt3URunOtJCtphP/C9P83c4OOVTjXjOqZ68thqPTUkNM66WwAR3JIF6JMD
2QHXRSo3Re/ODUWMvR1VNQUsFTbBJ2qSKSlI0avgpfLEfjSzAjAs101wX6Ugid2eVf4KQr2/Fw89
oDhyCh9MkormAZ6k/yspqSB7vTbywtBHOwUmgqXKdyecOMxBGU4W+KyUckUWI6y7RQ1P/5VSbEMZ
Vi3Dz6Get7x8Zaf6js6QmVJky9NfgVLVoCD8hJISbO60BJOel5+VAgQAQRb8hW6geexGDYbkG07x
9MOZzLknj9fAggyUag1QOKSN4KT19KMewWXw6EKZPw27th65gxptV/gBfW62br2V26Amxa9LrfRE
dJ52akxxZxuPLWVsw54BRoZ2di8wqNMmHKvxjswlb8yrgI72tA11xa6Qlquku6bn1rxKikK7tqmJ
qK6NwDxP+GIslfsGMuDv2pfnezOy09YdAFZ0V+1M/e0B7pmPtqlkFaxNqBvFFhev1rqdWzMtv/Au
kL5IDoVR2kClDD7fjMly26FUvqf5rMvkgDyPfjlB3Esuzy8wir4CaWpfVqDGv1o4hjq0XJzcIEho
lMbA2QYU4QEARdMT6NIevw0H6tJOK+HyuEU34UN7mXEttATeihtgHoD0J3INMiJnVCEX5O5UmQyn
AvhDQ1hXf0hd4btdUnV7KxnGB0lKEXuV/IBP13abNOmU/eXhl4RvMTw+rdDxbWRs6YIdc8vhsNYt
sJXMhXrFcygFytxdyaAENdid5T09CsedDT34UI8psODLgy9dxTCXY3RVluk6aqbQTzkeHZ8w06B1
l7uJz5W7rRWfg5RhCbhNeFVEwJqoogUws+mfR7yo4Ihukxy0CUkMBe/KbL+t/KIl93z5ixYSKwCe
/arO+BxBoROHaWFu4sBRPVKlLxWpMIGHXngNG22btoOBvpc97fOcCoA6BEDDJ0oO4EmclZVaSgC8
/iwMDIXqraKdKItVIxG603kS51lAuRXuXACwI6UamTSFWWwur8JSG0KMJhQ+LKFuCiZmIZNSDnqO
xTtIEODA9k89sjTgcdClSAtHY/yJya+6IqJzbhsiuaeYhtiDirGQvgAg2RRJQx8eOqD6YAIzIc1V
wOK28ngNes7Zlznc7UIz32f/IOwNTZDGptiBjK8sdqBdwEAE/0K7DyE8KFeUf6PyKdO5C66pBNHa
vry0pxM9Hm+xvyZTgphSlhAPc3kQoqrT3cS4H8BjaGDFq3ZT2VX10THSYHd55NOdzciIzxiIGlv4
UYlf9kbyqZmMQol0djYOSfJNALaVi7csri+Pcrp1GAWTQLYNjAyKOMejMHSkORUnWhuU9sYQ0Dc7
U25oyg+fLPDWK/vm9Fygvk34oHtMQ5CveTycrTu+k0ns1LrlNmspDXtUHL9CrlGu3j8xXm44kdPu
Qd9XLO+b5YPKVddjxN3gV2p1TQYDFwv6cOQB8ISVXFPOXbFcP7eUtoYQEwx4qAlL9UKFF3aVdZz5
MpSGX/5EoctpY1FJrMPkAbVGe0Vn5NwOwTrBhghhI/+0VBcfcITQ6dwSjeuO94ozl025Ka2mz/+L
rYgFEZrwiq7z1RZrGQEmJ6NgLefKqsA6tw6Yo7FaGeXc+iFXrgCewgUFTPzxFxsscLpJyCgtCAET
aqEzX8WhWm9Haqx08KmFXd4i5zajIzugB0jLiGaLE2YWtRFMttgiSu88DjnCIN4YBJa07VKSmpVI
shQpEpHL0SyZVdRRjVjalBROl5IDwzyulSB7jmjogQ9NgK7M5a3d5MKOWGr7L5eneCZ8cTEgQqYQ
KzF+U4/XdPbtWTMAibpoCsDoVCx/30zUW7Us3lWpb1OF0PS9rgF4XJnuma+JCCzdZjSZCC76IlHp
1agI7YqT3vid/V2FeB1zFyv9FWZl3S6AH729PNUzp0EkZFizaApX0jK0NIPTgrFL6WUBD90YKFvu
OklbcyQ/8xUtFUU3U0GlCOnnxbSQqwniXJw5X02UEdR70sR7rWkUeae04i2hNFCiQqWLnZX5nR2Z
iwAKG2aB6KUff0of3P/YZngkFEkvf4NtlVDfSfzofsIZ4yehHazrAJPTXwmkZ04Jw8kkF2hdA28T
v+tNIK1hvFsQTFnXpBxvmlzutwjBSo8OBZSVgHZmiqj/afiXcFKEU/jxUFUqq/NgZEwR6t9GqkGW
jUYN7zaif/RYglL+lijOmlzxmQk6Qhoe+yCDAoq8+KTwpZFg7jkjEd9uI9egkWC2+PtAhqTw7j3q
APlwMNnA9QYNzOMJxnDOKScxQR89oI3TAmMaKmNN7u30JAjDBRmPVQPBN3OpCCj3NiYeFTYwEvoB
98mQAOcL434lEzszipDG4z8ETxT0F9Gzg66S5YZDL9oCIloquQFYJzRXdv2ZUbAzRFoeCUVVRvzs
eMVGOexHsncwFmBGsvsabZ1iU9RSG65s83MDkVAiZi9zx7ETjgeioaQHOeVTdx4QJo0ytfbAK64I
Dp8GxVdHUeSycIcn+1nMRiVfGcacGifTTW6IndG0jRrgH+UI6X8Lwbqcvr93y6HFi1cjCHVDOKss
wkYEqpvyAQmzppW82EK73JXTOG4uj3JmYpZNWNRl7jaTZ97x6g3ItwZ1UvESdyo6hmlo3eIl0+xs
qwu9cgzWvHnOj8cLAB9T0rulKH6vyp1lUdYBgSA1tP9wE6W56gcQbWI5Lh67sdZ+XZ7imQ3CFHEx
45JB8v/k5Y08PqQVFnIK8wjibkFzoWjn9+93JHmoixmaiLrOQn3baUwo7nAO3C6V/Qd7hO/UxMm0
Yl55mhZQiTK4SSyuSvL/xdn1zRC1KaGeqeFsB1AbURZIM8MnEPvO3hlsKLhJMNLBa9psf3kZz3w5
si3kAg2sChVKKcc7pY/kqKrwK3ELUw++wQAyvsHM05tdWqDa4ZoJiKLd5SFPrxV8KVhK0cjh8lze
2eGg5s6Aibbra/m8NwBl/UglGpK3ksrr/MGHwKu4RRVSzr088JktY6PqaXMAbc7fUmoW20vyV+QG
3T5spUNs6JnblOXw7jSW6TnIXqrwrVD8XtxfRTlC5bfBfTmpne+hNfpovEm5xVFI08xY2aDntg5X
M8VAsaJg5o6/X6fhiAVMlWepPUZ7pL2A1qWRhCi9b8V3yBFOdwY1u71Gbv35/ctpsYyYjdhsH0Ns
rTeZiBVRug5MA/A/WKYHBcmnbYGk4soT9dwGtVSexKSQBi/VRcqM5FOpITgPMNlMLLcBr/BDGxH1
BH5bXUETaa4uz+o0/SAu85JG55ZXD6H6eFYzaioFDEHYPVloAI3UA1qSJt1ZoF4IZa1sybOz46Uv
MhD+216891GnAhqKSgMqLj48AtyBaZo0hTOmV0lmyM3HGfbPWjXszKDCKIW3DyvKPb64HWYVqHI5
w7WZcG2jTwWNawILX6BtE2TZ5t3rCTQBuVLeqlwN2iLAZEMC0xZpHWhRLQQjL5rHKv0G/8uqRlji
06CuvexevVGOa8LCNoXXlc26kkIsPuGYOWFg0p5wHc5eto36Vr4bRlTEnKjNr3yb9pESVc0+BB2J
D6BEi8oNJoumYIZO3sr+PRN0HMRPiOuaSYBf5pjhADoTh6gCfE0dbDHTBcYXoBZ/eZXPz/nNMGJb
vzmMsdmmvezjgOPP82i6dScEtrCL1A0v05z2nt0sXcsDPTY7RbW2TGlHI15u48wTyyteVef2F1/8
L3MFwsPiyBYIyvmWzpQD8OOeDmL1RaurBFiYHNz0De+0y5M/t8QUwLlQuD6Fsdvx3HVzxp8CaUbX
MrQK7TVYRNaUDSuzOhMYSNtohyCQr/EtxazfrDDoYD0dOx4LyOhV3/04oJdYqcEz5ttr+cDZCfHw
Eirl4HvlxQKikAxIQCHrqDES3/g1qECaNeFK1nF2FIglBB7qHwTx4wnBbfJLFetUrIKDyN4hVaR3
G55bsKAvf59zK4eFD/crxXcKEItcvibDtyG2MpDUyjsJdPrGKnrrsYQ1/Om/GQrxZ0dk1/iAH88p
a8amdSQ+Ujm25b3ttyFdThsoL4iiIX76LwbD8YoyHHm2snyKI2kTohBN1tvThNl1XYv5JSjxTd+m
2e7yUOe+FXkatyCSzFzzi3mBY9LNJqN8g1tE9oichX0w7d5eiVXib1kGToSSLVEi4oZY6jHnaW9O
0cy+yxuwk24HXvSa4Dh8CalS7coOxs/laZ3bGRT8gCmCWKKPtbj+tBbieGbSPkNTK/fiGYpcHWMU
RnIfrnys07lRMtHZFFx8lDOWcxt0xUkbcNWCUV3vQ796LOz6BriceSXXUb8ysTOj2cKzSmO/qwJy
drwPh06TcBynxW4MknkTZI70GXsn6DtKNz8g0+evJJ2n+wMVawXzHPIIFbbr4ixHsgloXyogttNn
/14q80TdTR0+Xv5cZ0fB6ZBjTD2DvufxrCSpN8cZhSZQbaiw6n1QH4BxrvkqnVk7kQvRbOGFQOFZ
/Ps3gZaSPQwpG2x93k/9g6L4AjYB8/dGzwbzq1r56Z/vnhZbkEqTimI9/ZfFtDQzraMg5F2AyhgZ
e6b+jnLrnT7VVBd4FOiEJQI6l8cyr1QlBCfyueeNV2go6Tbox1Bh1nMPOAYkNZlvtnKaT78Wcd3A
gpOHJSnmsilY9SUsnN4B05dW3a01x/6d3A3a8O7oDq1CtvCpsYjuqr2I7nYG5gcQSII6RltssyR7
mQXcrDbjNSuskwmZmsIz3JJ5J6s4mC8OFWq/tdTJkBGVaoq+Z4VUbpM2fHeNnlF4n5JOCMMEJnS8
/QCDgvi2kByuk0Gr3CS3kcMZpiHR7vquBLoXNw5AOrjyHH7ULqvVXtm5eYqwwbOcCELX8fgXpDx3
BOkXBFOdgpeJai281SMje+/9z3UifLa4mLmZCY3Hw8hIxHe6qOVBDbM3jja85ACNry6fLZFrH10p
lD2FZYjohzvi/44HqaO8qdvG/NHBEy4L6dGMrjLZ2hWK6uJ6Q4ID8QvPhpU9eVJiEKNCOKK2qwvR
oMU3BE+IYu9o/hi7Gye0b7N+qxa+l5rxZp6/XZ7gcigKyDIdCIxyKLvCgl4EjwhtiRl4KMxgcwwO
KJ74Xjdk/QcJzfWtnfkAyrhNN5cHXe6Q10Hp89PXVEkxlvW9GOUhYyjG0EXDI3mEI5BuZ3uyV0ZZ
3s5/jWKT82qaMNdbnDca0QGSwEwthOo0ACyRRD0WJSUPbvkaaOLMYMIwBC4aXW9sMhZRvy4KrMoM
gUgMfcYaSvsjFxo35tj679z4zOtoqMXGN0zft+aKoeAnDhAZMn+PwMp7UzYxCuUf/DEorhFJFnGx
65QQ9D0KjQQZYz/QOabhNlu79+4EOrQwIYhTlJwokhyfL1gHc2yYEBT9qCx5xTYhKovpeyMv7Z+j
URanmAcJugAjj0dEQX0X7azvcqJ8vzyT0w1AOQJ5VhtpF4pK1uKrjKnUqsGMnBrGReZvZUTTIYWk
K7QlrDW7pNet+zYskWAwGCUCWiY0mZYudQM6CfrU08qik46SDDmjBGHbam5rKasOAHCLXWt23RUC
sKo3RrF6jVJuuhIbT04xb2R8TxQQXLbgcS5mnFWorGeh9c2JYAFUSC16o5msZVNnBwHlwZrStjHl
5SBIvyAlHHxPpipztlqlGTc5fnXO/l1fT6BidB5C9FEYCA+URazo0nR0QnMcXAzxQtDLpf2Edgo0
Uj0OV954ixn9NRRZLnat9LGxNDze8ppvRUlOcuuaGQTwhgluulRS3hckXkeh//M6GWwwl2iEuSiQ
kspD2DYhVhw1rOhbTZ7XunZLCN9fw9BiEAZ8PFeNxbqhndPTRJOA0vdGfRWP1XSLklx3MLrA2Ic8
mGF3jQZkTDhcQ4KRCmTpLrg20G7x+KRrB31xCF9/jkk/QBxBEuKTeqSdq8joIRdRTGPqNnqSfhiR
NNhF8NtWTLlfsWFvzuDrWEDlVDYODXxy4+PvqOsZ8s8T3zGM688dBB/ks7T97CdXyBZfGUX9o4uG
H52ChY7uf8qN7ttIG3oi66va5Bpt+rU6hYiVix/ERW5zoTsqULolYgiaBcxcG5l8Wakd7SVDAza5
yRtanQ/oZ+bJLonmTP2ILlz0a45QpF5BLJ1ZfGFlKwNXAjSBAN/xgvj1rHZIgPYu8DB0fM2i2IAh
LjdVGKeby8f1zBk6Gkr8lDdvrEqZ1HAS2y5sTek6YUPckox27z+pjOJwRkGzibvweJQaaqufp5yh
bg7CneqM0q5U0Zv6L+bCs0qhD0gnwlzsIwenhRT5NfZREcc/YEY3B6mXzI+XRzm3OYB7cCSoj9DA
XUQdUBdB2Wcwq5NIiffYtoYWrBAl2AZ60N7KJcoOaleWN1of90/vH5o7CmQZgI/TgwK9OleGDHqh
RnHublSM4RlvBOkaurfxkKEsh3yaaT4Q+9fwgafbBPA87y0gSyTThITjDygN9HekOkbDw9aruzjJ
i6vQadZaLqdLa9MG5NPJtswDb1mvD+WqN+Uym1yoeR9l03judfuzP5s3PSou6La2V5Zevw/bQvCh
IqmiGECZVQWmu7gW4SANPLvzCfYpggXfnBJx8KtS0SLTQ2a2DNFtbAKaMMh0xl8uf06xU47DjK1w
bwFqoP0CrmYxNAgaCGUJQ9smoGxt9ONtUYbVFr8jCA9tvVZ5OLO8jKfTCgGXDIB1sXMnZfb1QEUT
ByHkxBvzwrxysk7ajGVSXkH4/IzgX3mFJvGaD+BpPBN9QbBKwEvZPcuKeYjnIARpdBYRNpK8RC6k
TaI3zq5EZ2slnp0dinc7ZFA0Dbm1jzcqckKDlUlo5eQp/XkvROMguY/KHp20Vgh+XP6CJ8cC6z1A
FabOrhU9+8WlLY1QqG0DIoYxIuEh1chclQn+aZdHOdknArDOEARQwIo8Lo/n5PjgzmakqNDLy+xm
Ow1hnG9SMzR+QxGzkUQr4zW74ZNlXAy5WEYthQdoY2zgwfgsN4qevMSW0m6yKu1XJneyhK9ofKAO
JFj0r83F1RDOUyijjISk6FR110iWZB4UoXxlW5yOQmmDbjy9Tm5VJNyPlxBx0T62KsjKTtIY2yrs
Z4SbzHkl9xV/y9sDTfrCweJosclVG0HS41EgaClYP4F46Xxf/jg6Pd5JQXc9aVbv4kM0fuyLtQ7R
yZCsGG8Xgd4W4O3lsy9VLG3UGvgUUVMrmxEZc8NzilZ6UBBYunfsVsjWTe328o4Un/9oorzNyNQE
/JBBwVweTzQdh66XE/yg2l3kdt6wLfbanboJV4ZZNjOJGcfjLK4dEsbOrFLGKTc/vuQbLDjc3zcP
z5cn8/okuTQb7Xg2o9mEEAAZRd0DLHCx9NgqB9ReNtigeMaW7pv7oXZvUNF3p6+Xx16+P09mKDbu
m/yLF3Sq18JZS7rSvcEDC+/+su6sm/dercuVFAf+zThjmiMLkTOO/ujvK9j1X8A13/grH2x5wyxH
WdwwsPLjVBKzmXdYhHjoB3q5V66c5ZOn0nIUcSbezEWLakWPxfe6q7Y/E+/zi7F//vJpzUDz1eP3
0rZYhF3wzOmkRAxTbYGfesgQuF/Q3LyfPesJGc/rlZ0g9vKl4RYh18G4kvDBcIP3E+1X91fu3vzp
ffqyMsyZgPH26C7f51mTNxaKoGJWCGF51Is8rIM8e2Nunvffm80TkkFrH2wlXCx5UK2tlU4oxuw3
vO04YNH26+z+ejqE7kOzeeZZ4KK5uXKxrH2/JcZeQ6tDTcX3m7yf807eY4y1bXbhIbr23XTfuSsL
K+76C99PXUSRRIdKCctQTDL0Mv6juwh/emi0rSynOKqXBlqEDF3CkSikeekqOQrfvQ8joqi7mz6x
1ua0tlcWQcO24sbOxUGzjW+dfxUhmVyqeJ7lCYokaz3n11LbpXktgkdsS6qB7thfC5jeY9ewsXZY
wXlP0Sba/An3nkAsu3+uzfI1/bw08CKeDEGGpUDFwNon9ab5UhyqG+2n/0DFEfXt8nn6nN9E99qD
8Xllx6wt7yLABO0YmYXYMRp7BgEG9md/RZbn+a7lldt8G2xsz/bWoNsn9ZZF/FQXkWZS8yRtxMGg
B7mLrpTN58yb3RffLVneYqe6q/f4uQBATxAwvyDNwbM5jthNYme5LLYsXsRbhfOhbRwyB91zPmQe
Tn6PzQPC1vt6r9861yurfC6uvh17scrIykwpPRJylc2wNb+ku3A37KZNsmuu1au1stm5T0pLgb4F
uDr64osHQYxedTzVZePWiMDLCiRcVKr06aXL6008P16e2jIQkPZT+qTeoWmA/cEtHK+q2UaqH6b6
7Elaq+2QSUJcWakjrNameSXmiJjy9ogwFAhPev1QkWwLeazjoVJbNUe1x0DLh6z+oXDyHFywlq7E
0OXqiVF0mli8BgRpdlla0TGrxhYS1aMWcu492pPWTd2njSdPanYfl1n2BKNJeXj3KlLE4VlF0k4f
1BT75002UaCXUDcllo34TpZb5FmJqXqbPaJan67txeVLjgnyhqN2AyDfgIW1OAeY8tSzY0mTZ+V9
7nhIYDRPaMAhpVQbhZZ8TpW+Rfc1s5CvpbjdSC4SidlDGk/+F6PN2wIdgb7vr6vMVB8BlFRYDdVR
abuljH3S5XU5Sb5pu9IeMxWqTUDDaF8dL4yOl0beWhZelkrfYz0ipcFENES6NtyMDXavqEEb/Rjv
MDrtn2uaj7+CxgnsjUKDcN7FpWauEd2X+aX4SRr7gw4Xiq/YGR3/JAmtpgiz+NHDaSFBb1hTXTwp
su/U/tEkGMrevplKlWs36seV1Pb0sGl8NBBqlIQp0muL2wlBV2mYYIl4dWv/qMBvPLVoEN0jvLkG
FD0zkmDUmHTiqSoA5zmeZNAI5ztHnVHVi03QFHCeNsUUIxpKq+rl8kc+PddUMSl7oR4AZ0NeduUD
Sx6zAkUrz0IRZ9vWIz5PVbDSQTl55PDZIFdqoDLpIXMFiBm/OWIB/Qktnrve86XQd0eMRd04CzSX
DZXdRN1cbK3UT7eqHOt3NPTTFyOblJUIdnr0+A1AbwRrCaTZstg2zf0QFBWny0bS2dwGhS990hMZ
WKDTIolzjYoxii7vXl0RxyD6gPZRKNYfzzszwkwrUh++fVMghDPpyS7LLO3q/aOAbxb9AmAHEGaP
RwmGnvbUFPeovWDriSASYsN4ar97/XRZYyIKhTXala/f+M03TCYtsVqwIV40lPldqjfKJpIQoRkQ
Ed1k3ejv3jsrAdsAVEkThJ2jL/aMOslNiiUtMvFzFNzEhTRf+1izrDwSTgOKrRpQN5kUXbcT3CHk
X7p6k9142MTmG1lGBidFq/1Ktg0J0IYxIBA7Nv21LzV/o7L+16/xfwcvxcNft2fz7//hn38VaD4J
5NjiH/99F/2q+fZ/tv8j/tj/+58d/6F/3/cvddvVL/+4ey6bf+y6/PdzGxX58s8c/RWM9Pcv2Ty3
z0f/sM3bqJ0eu5d6+vjSdGn7Ohy/Wfwv/3//5T9eXv+Wz1P58q8/fhVd3oq/LeBn/fH3v7r+/a8/
wPq8+eri7//7Xx6eM/7cHlDxy7NEbap57k7+3Mtz0/7rD0nR/gliXpTHuTJloBTshOHlr39l/pN8
ROBEaGlgRWnx5sqLug0ZWf2nyamjIic0YdhEfHkO2eu/kv/p0GxUoeYQkSzjj/87/6Nv9p9v+I+8
yx6KCPuyf/1xnLEQ10z6TXCICKKC0LlkUIy4d/aKH98HMsLEntm0moT8US7vff7QthwxxEGpDD+W
N8v09894O+wiov41rk0rTTVtEzzOUm4jQ/4UWF90HwZbHWO73sCGCR8Ktx5uUQB80VN12/gR1gRa
8u39Q9NeA0LAXQz201wcTNzyEPar6vs+0uoPQwg4YjvmOELikKu0HmKqYXDHRdlcp6OG14JsmnT/
+d+qa0Iciwf+6yKQRnEhkJkSI8TXf3ut4OIbmPoU3kd5gJw9nVx8aVF8Bc8zzIECWwfPoJpCea78
HIq6sbh0Kr/ywP/iZxpodvhBRbezdU2zKdf0Sc59IZHKsmE1g+vmhNxWDJWCrtJBLquQjBJhnj/D
uAM9pcMGqzfofGVPEMfHaZtPqhZuMNkYkYZrOn+FriBS8/+k7n+tEogMIUYBL54mxfEqGZOtZ2ER
3Mtsip+F0RU/x8JBpBB3mhsKTsrXPjOsB8mpii9ojQYrAVbshpPRYbeKFdC4ChcZWybrjWk0zgG5
zvBLZI7tT6Sbwh3iVcH+8sY8TmX+nqdt2yA1Tdp5ywseZ2zFKALpUBVG+tUPw/BRHZx3vRX+GgNZ
CnCEqFLI3IPHa9kXiMoGvnYIfMyb8cYbn0aQcdu2atun98+GnEFgn6G+8yo6HinpQitGBvwepdz6
Y9WY1b2dVfrK1jj3cUgZCF8CckKmcjxIl6Dgi0D0fa446HFVpCvXsl7pH2MU8lbarOe+DpQc0EeE
DVCgi7NaDIOPDHyC5ezcbXscj2r8L7tu7T4/O4z1+jbQBetj8U5tnQE3ryS6x2V8/hxnZXCLEfMa
fXTxMnrdBjQxyUs43DyN7MVbYCgRb8cS676IUIPcoL2CskvuNzjxwrn/lmtZ+2mgY4dyNiKNROIY
MwfEsVXF2pu+wjF/914RJCtACbwWgEEtJj2nZoGVpX1oEHu8xiFZvuqlZO39c5w//zVnXoEIF/BG
h0y+aPmUWUo0rxRcvnqU3Tuhn1rkX/GS+jk69cqD4cxXNMH8Q/cHhmOhpHO8L63WyBwMQA+DnwTX
VudPG1zY19jHr4FvEZrApLBNdB3sM4nt8ShxHsKkTdUD1kzqTdaYKGngeLhhc6Hnp8uNV/mqDl54
wnAQ8yPjm2HO0rbWY+0W93b/Wo1S/3NVtfEnFc8/ILhyzVsZ796P+LnnK9FN/Jjlj6UCQ4cUjjta
64vl10FEVPQBD6ZaS/c4CJQ/zcAAmo51Ho5agXwlD7Lx8fK+OnNzcG38Z8xFDGoxH+3iVj/EgndP
3o8fcDiO+BHbPVIqWmny0E4RSPcUI51uTSwgVgpc5/aBEEjgdYNaMaDF4y/UlY0TEVQOlt+O216q
mzt85KKVzXYujeDYgBcSBTvwMeJXvHnZNIVSKXkrH8gzNG3bjYXabdRQ0VGDmJ3+mwG763uZpAaO
YaQbWHToOXr/pp1v9ViWAkTPU1PIIqKftXKwF5Xp10MHRQkIAegpkcguDsKsqABuK/3APsbjqi7C
j0obpT+LMFbxca2jL5WGJafSIEHpco2P3yBEK1tkniP+P8d5wMIo39dFYGOpZMy3aYah4uU9sigm
//0TyXBAqZGAn7xx+9nANdaRD/hyKzcWAuwxxuV9f9P0jX5VGGP0qaub4ruJusaHuh6ir1rTojsK
7XZSkHG21K0Z1Or1WOZA7EBufL78+85tIaBavP1JlVFfWexhs+waATQ/SLWR7zGJwTM9sbsVBOOZ
2EjTH4CUrQvOyPIeDSYliJKgP2Sl0iebqtXDp0yOTTea/Vbf5fGYXV+e1bkbCHIeUG8yO+iuS0We
kmoG9d7mgDpv+0FpE9Vrklj/UZuD+oBA+IgquBIm+FnLg3KnRwpirobcf/JnAIcrm/Tc5HnMcIAo
VgnU1vHxKSoTixOzPhiAYbZGMjzhyniLJLPyIVbl7cq8RZqwCIPCDYf0Dngxr0uR0bw5q7gya34S
NoesVg1vsOPUC2tYfL4fko9Vs3WNykKyqQsbB0dEZQs3C/wCiMKEpo83T224xaNTXvka4hSe/ije
gqJAjojeIjbXbY3SjlQfhpB3RaYq38u5exls+SeWmpQv5n1jabuVhTizr2ELQPsgLICqfN0gbxYi
wQexMYryoA04mEolhRg/huJNkwCTWF1hHSghd5N6O6bzV0nEUK17NACCtErxIxD5yOUfdPb3iCDF
IaDFsyRLzZpd9U6bHxxMAa/Z8PnGmYz3cRxErIGUSoWLBJ/sAPjl8ddHb74e6gIXqlENnxAsaT5j
YbCmM3E6E2guyCc5xAvQXUu2XKFMaVYZwyHr9PqXNpgJDj1JufL9TjNvBrGhuYA8BKa2RB3iB1lg
7TEcWnlQP5Xt3F5D188DL+4NFIgvf5rXROZ4f/Jggf1ELUR/1Ro6XrbJlONBD+uDlaJHDqZYDx7D
0Yi+aM04ztthtEdPLWPtSfaz7nrkVfM8KZDMdTnhHE9ztckhunUbhMeL6zbGkNod2imhma415bBZ
+bEiXLz9saw5gH4h4gtci1+9CCcJnouT5quHIh59XNeHTpk3Ms4vHwzDjOBQYZiSeZrjZJprDo3E
fyN8fhU0vPreuaXFL6HJwDET5HtwmsfLlmgjTszVdEBuZIboBAF/FmToy/NdbgQGAX8KJpKeGsjo
JeR1su1AaoPuMOQ1/jlDPNyZuFjpUx6vYMpProzXkcS7mBQHVuNSJ4kqlYILcXWALKGne1hI1k00
ODSAEbp25cm09vUQYlfbhw/oOEsvrVM5N2pryt8vz/gk31r8kKWUUmQFgYn6ziHSm+aOayV/qNSh
e5Dl4a6SdHNbBVP4lGJ6nGJhdFMGRb+b7FG5skzAqx7ssGRa+dLLRHf5ixYBfJwwq8ZZ4DAPErrJ
BNvfftqkj8OACbOfWLHbUp/eJgkAdsTf3xvVxOgqsu02VUlY/UtsdZdHdhcZzcHKcFuzq1bFh3CV
hHZuiiLUQA+je4aQ3/Fm9mddL+a5OtDCwzfUhN7MbQ6JL1Z2dlaE+AYG5X4sx2zfoG6zEu3OfnL6
4URuJMHI5ReHGtWjeHba6tA0towZ9KCqt6AS5092aGXXdmQZt4gKIuGFEM+Igx9oAYBWkRa8GH1e
W56Jkanmami0r1EGzv4yqHmccR7P8JYXj0CNFqehpA1vnMD5QFePcmDU62bp+bH0rXd8xdVDebqS
8vJ5dMxs00W2vLP9+CN+Ed1tkZXV88rxWL70xHYgtXkVGKFVtmyW4UllYxbVYtKJUu0GE9fm+/9h
70yaIzeybP1XnvUeepjhWD4gJgbnJJmZ5AbGHIh5cHfAMfz694VU1VVSVbesFr1os1rJpFRyiAi4
33vuuecDKR2JdKMArdKJzKzbXq5a7hf0ozIp+7FzdpGTT8xK2mK+t4Yy7oncFgBkrAzuS1Wu3sL4
1nYMq/Oy/vknP/Hl8fjDkc04lhPwckxSBV0+e39Xi3Cp2P3St3cm6vJtD4QZMoSwN8GEaCahMGlq
APCpynWB/1bb48NE5MhPb4NDmfCWtuGf3CF/vMEvr+Clo8NSTBDOP1j6VTNBrzbDnWNJwE3DBNkm
dJrJ/MnR/U9P1Bg7NolXhOtxrP7+925I3Krc8vJ7e+TtCNmqb6AeFmefy8W66mTvgVoIpw0oSFE7
7a5RbXAXNhGp37ZX/8tSK782HgbaReZmrE/+8ccRo8rdTcS3WqzxTd75zaNxiuINGND89N+/4//k
BWa/2btEP7LtzNX4+188wi5bZ41126/RcuW3bbhfamn9iTh5efX+8KlCmmQvgkQGBji+94dvQrWe
Ta64HdTkn7JsmXYdEvNjDTC1gEjT/dkS5j+ekLhOYoZFFGYsn/6x7uvI3WrVbG516eqvthpGP926
meX7WUxkdrIRr/xrNEvJaqMzrz86k43ln1xEnDl//K2p0phWXfwNJKEwYfn9b02HVYBTG269wt+K
tJ7BYu7h9YxfF5wjX4E8zS9hHDDLKOpmXL77vpltUExy1A8LQpeX5LlfBLdVSxI8i9pRJ5MtK+Lp
qoVdWR9dp9+sL2CKou28kut6tiYPl0k8jbyokwJpljRbm5vUDcflzoF7+gSoRH5neOCPKakj7ZDq
TeCRibbOh563WIXZB21kfZu6qX40JWmTxOwO8vtIyNNdPy/r9yDUub/vZaOdBBZtdFrWYPWu8rZe
9O0YmmU+yClov6+j11jpiHRa7eA0TZ+07yjsqQ09R+JMMJIOdpTDLN5ct/4Rda6ERWUc6xN2jB7/
mKuh99iUM1cYXOfXofPWele61taDW7vQZiLjeW+Ol7NCaYAjAxGBUH1fll4PMnf0wBr3cFSmM8hq
GA7x4sHP6Jh1OWwmFlGcrDJskYUWsm7tYzzEzrCfxdr35W5UpSi/j7XdLanOuUGgmfvcJTSha3eA
BInnp4+VaI+AT+o4qYwp6iDhb0UNsbbcxQC7LG8SJ8WycnCbiRCqyxovJXzlyYqXhxh45NFjnQUC
nM+4+KS9zPnoqpL4+8tmC5S+rYZ9PGb5LBP7ciInYpihtmVCbXetR+ZzSjkngc4QuiB2KmwW3sC6
6QOCtnk0X8ZqbqZd5fv1s2sCNQFc1GUI66UHKw9rzBaJ3MJA7r0RWnBCgJfKdlucq0erJUiOz0zj
PoZz4zp3vl4iDr/MhDhhAwBq+01PE6RW3tzXutK5SEe30LSuRQt4uXLHXw1GE7jPKC6dnxpeOC2R
tbz1k9ts587uV+uY+5n63oe13u5kuXZt6mzRCDQsH/unEVi83q2+qPxk9CrHSVmqCh7W0a0/5eSj
C2rcRupkkgOAmCxeojjtwQPmOwapfKrjbNB26mkxk9AWeNVy6NfOydGEPYMjckB4TQ0mGcSE2Vnj
fR5nrdoXLfSqG7eZqmmH8yJ/98eCaKvc66KnPgQU561u2B78Ep71gekYSQ1LtdTP9qIFV6JdlwVE
PG0eTDabR6dnipdM3PmE1S2x+yOsIbsclIndfbuV5ppsl+HoNT1P6Wz0qSeu27vKAr5MKuMsTOZ5
qF7CaCUzJ5tU8VzKzrkhSdy6lmEOTABz3YZJUAxTeNXD8X0ep7i8J1iBDEBSDTnaJILS59EWnZe6
SxE3oJxmnzMkl0DbBt8sf3Hf/k/YIIaf3dOofv4c8UH8LzA/XDSQ//tXb8E/eB+Sn135O6/E5X//
zfLg/UKfjueOmSk+SPpx7t/fHA/2L792b7iXLvn4NPOXXbC/OR5QOS8NHkUAxdjFyPgXx0P4C56d
iweWzFOkdAq1f8XzgKL5u0vq4hdDfMGidmmMiar8I+DAJavSCHipM8FChI1yVghuSMdDRz9sfOAP
eplmmZpiY5EaShaVy54PeP8TWhgUp3rW3Fx0O2tSzHqNdt6gevjFS1azxi9gF5OTWnHmzJ0ESyk3
CcxaCVE7YFuchaK4E87zuAThXeEpq9jXc7416dAI6V6rRYUYAKap7mDt+vDU+cbgsu2ZL3naChId
0mAm+pCQwGbur3uItjTck2JRK+LuLx4qacEtHMYLqd2EeW1zMhPPnOoI1pFbXIi2mqJVgKWcEVoH
pSeOjBFoAUKcOYAuhf69OPzwSbb46/WSa6zkvRuyj+hUZfkho7L6NFXBGu75Ej6oDelOQZo7ENwP
0vPls89ElqwrX2UvWaFL5jwsGDoAvwKgOa5W+gl3C4zHNR/XJvEHbWVJMPTzO/wtBYIyc5RHe2Az
+pQkaXg7em3ngzmwYvgqptzbBWAnJcGX3Gf7pbJI+AVbtIh7nCWVz0AnExQ+WVBNBz1E8ltcuxGp
+rV2MeHXK7qrNUzD5xFMW39cJsce0oYYMH8fcBXfdb5biTSPgyLYWT4wMAgfBAqkEVSvde8qrd2j
CxauPHgW7eIhXrLorZLTfEvAxvTT2J3bXAeqkuN9KftKpwtA9Ym3gTnTVSxNNJ4m007jgR4Cv3OX
2XaVMLNfQQsyOIdcPjFOOnZiyj7WzFrc48Ir+nV1szF4LE3RvvVBMJeSMrLqLuZZGS0v8wKwDJRi
5JXH0R0pz7eSWTK7/jqrUjAbZEyMvmkfgiUCn1T0cfXKh10bslAIUkimwsyw1rAAvfXrEL1X9PzB
cdk8+UBsi7ETLt+ANZdYbPAdp4HwUSnqvt21pQlvaNaGZmdrk48JMNBGcW37G/AQyIRRqq2ce9+b
Ii+7z0GSwZ2NDh32EZGErhTfCfxsX4Jqnp4m4/UxeknNFmLfwhRLmmURPyqmMV8qyJJb6qoIMh24
uuKb7Uz4JXKT2Wk85UudeMYsbhobp/tqNtf7WsuqgPAmLWHfWgO07NEps485b4pr3zT5j06u7qeR
GLr30SDMJ3PXZd9Gq/M+yIlQr+5k5FmXyn/JsrB7tT261hOB1rnDU4NL/dAH0q32ClDV2Q61teYp
yRiwX307J8QIeF/D55LncYb/0ZevEVeqBfZ0cS5hWC6av8htwF69MRMNLqvxdRIxeKF71xV/lbUO
8u/yUGI9dZySrWAZV8MxyuGeE4jrRbuK5v+hVJ1ndrPntcVucMKC+ZowXz1Rji8zR8tTwSXZEr6g
XJ5osU4/w1/f6tGR+i6Hz/7Au9vx0XHGq7YY1DcF7bbduYuvvlmV5JdSZTVDJ9SeiXFoWVaMjBkF
P/PVGzsKxZ4HvBiWWCe1KZ03CDzj9ehqWcOc8ylKCpFnET9wHsWH2gm47Odomp5Le2yhTlsUgjfd
QoJ8oimEY0CMVahY3BUUGz7+pvVeYC1qt8PCscCFzvJckadGR2WJ0ud7R7iG9b22Q4Jio0av8jCT
df6NpMboQnsZtL8jf6lWhy3P29t4QqO70TlfXPmDYmkRf1UFdTHunUOwOgbwaA8T5sqTG6cj7mLH
21erdCXaRdPjS/Ap0+UOKIigsnGreg8rL3xpKUFjfqzKCeWL2GRrXybxoKHLslhupTZxcRxKIYoj
n3/lfBks11m/r8zLXz2p7GHvskg5nYje6x/ifugUcZ+tjlJ2YbMtrYtmuqeIo/qp9a/AZ9zzzHIt
V3pJEJvxPc9twni3QHpUh3PmUpWXOAT2+VwPLyXN8FueVdlntwmzBz7qPCyZ67Qfc7QWd1y54BE3
eK/OjVuY4Dfp9t8l0n9cnDP/dYn0XPz8P8f39luJhPab3fTiKb38nb9ZQyM0TQoQz3axYl7m53+z
hl6SZvnvJCwwJrvETf+1UKK+IsgnoHQhIwDlBj3rr9ZQ7xcbz8lFJGe8ioH0XzKHIrz8rlBiYMVW
NnNhUkKQd4N/sPIP4HmJz2ke8drN0BDWSrx1rQoevZZZDIarKuuGe98px/g5MrEG2Kll/GyrYP6x
Dc2qCasV1XkbBChm3Yjmi7ey6LGzhgqfsu69LyYrXfvoSRtqCVHan/qQZZLUHvy5OEt4j9aNjBhF
n+Z1Kl+m0ZZvypmFOW7uMo+HQGUaerlV2PDiW0iaqSIdeASzYh7DGvVlt0gp3uJSkNlrShrLlIQI
b0zE1BuHJhamb+qXc3tRHj3Cglwza1B66EP7MMZRmwpkXS9dJ8OMYRVxk+2HrVPjgS+5Ya2WHtx7
JYWfiN7OvuutocqY3Zpee6t8zK155xD1U3lTTCanoB2Lqai6JCTDyhx0OGYNG/bzBMuLx1qmsOGj
IR0N1/oeC5R5Hmz8K+MUUQZKuQXciZPxY8TRuAB+GCjSKltHLlQMI/HcV55frHvLFuuYeGPcfqmr
MQIF0/ryy4wFxMM7Kq0Szs7SmXRQOF73GxuR3c7zEGqSCADoXWltLEa5GbEMiT1n9nJao4oBPbEN
QZXmQtXLyWr6Yk0z+rrU+Jv7I3AKPz9Q0i2weku1Lon0+poIvKiv7BRqs6VBktdEJAlCE3NwxVPZ
7MRibc/jWpE+81m7RUnrONRoqngy6vHkKN+FOxpyoibcF81Ng4FnPERZW+dpPcTtvHfd1r+zRa3P
RMz/SrLNF5O0RbyJve5p0NO6coqL02vmPPz1Uf73ofYfHAL/9Zn2/5r8p/r9gcb//9t55ji/0Nnh
VeF0AuCIR/0/jzPxC+7yiLUnEqkwfEOu/M/jzIt+Ya7LZAcnIhKMayOU/vU4E78wxaaTxEF0cWdg
bfprP/rwm9T620LCP/e6UzD/7jhjeIPdm7DJi4+TQFLKOv7874X+vMhUW5fnfrZkXj8rW/v+rbGX
oOY0WEjwIvNaDFQZxA97WSerY07SzMKHnl8XlucQQ3P37tx4tV9b0JveOEFzwKKDMqe9vP3asxMb
R/vYL1cGcXbFf1PvVUF/8RhFuX1ZcJyIanTfaIcwXb4WqomLmjhxjrOFlPug8F+ispmjXeOU0/Lk
6S5oeX6nwOwWEFYEcbJ/tyRIQPJ6LFwCJiunMcVh7e3taa117e08oAHMfEdgv+SetG7Sk4ABhrg3
xQ9M43RNpEvZxRVVlDXcOCGRyzzELvGpmwan/iudujxFossAq8WOGW9XWBUIm77fBbJ69UfGbEWa
F4rE6cidwuqz37sSPndjotl5IrxmEUdd+15+K6d2fm5QGvWJSg4qu2Rka++LsYOawrse2od5nMLu
hKTDejuAg/rg4rTqkwY39JS43cAxK0eoebupx8/MNGsdTstAxU3+f7uRj94rWNMOwhn6DoMMA3VO
h2FqLaOFciXEEk7mMKqafBEKTNZJpn3Loka+nTkKTYYZdBx8+9wE5XIlLlhOFiAcJiG1U8wAjyPd
7mXZFpMdJ6NbboU84JfL14YAN8dR+py7hDmo1M/9bnlaB463h1bxZ4cst/wFObBeOgJ2Nge6jzCd
bO/suOzzZByUOx9IvVo9elfGAmwzs5FnndrsAv3uTEsseutaTDlnC5b3qUWggEAf2pKmLkSf3Md9
ZWqmrTI2u43eZD7nW6jvZCC0dbQnMIBHw9dZTjOtm3hkr3Fb94AbHLPLciNlqg2T3ZToyMBJY3ft
XsJwDR/zoK9wDMajSAtqghewBHRVVR0ND4C7BUvBeT/eWJlSt2tBHBarnpkXJbH2UVWnYAin3Ub8
V5w4Td19HoUp/Cu7GPKPqAir7rg60SIIfM19+yar3FqnTbUs/c4udBOeQrHy2hYZDtodSFvrPrR6
GSQ4C0onJcIr7s50msXXpRpmdz+WrbL3lzWXKVV+XzpJ0M0a3ny76O/1Buc63QyZ7HxcWzJlBpZQ
09zNpyppOjvWB6QDx01HZwjfGORNLHiHeUw3GdIJJrmFAJ8KkUmTBBXmfBjE5WRzhxVMCFFLfX6u
IrIUi41O+K75nl/N0loftajGMEHEzcsdQU9krRXtPDdpDigdaLAWVn6QgJI+xQDWp10tyt676Zel
eG2UjBya5g2jow1mlOHJMMXv1hJFcld3hScPpDRBQ0bUVsfA7jJ2D83UfA76OnLSutMdmUdWs113
oZbvFYoSrPHuAp1GhOH1zee9TZ6VORMBKG0gyr6TS/gpfigPobtU0xFq0sLaSzyM4p0+so3P7I61
hjhTu3f4B1vOPphs1ejweTLc7/fZwBLdo1iDYDRJjbjQsg1ixrZH9Gqm7H02s1myNM9GFmATxuJF
8YN8yEXwYG1ySws9dEG+i0Mr3oJ7UZT14u+CRtneKZ9yt/6im0J0p5hmx0+setTqCd6KCvZFRv14
HW1TX78VdSXAEw/LMMqnuvCiZqdM1VyOXN/INr/i+eT05rygpxZ71Gmki4Vl7XU+t3yTpt9FxPyR
+Rlpzu/9BQMcnYc4zIbPWWVC/yhGp4jvSry27c64Y1ATRFYM/fq1RW/vHkXWkGznjHE9T8ythT9c
La4zRl+i0h3d0+XobbP9JKyyyik9I5H/aC0eLcW2z4oYubZk/TFPcBfvUKhu6Pal8OsorYZK1TuP
Ii6kHpP9cDV2nXgfq9J9NbNrWU/GBNvCcTr5j34WTvPDurTOe7FZtdht1H3lfjKLcZhsY4v6ysqM
rQ/rTHmczu7cYIW27KnYFROy4p0YINkcp9Cb/GfgT0rs/T4MKWp9hITQnZxnxvDUd+CutUiXaSma
hO/AYD8iWJem1fVyZNExym6abJnLpKmsFjaNM7RcJ4M7M+HqgkHyQPaDtVO+rB8H3y3ao6e2+cX0
QaHQ03xZMgRrCuroGeN0MglZZnt3Kha9893aRJiNVBS1O5Q+yQih6WNyBAr6aAJIs8F5zVTTiVPF
mIyxi+TpSZuykQpKaW43yTIy/02aqcu2BO1r25CC26w/TJkVMyzpGsGrUvTNp6Ipq2AX+KU62D5D
qiPTIZv6FR5VfuoKX8qrqO6dZ+Rwx9850vLCW0f7k58gJAjv6HnN9tGKSYZJkCnnjc9xSRwJOm2+
uyC88/vJOPOWlFGbVed4lsPt7DTrC/iNvj40vI713WpIHdxn+Eqp+eFJOHpfFD6vtW2XTXzeWiUO
OQj77uhiAyIIkKTKAcHJo0B66mo3qPm8Fba678LRt+l0/IK3xTbmqQqrceT4952PCS9qm5RWM3s7
VjQ0a13TsPhJBQCP/X0jqmRo46A+YLQxz2ur0WB9FIYnU6nwrZCM0ugHw2JJR3iibH1vIEzZyh6c
jGDJkEV3qpsQqZsa8BPqRn2RCduW802o5dvmZp04uFbmPTrLMHnnaehEv3eoqsI9c9FIX1NXLeo+
bjcu8p27Gcc/y1gu5XsTS63r/SicTGQJ2lE7vyzVrKpjTe/1fcOo2F9mVPnzyJqQc51HW9nhThnk
9L1fovnDzxzeUlMw/kubpraKHUDdwCSTL9lZtylk4pQZcnAq1RgMR92qMdzhN+xUCvTDaR4zf62t
Ux2UZXQQpqfy27ow7O+d3Lt0ec28REmoO3kIRkvqXQYEcsczjGEO9/sCnqRcywilifydpG7nSaa9
CPN3p70wKTt40+qUq96KrsbYr18HF2fBvdMM0fDJbddRPVmFhYfY8Xr1ARpkk3u/c7MsKedptc/1
LMrmMLRuF6VFqWZWx0tkyHSNdVOdS+iv8XuJ4bpl6rg6/cNWebW7Ly0M52wC1bp5IEWtmp6Ciuq5
LJO5VaZerb3VXuYVxbEQauiXCdGMX0Pz7DIFLh2eQruoyqBOzZZ7+gb0T/WRW4GNnFnZUXF0VwcR
fjOKHs+SuOkGZeORkk3e9IlVRVGWOGJZVTLGPf8LA49tPDMtcT0q9KpsTkqH/i03bLGlVD5NBrwt
LL5sTV0/Ul3h8Yxyb3KSLM+EfeXxyQoTLPvrwEjE9V9FLYRKl6B3M/Icw4EaPKZ6TvU0iPchKy4a
QT/6ferkxEhQXLVEzHLBzbeRMeqevGufwXTmmHeqlnU5QEFuAgzavnyL2KV+juTG3IWwkfyxbmZ3
2eExZ7gdOu2md6rqt1dORGgZqIJ2u68ilR0yY3ETtx6v68ErSdMu58aeOJh8HNKxnq0gmTy7+vAW
H41yMK1mKFP56jMrdvVItvclRr9o2to9iFyVH0VMpXCYpMethFNViBN5HkO+21jD+oYlCEGH+cKK
ZpJ36xM5PkB5mmryfkSNC8jGzmeGIlE4KIyMPePTxI5K7vdcNX2bFkW4nfIWcEoadkjpx9q2HJJb
plp9XXu3IzfK7XEfYorrGtBc0mclfLF/VlnWmKQvo0lBEawoU33L4FVo+tCEYM4sq/h3n872+2/L
6f9do570o57fu99Jj5eEnd9adTf+xYsozeMY5TdmQYmm+zfl0Ylp4pm/XoIfLk6sSw7YX4RHy4mY
36I9Xka0ISzRi5T5l1bdcsNfLoxbEnZZJgcJi4vuX+jV8Uf9vlnHknYJucBWTG4oLbvrXf7875r1
WYy5Ddd4SAKFMk1wudL1N6uoo5oVZAfXkB/WOZ13hh/q3sLCF6KxBVpMD5gIynIHOYMQjt7JyZzO
L4sPt2V7qT9j0mmzg2FVkAKyxfpwQ5FZx2d7RKFMxGL0+BLhleTU2FT+pZycRZ/Ci5vrNmZy9G7P
iPspNmPMnJwK4p25C7UNHqWHbBH+e1R5XHOZrr+WUR8cwplxrqyL+tU3XdDtgqz9Fsdzidxeih32
merOyuPya8Z0IyGj1Kbyjb0vVhc0b6VuWNKiZ31QWN9TUpXHvW8vLa8ARJXEU1XxIFZqYE7z2MZy
Glqk/4uw5tqKVna6mHU8u8sg71VrZRj4ZJ8/Yi4U121cBsct3Ja7qOsNlqhqbJg96mjvFMa7c+ZR
kzQil/CHLfVr7NJHRXY3MllQzoPO56hPopmCqfe3br9mFR27P8nluI11a9KRAe7ZDiaOiyHsxb1m
YveNtDeO46h5BoxdXHXFkj/H+cCVZ0mRn7xwFvt1LcVLaWz+nmp1tQ9E9qHE8NoqaAIrTg5Ow2o6
a9L703lF6vOKOLiyMEce23yoX0JvPlhzvyt6fyaVjCX6Q49ygV+4Cw49p/E1qgiVptdau83T+qUe
pXNfZM5t2dcvpRfgLVqFipl9lfnnbVUZhrnRR0LBW/dDmaIEHt5sJ8drlzKxaEtuw9nCUuKGqk+j
KmqwjoU+ArYTDvdaG7jmEe8WOywIuD0hgldTprCr+a71FIemwE56KRt9hkhDF/bHuCi2A3BtmXJ1
B2do3iTNCKCWlzu5MWXM99N3YQ5AfPKo4pYaiSoanCvtYUMQxgOUulm7sI7Xm1iGd4HsvGubNimp
mtWi0VLucWzc/DZz5+G5q6L2LuvH6sfmb+F4Wd5vr5qxNMfFW+mA/EJ+DrvG/rR1wJdlLIrvWrdy
pzevOnZdH1DF2NWdDB0+gBbWBV62h9IT+kq3LtWGtclzd5mSq7a9QdcfTl1OpJgvpgq9HvNFQvd/
EYPdgTehjUA6utwZGAumfaiQyYu40M+4SJxPjFDdY1Xlkhp3fXHLOE98Do4krBCidyQSnCc0jOvN
YqbaweGdPb+6Glsv/5RV7FQnuc/13A9hvZubYbkX3VLs8R5VO9syQdrE9nHb7PZ+tILuYGTl3WaO
Fd/rvNvuOrRC0hYCfb2VNvM3ymD/R5/7jAVsPV9patBryX19cCL91VEEqfeyFskard2lPhlT1InP
Odsiy3Wex02eznE1igPjUudM7IZX0u6vw9Wa+89dJhUHVKEiTHP58nXc+izZYHm3q+QtL8qseRML
SwRZxV8bFTkMjo/hvN/QFrH1gVi0Lw004lqJ2X/XEVrBfKHTgotYkRGkQrkLs7z5MocU2ZIdvOt6
sbB1IByee0p1O1I/XFN/K50hepDrVCBQkW0MOgB3iCZ/9fPSVtt6VDGHI3OIuj0RYJVD2htra56+
aacuzOUBC8aeNbaoF+SS0yftdB44p5g5M5hJJsrNyBRDVn54mxnT2LuqsT2ql1I6n2i/0SqQ8kJV
7+n0nBtkHM4b19M+A6WWt+5xYX6LpfJXU8HsUCQbaqZ+ul1McdK9PZxcNVxRy99b29Qw856qk8uW
49FpvV1drp+H3Jwlwk/I97ixS7OPs+ib7w9nhjaHIfIP1Wi7LFGvJ7sp7nKXObXpm6fRG5dkYRzb
Y8a0ZZPwp0ft2Id2zvj3/tTQKYto/e6XTzYNpiWCV7k59GL2wVHm2Bv3VriKjcqNGKd277UlJRwJ
2BVeV7+5Nq13nS39sW/5oTd1RGy8Whn4F7q7E/hiIlWlg4n3ZE+xr7/drx5t2jylMS6jiS3w1AIE
45BBeZFBhtTW+mwFgcTZNJRJbWWfsAVyHLgnwrF3NL834BgxuKwPIy32Mtr+M0caPh3LMVnCvUX7
N7s4/KKuXoI0msKVyd/sXdwf3t5ti0eJTIYhp7uXHgJWXj3VbX1QjToqq1I7ZuDuKbAb/65pguKH
5dJon8t6dh4dxfVaWLXedcRYvyBSqXhfO/ULc83i1KiZYw+WDfsd4TqmhuPzwOptewjixtqP9UD3
n0fBPhjjDxdFFYoBot2GV7Dz8+8DeShJiFXkQmDyU7Nu01W8zN+ypRpvs4LF+GVS3lUNvPA+XPqO
AARPpZ3XnxcRd6RQoRCzVR6QCOOfOQiBh8/STcpBzzt81TunL075EN/3kVrTaUQ6qS3R76SXD/ue
dBk8tZdndzQ/sq2/dZCVI1FP37bO44mI71tvI7dxjtUh9/unwM6eAosBJOUKmk54MWyCJwoaUtgh
8aacmnDUsTRU1p2z2NttE0VrWjXzo+EmjAN8jkvH8dEs+RdMufmOIf4ZBvk5z/SjnXs3cnY5Fk1z
EpOXJULZ7Ze5xfFL3TCfRky1t7Jbo/cZ4t+ZVro7Zrgp8e1g3T14sqEBgXb8WtCDDCHHNkl1+bSP
UGeTFoXjQzuDexO2bbsPZFl/RSa3Xudou+XuuFhNRRcnbJH6P+kNz2Fnu1cjsKA9p96csuqNohr6
b5lxxT63J2cfzDZi6RQ13XEuxKuz5EFqRdnT3CDLVBXnHRNzHxCgMcOOSBz8037fPqBL9QnGz0Pl
cRWVw/YlYzyYxqq5r9F2BhNYb+OmOfU8pCTl3Zh5q86NVldmtthOKQ/ClhM+FeJ1gTqnlfYeAwgp
dy1ZCe1U+knrOhY+k42TwrU+WBv0b/Nt/rTZ9acpwOo2Dw6f3+F6bMKDNfU7rKf1R2VzSVibRViN
N9ZJXm7HysT9ifXyaFdQmOLfWtGJ1choQdrri8YtlpCpyGx2tWa2trxXgUcjQCU/yLYSp3UYrsNo
iNO5lV9C+us0Nz3CbhUhV+DnPdDJenBbfVvyOxVquB2ypTlvzcKGzTY/uy5FEwLQeyaAF7PDvl3V
zL8YXzF7Ns6nQov7qgo8oiOks96oItIPOorUATwho+J1bHYys8JjjfHrB9saqkkdu1hfHJvkkhRK
WP4eaKwrRjTsjpR5qz08KutF2x4fe16xJC59ieF/sT9jg4oxvaE3VZu7Xa2W4d+nWW7WyaljXFFW
7tenTDOSGqc+GvYl76mNmcugajShXFPZtkWeEBkf9knV9d5jp73mzbdyviGbJPcZpp9bfDo4Eecl
u8thfj6MIFa8U9v9f+bOYzlyZM3SrzIvgDJosQ0gdJBBnSQ3MDIFNOCAQ7k//Xxxb/X0dI91m12z
WfSmVlmZZATg4pzvnL/XC8Cl395JZfef5rrAiXHKPVaBCUJer3RU5iYPmp3e6HIjvBhGAO9ua57t
wKicPY5Vv+OoHZzWoHwvm3EuSN5pay9n1zpLK3PfQZE44tQ1QfrR63dr0cgt6vaDzuG/vHX9pobe
OlSYH+0D1oApEsTPcH6zVuDUvRjTgEXb8JeTHga57s257O4HNanzZFmkbzfWqsw5i2XXBnJfrp22
fq2elgcjuiFH1sg0zaTpwqfULZrlEBW1gpef1uE1D01eGLwQ64tEZf5WO6meYzRH7yKC3FiCjTuP
y74h6Tj8cozKh8yuDL58hYBcU/hEh8jJnJrCv+u6rm3PrNWDsWcZL4yEIjrEvYFYVw0y4cK363k0
xwJ+3UzH/eDTOrGzA4mp0xV+H/1o1z6UTzV+4kI/x7AaT6ssB3FwLeQuucE9KyZedt8nMZZJRHk9
FcJ+v6Hl7kH4YUFRu5cGXjLlrfxcVxEC4TdNMSTVjGh1DNh27Ac4hZHFFZusnbg+cSO7hQHKaatp
EBW8sFmOYEN899slR/zS28YwH7HDkEn7uSHQy9WSbTqACF4urULZ2UQBkydnttlh/mppk0G7SCe3
eMybqGF+To7weNQDAudhLsCGtZqL9VTNlZjOS8oB2xkafi8HN0cPACEberGzZGgNri5lV/xW7Zwd
ndGqvuu8jZJc2/NjaozeMVSt/5A3oRl3ky52fD9GXAbI8cQVcjjCDusMtiJ/WO25filoNK2DHI/X
OtIKqJMq1/6mNJjlWAXGa1sb15tMaVeWf0wdGRz6CqK5lN2VbUOgyXB/bfLhvaxDsfWnvt9iWrFM
RdMOHL9/mopi7GK3i+5J+2CBd+FXKmV4cP35rV2dPm6MYEgmt7MebAYGP6em/1w3/JyDaF71lDNq
NR3jKu1PUZOhtOJfjExCWwTJAfI0Z6tCWi4N50XaVly62KSWrN8WX4idKtZqq6OequLOfVSd8zFg
V3EvSOOQvCQ4c7e3q/H32JHw6tTbskT3iyp/pJNyAWqmdUQxKN/4qj/GPn/IO48LntF/1dQjMpnL
a8efpdkdGl9dtG68A2N8PvySL2CN4mbUiZsHyImgkZnoj2VPXQOe+hv1eTRembt8tq5ThOs8Nkwq
iJbfeGr+RmRRd28b8tmtca9rs3nI3OWp0v2d1duEb3A7Yi3muzWV5zSwH8bVyLDexj8RqR+vr05V
uqqL46B7djPH925FrLU5GPfzo+7qd4jCT+7jy8Gp0qPfM10NDS9peQ0ZTbS/bYItk0v7P2XabHxY
wDpkK6M3Bl98x+I7x4vpf9ajPudTDcaDs5xq6e6MtNxrLhhZHX4TWOdMro7gaR8qyrGql+JD5XKN
06U4Kp1+1GH5kznp9tky208Uj6Oi4CFjkUzo+tFbrLe3NaNdY3Ln/WQGXwY90Imhab4b/GLZzebi
bpTTHQZ2QZGN98EtuUFASn+NhDM3RVvyc89NvLSTe5xoUyD34ceTr52kk/zINn8TaaoPy6RYRnFV
3YRh/YuSi11HKxA+O3lO2yrPa21ewsBISmER5YFTo0PJmjPoj6clKF/bimbvct73njfAXdvc8UM+
5dA/EvI5UoJ7CPVEmquDR3IDDML6WRjyMGLxiKDdZ6X9bHJ0N5mnWlbr29ov6Ws9NVsSAklg63sn
ql4dc06wWk/5bB5xxPaFHg4BZMUw9DiYktrVoAbilO3etJfzPKaHIVWncBq5zVevuFGxH9Zby82O
bdQ+2yHd3elSn2492hYDcC6RaZ1GYe3Nwj060nhNu4mRFlPxe3Wlu6167exNdzylirp2O3pyVCoP
ueIFZ5/vN0HubnuLpBcvflyr4SHURnidqXNDOTki0ryXsviVcjDUbNFJiK92XzjudDEJtm3YxT+G
XDnnSNjtgfKiZMhZMcqZwG+ZqyUpByN6WG4hRYg3eDpT+lvuUUjalhO78P6YGCvmZzo2j3We2QgE
4kxEz9kPI3OgKrO+1o35jNW9DUtjU/ryLizSF6/ydnqJoqcpy1EqjArtHr5ktXqUjYgImxMH6DqA
ie7JAkfz5mrrEvI9IOnQIE/5JN1ez6PmuXUF9dEDISujP2tAv12lUJAQOh5TZzohZ3HvRpM8aAM1
JjW2RTkfvLZp9z3Dge2FIaNj531rN3+XRnQKKrFFYeJFKQIrdqv23ikdYlTRkQm1WNtyhPYOTkGt
KW8lZdeKYxmS1Qrrg7uaxh0lLfSHXJqFFNzCwOFqxNujniOpoihu3fRXSyjApE/bEWvIaWJMSmD7
t4EZSMzA/QFxyRMr6RFq6UDnXue5D6zXm7YfksUrk2DkHE/Br3GHafiUptGubv2tGp8wm45gjq+m
rZNZN082H7gbDcfJ5rbWcka3OJLa1c6H696Y2kQd7JgpPaeey91cLzuu4GRMqv4rzPU2U9nLsHAV
L+rS31mZMW08prvE0uwPc2f/pkbpoC39J7xZDxNZFizGmnc6vf0DFBGPgJFFMN9lFj+6xFp1av8p
x3bZhCXgH+0PO8Mce0zV/tfctycg+M+qzO/qJd2N1pr4VMoMov6wIqr7U8FhRTDa3my7eDKWhzBz
tq03nlXb3y2cOQIyCKJz31bKkDaVVfwom+o6WxA/kzy3lFsVpRHceQ1rh5ciYgwVxE6QZltfUbk1
uNfKG+7pyFw3FtwuK3490sFtHTlIvAEj7KAqVgjFDxS04+o3+xQ0clOlGa52ulyAVMy49xF3IYEY
ejbZrzQCJWND/CLkr9kQsbsr9RRscJafQ7PB2nKjBK9lJ8kmbazCZEKB451Gr7V2lp05+7JvvijO
zDbeTJyQtG54tPISMdVyP9yVA2UvsmVXu4jamNUDly0xnETj8rHkbR4j6H1PfAVJES3BnoqJA+fB
D7rezdjKh61f9yngTovRJqPHpqxf23SKlveIaxRH2YKJrXrc6brG0uNvLbrUB8MIer7MQ9hkpPyf
KSxramtrhGJVE7lS5oY78TTnDK7UYWOLxBbVoHeLYaVPMg8VHSBhV3Rnt9RVvq8pEnrVDSQg3wfc
3tZdfOsFVy0nDtXnPXOF7U58DJzV6x2hGKAfLLr0VxcQYdxV1ej9gfwNnjo6qp566FLM7MhYec85
PTFfKRSsEVntTmiawtDy1v8lPhYnsyqQWmV03KTClp2uWap7XS7EexdPvHvQu0uMeQZ2ZatcvUep
nLlny1wVO0oPQfRKwJw8LtyweLXXlOSZTKUj8GWXwI+zlYT3oWJ8pwUfUbY8EcL1mLHX5jqQxzLq
fGvD1+6s26mSExJ+Gxr7VXXNp1264+NCivZqrVWWx63Fmfefye9/CYe9/ncBx//QD/1f9kbf/r3/
UyP9P6MD2qXwHd/sv0Zi91391f6v5+n7VyHJSf8c/2/a/+//++9gpPcX48dNnKXbwIt/c9wc7y+f
Sv5bZQYl0eCxuGp/O26O8xc9YT6dJ5h0tPHeiFb5zxZo51YQbRN0pguFv+tf8No4l2Cl/XtVQWAz
2Tv0HEw//stYzv88960QvcFoCSS0Po30huEMLpJ4OcRymY5c5XelHV50YP0gFvQwuEQdkIBUF9zR
ek0ufpRnr/EPGMjxopsrN9YTJ9N73OZzuFRvhcjvQc5e5xVxdOyDUz0t+3mQ3PJnbhf2tzKz0wAV
0rncyYwKCc5tvF8wdihMTJZwrD9+mEH2yWbZAy+KG7/6HTDQ8reYZyLYtratV+oCpz1aZ3vvGZ13
msMAsKW0nOOaswebtT+9jRVXTseu109TpUQDcNrZuIzwMW/970p+ZZXortlQOoSZ/J/CLNYkJ1+V
qEE2pyxicWi9IL9SxJ4fGAgJ9yQ4JmzqMQuPvgPNMIyD/7Sq6jkzve4nXYIj+MBoMWvIBOIvJzyo
2mmnBMavz+O8x5ap2tA7mG3wo7/N0VFTFHLFoeS/CWtWWm+wY8cUD4idR6RbQtFlX+3xzp+FHQSb
mcFvPz0yCUPHn5HBcqrgch65fKKydbAEqHfFwNSCrtpHM8fOTh2XucMkyE/Kg/GtznKpzmHZHkMU
0KF5k+N47EIEXrOFM+TU7On7giMFYTtC7mn+prKZP9Dd5244JtEwwlEK+Y0+v2vt6YGv/mMVVHKJ
LLbCdwHCxO1sU7jtUdd72aOGBc9oh7HB8BAfwjLid3JHGZeRf7FyEItsnR4I5bUfgrMcDidRSeZE
pZn4KR3tEXfj+GCRFz1S0Fe9OeQck7pNKS6sjoOuh93amp+r61ivqRLPMlPmgamk5bWv7hyjOyGk
/Xbns8zLHS/bjobiamPYGtcv8wCZgO0W/RNSGObFE95BTsWJQjPupvyITT8byTItQDv4cWjVLk9m
+4vngGK+AH2NHwt42UzFuak5lqZBcxcQ2IwROi7rYDeEM5QbFyacWtBTgIG/fUWZADOtSLa7bJFp
Hv499/b/37L8P3DBZZLtf7fcfv4/iap//A9/r7DOX8GtOCd0b10ot+DUv62ytv2XaZq37mb6Bm9z
IP59lTXCv2yyCZSV3P4ARboeYau/l1nDCv8iUsXQYpNKvX+uzv/CWmsRcf8Piy0hKvrUb97krUnK
ZLH4Tw0pI9IutjwgwsBzhazTUBZ1imxSo7VN2TMGTs5rl23wSLI/QOvrj36EhnapHrGyxbh1Ei2/
VqdU474M2+wmm5jmapEaKsLfHhdiKi8Gjof5PSceICSDM3P3VkRpKOukyqL1qIHkrE87Wqv6ofGM
cdhZpcXxLSS18MjYcic7RkbL6pymOm/vEPUcCt/7iubrZlreXdG2aqeNSYWQRpQNUvTRVI2KB7vE
5dq04+r4SSYiczjbNZsJoVQS8w3YuDL6x7SRLbcWCDOj4bLnZ+F26rqJLEGOz7SHiPUwrPrss9NM
6CF2Ht3BHeUvGlfqnHumfF6HkKJ+UazvvazFSUVtyA8mp+dBarEr0u4DlWgkatH+qoO6SmDNlvPC
h4u7747JZAT9V2DyEQeeyVSOqKkPVEeAU69deWea09VgxeLbmNRNRxSxhQ29rfLVPaB0TGdoQ0Z5
mmgfWOVxKszw3JLUfLAbM92Wrvnd+tSQpDgKh3bFpYKR/xEFej6z08+n3DXbP9QXcuXuhbOvhtmM
yZU4SS/RjzoK0DZ5H4zvXCgYaDYqb1N26cKhkQIb4QCiL507XvEZKruNiS4QjsBnBNp7XX1xW5kC
yRfFlcbshkfIbR19YKVU8nzj2+x209L5hJc7TEGE3s4vP7gBvSpUQU2xM2TztZyJ8xpldoYBspfD
UDE0995THeuyya0m9CeRblu/ok6km1gFidtU9gat1tPkNXrbf7UB6DZyHV8QjoHMShPmlyBdvGI1
5piYessVCq106LdtNEPBQdLzf7iAZAwtGeYweioKgqo7gPDpTpYG4ReAhUfttkCM4LC985zngx0S
Npjmj3kAtj44YizSky4x9e9k1nfFiS+8Ci5WHXznZm66R8NJp4rwAFGEzeIMn7LmkelAQ4JdptYl
29cZ8sIhbbQ4QBQ8Ym/0myEX42/tobreQvJvlasBFISySB5jp00KLN3x8Vqj1mrOtzl8sW0OgUwY
h9X2Sb0UajdlBsySdtZW/pShw8HdoQKWmuE13VvITMw/mwPNJBr0lSoBnvWjY8j+ZT/4uQjpc7Ns
kDnb1xcaCp4cW9z3E9upW46/HSlI4FFxsbG7HmiIv657l6SPu7OgUDdIDMusToZSafudkYXH/apd
Oi8D5dZcuyoCPec68CFqi6A21g39Akv5cwaijGJzCu6NroMOGJbZsztoooWjGeBTH/ue+6nYjAsG
OwU/i87GRpLiwgJlAbJqyXeah70fxSLrCzZrppj/cNfm5PJ7trulmszvWbWOj7s4o8rxXjpMbup9
EWwGHdRwUYxrgVquCZrtMmCbZpPNqClbsomzPBURU/F4JiRVgEubD99zDQS1SR1Yje08Y5clTPC6
qVbM34DrN8M0Ohj9nJPVH4x+MwsA7Yx23gsWiPXIy7tuPdV0dzTzT3uRFYhGWa0/lDsoyhRgfGIC
Xuatxf0XYZ8onhymZklK1jGxJ27S+ImvCjHKwJMk4CAksrOld2qqf7ciUGfm69xy/wYn4nJ0zmOT
uye3L4yft+ZEFk7KATbS83vzaLkTAXYup66z45jg7YJo+l3BpyUW4MInk95/SJCVXdEE6gTP1e16
eImzhemmdMfvXXkjXrb3a1mN4m4eQdo0TR5bHg33xwJQt2lVoU9+wVV9aWYo8rlbwTccd64uvh9o
ALVJIuqYv0kp5U+st+mFygf4n3/UFmSKyOwAkL4P/MY/ek03kmTy9Wc5Zh2yS6A/qZoj3AnpWV5K
ZlUdXc+vHsPBbU8cYa/Mdv+z9g0WURCm4ckP0+7SjL0+LSsGbpd6NmJ4OL1j6i2kyNrwWFRzdgpn
kb7SaJph+guHYQ+5uxwtJZdrwRYzbAWlRk7c2t5XNXvRh6PaiHt+sTxA85SPcLl7N0ybXWD1zmEF
pjtUJo1vwuB2L3BXNhTl8iHezBx+ksC/rPN4Luj6ug8WCZcDBZM4PQmnrau9PxA2T57XusdSmEx9
LNNLruZkSmc+i647dML+EtYUW758MJoJ9J/9sulb89keWoIl5WOz9ucsRIUM5MoRWS1nu3BuI+dE
F8MeH8phghZXGFZtDd9jFt5utMkfTXxtu8FVT9TaThv63BMCFBjXJsXRFlIEn7/7FrkLf9UyCiK7
brTPKSzFTaD2kV2f1SKv05O/NmOc4ZR+u9Y0nTQG2d6jEjfJSezeWTVlpV3jxQ2c4qb21M9szpbH
cNHHochfBqlcXF376okMR7pbXia08Zod3V8UuQ69Rxr9083dYyXEJpVAzHSKyGFIsjI/SfzqKqfu
okShXHX+I+uXZGYSXTHQv26XbNJ+CABdZHdl7dAZM5RPedBfonI55aEut+aQWVSJdG/24h1ynzYc
abjEOPry5HOjKftIHddK2BAbslV7u9OvZSEseG4FQBKYD5CG/C7rLuocYEvls/MOw4fvwFOX6+wn
3qggxrTy8m3h5xXrEpfTvEqjlypiOrmeC/VeA4W9hX2L9+i4NIHuLIF6jhNSujIRazA4u0gUY36k
9coAFKpzh/uh9Osv29FX4k5YaXmzJkBOAO2zHOJx0ryGbTnkP20w02NP0bU53lmVM+FUTcLezE5N
XXijql1BCyCLdWWec502P0JK3JLI1OlGDbqZNrSFYc3ueYPEzlKNg2E4Epwqp+YqMdwkpwwxnewI
Cn1obZMYvYrwGijp3GHjGY9Gy+pCHciiaQ8dy8bfU1a5fs1KhY1BvB2VPKF41e7jEpE02+iqcPCQ
7Dn4MVNWEm2t8RZgL2aZPZg0o121tP3DmBXOdRq8ErPm1jiPgN3T8J6LuTwuEWlUsN6gg2S09ENU
Kvde5P2azJWDxUc9YzxTXLShl8k72A3obdb6KpFp7W7HpTCvuETmnZ27DOVrQI8Wd57emIlVPy6q
ehyEbVyrzCQq4PDsoheY+9kW6uzNHhlGb3oqjPWD2CQPBkdwzMzqyhFwvcC0hnXsZJWXrPXIzFDR
PGey5IEmMhiH5fBm+uuQUOd8sWED96tL85nsXCanLEF25dSC2RS094s0l2vGCx13HaMuCodPP9W/
M9/4qgMrP+XBnG3zoDiowThKv1y+vLDsE09W0XYx9XhcaUxl5BEb52ZZl/aFr3X+IJQqL8DDP1dX
92CLojp00qNZRA73XIGc4zJ5YBR++2yZPKgBSCJkspDDLdPVLbEhRhgdDR2w5a3NL6HHfhJT5FMe
ACCcBxwo/bww3hMv23ESRZllbSlv7/lrdpzBVmD7lHppmPz9w0pFihgc0KdQWiJhtldEuFJ522g2
2Fyj8dcyOSQzVvHemFUd0+rwibfNdODFbB7T1BBbq1mzn1FpRxcieuY77sU+pzw5Wf2+ey/gM+Os
zcInvbbPZtE272Mx/QIkOWI2AtIOpfow5bwrMSMPdda4310lufLT8/QEwTRQnJ9m32IMgm+CxNN1
yF33NaoIY6IvEF8TWeo9twuvWOZ34/Nk6vpsrCu9D+4cTX88ZagdoNZMqsiUe4Ng1mNok1/w7T74
VCAK1xoaDvvGpICvK3pj67j1i/L4scO6W5/NeTnWxWTvKbewftZmSEdlaBsfbr22nxIYbdtRELGt
GFlynYUZxdJ2m2sdEjUvmsbemX5N7ilsf8zOamFjzTPHflBBAqi3agtFnMLHkHGjKRZETuMi1Wnc
BRB3tRl0GL9Wse8BEOAwJhtQuY6gm2HOZ0CTqXmkQTMJB1K0Ni2vA/icqR8qv1Mb5aKCGIVRvSKu
z3GR+d6eFxW/hdoFIGVUK5E+5srEes0Ru9YbC74EuXdeOcgn3ay3c2H0RzOotuVUivdiMK3Hcehe
HLPpzysp8azxl03lTxQecdc8OGNYXTvD8bZiYFQq48IjqCIibWE4fYTumj80VuafhbbsZ0s6+YV0
HtFX7MLEL7IBBk/hckYkn+rlAB/sPJUckXaZQYK7tGio8NtBwGQPbb7JvKhIVJuqFzo38DqryaIQ
a8LR2EHWugfFRvMLtqjacrQtHrqmz5+4pnO7TIMIErvqf+Ls2vFUktOFZsqzc98Z0aVNDfMEX0UC
JsI/ijQQ0qIMwQri6odiVvPZoMHrMmGHzg6s6bhY3H2yW3mUQctuRRDqLiQntMm4ZLE/WnmcutBh
yimiA+3JfBoLtiTRUrkrK+E9tbfzD24pIL4tfppByhva02BcRaSqUpOxGSmv53FZ2FNt0Zs7Z5Bv
JTHcjZ9jClXjQvGRFt1B1W7BRkR/Y+yt7m9yyu/UBdivOh8mnEJ3wgRT6zffl3cyxn9clIt3yaX/
ncf5mHZZEQe6znclgdW9AahHTZn2m6MrynrbIBQwSTpS2cp1MC3pFCa4gMgJs+rlaw2Iuzontyo9
jtEZnZd+ecnmMNynXnqH1v7EcEumDJhGcT/l4WtXzIlldtFRROGdo+YphiVS8VJVN9s/eoxSj6FW
05xudV98oZM07Pr1uPdV5Z4tYOEJFHdT9vpoZvXn3LgLIdVRyutsRm9GXdixtvLgqjjGnlMaNlVs
6RDn6mdut9kh98bpjiYs/2AjFnymEHZxURvQf43eGyo6i2kQzwac3vd8253HmzdjUEmLMHmp4fgu
kGUVGGgAbxRULwhH8k1ill0n9oGE1hnnF/eDLzK5953V/mxl3n5R8zZcalV1qKPlYtKhKXwgvJau
7BtP6wC+nQIhtoYfGT9IfRZ7Ej3+V2n53vu6uOaeFPWFyog1ZpEBF7a1g+OXOgMlAbN14BL+6XQM
H5zc8d131188IimvhdNdhbQxlNLFvBRtdwnod9h2TleSaqxdQpTu8uIj6mwiwqLxFM101aiMaPxE
kS/jZdbDaDg/56buQaQbWSR2b3pJa83N6zpXoJtzPjyUUoxHrmx+wsZrJGIqh5vKfpsLkoXgqXQe
0JfQxZFXjzsf4h/wxzTI56LsM1wYRjWy+td+RhoxViIXdbvoR9t165OobG7A5h+9BvkuIvC560ze
B3KcoDhC6V9lauMfA6yBuZvDXWs07JUhVBbzlNrtYHhUOTiO3BPvHG7w7Hq2NbGBrNf3lh9emNv2
g+MRh3K3kfeiE81xrAf3Qsk27b1tTblQAND3iUHfcjTM/2BtAjOGxPrl7LeXsVzFNkij4NLxy8Wh
UFsz997qPO0hVv8RO9DwohMOslc4zb6S7fpV42bfy76rD15HP3ff6HfauvXOUVNwYShwwz9tu7+N
LDVik6bXx5qMDm8PA5kxJpo7utn9xOH6e2JYqv1c0FK7k7YJcU0rHRVCmnHRU8idsBfGsO/Jo3Ov
Zo0PuGds3TB47MWSg7CZoOl22BxUqntme7fGkRi8RW2c/QcFKuQKUT5Lu7q1vnruxuyZcB3k7fo4
V4PFuKH0jz2X0bmdHVwkm3JE0ByTgz/V0U00PPh2GdxGwZhUtRUeeyB2zML56T4KRxqFlCxtWliQ
O45QuEviomjSljmSoZkdL5ZrOz1inXe7usFaSsVAh11Ty6TGz4VyWSI6gG/pmVmuc0yn5isbNB6u
ofS2TUdQSIp1QbFbMx5y45Mdz9jaYjHPYZB1x8xenF1TelfVNkeRh+XZylaxH0iloJ4GnB1ZH7jb
j2GZKHdptwRPi0O5oiy5ZmjRfCXXhPyLtR3TXlJMIl+7bMVmQVlEXrQ/s3r4Jhx5JYIwJI32lrdx
jOTt2ZJHm46YPSL4ddUDMJ/v/jbZZeOxyyv6GfxqJ4xgRPFRK+O+lv6EG1FcUsdnYyX681DVJcpr
Nu8JUyxHna0qnkG7dpWbf61zmjq4cu2YnnGrs3Uz9zLv9pXfVPOFJsj1uc9bz9tVUzXphzRDid80
Jb4RLDGQwQZYz1NXTJvyUjgmn6yfOqaij6mXRJNZHvI3sPsS0CG9MbwRcPc7BZakkEZzpe1f+E34
vmhJs7VAxP1B4k+8FDPP26ZvhbGCnoDaJ5AtACFltHInZIAmtcQQ6pJgFfXuGffKcFH0FjeCJU+a
NbcU8L9nMKPM+m2MyHWPAdNdjVM5MJaDTY/git7wz4/240j4GgWqdyadWBGJhztnGWyb2EgfcW2M
KIM4k4pxaA+3hqpLWDQtfTJK36aKkXqY4UQGjeO/zv1mvTS+OTkbbaT2dSwD9WdmxEmN+GX2LfTD
iPpZIC0/oPxHB1pc1cFvs5dGT+UOQpxjWnOXTsFrbZE9IaJBe8JSD09t5p3I7n+nNmNxqppw4NwA
zJpr8GseLf3Gg7C8ot+We9+k3YhDXa1+WJLG1apE6qB6Zt3JVd+GBFaNtyFyL+6iktrzNu4K3d6O
5YzzSIx6Lt9Woknjoy2nludhWIND1CAkx2Y6t08FAlK5zai0b57bYRFnE0Eopmt13sgho4VsCrNl
0yxiuluExpbIrYNtWNTP5NUc1zZTCdk6ob7m+Qfh4pemD9KvAY4FttTwnoSlaP7O1WWl/2Hj9377
MbolZ4vRe2bqB9cCFsmcRclu9v0k2odmzMWxisBOKRRz5jctU/xTEXq7viyGd1vn6s+t3mkfUJig
YKX8lonj6XtdjmpLg1OO7wgKjgDgHRfmzvyJhon+85wVg64br5PWXbgOgHbeuoBcM+2JJUQLT31B
ijb2gUJUEDKO4nQG0KORZ3se+qh8KwpJzB5adpXHIm+swbmBo4NzXu3So5XNs5ju61KBywXCxvjh
iux3iLjU0fLjbuao3EYFC8KmXWfZ7ShWBdHpJoC+lwoUZEVTqwp2VbVVFRPNVTL2ipkph4yOcoYq
xFmwLJewX6D/JfSnzXezGzUcGHPe9FZP+seadw9I0yeMU7WxKVHZBKqj9Vyj1FLDFxLbJM6YC4A9
vYDh41EULrGtkFMnxTt7vyU242TI2B6rHe3xlY6nLLwj+FXe43dsFq4rH9kwXGvYs7inLWdvL1TH
EXrwD2a3GtfBIz4hECWp0gzBOFndLS/2rbk/puKGdgvChefW1OJTN3nwTvtrcOktGlss7Sw0UYT5
aUUi7ZAIUWU9fInL2Ohul2GuH0LqK05TTjn/bhEjkDllBZIwJWGmraAa2aD7QZC6GVyn2Qa5yTRA
cF5ahdLqiQKOT52l1jPGwKWxrOOicjHtmBu3/IHQX/e0QRG6Susq5ghOLsqGQ67lSIlnUyjiZEUo
rrPHq7vRoeFuBErVLpjBe5Lgf7N3Jr2xI1mW/iuJ2jNAI40T0F0Ln12Sa543xJOeRNI4z8Ov74+K
qGhJoZKQiwZq0chEAi8QL+lOJ82u3XvOd+QY0cOn5XM31R65mIFGG3egvH2wy/qlzukxJ2AnTgoT
7xNPk1pRpQQ0DI380AxT84QX56zpOXCpNmoYT4/eXunDcOSCqCEnIDUuwtw8tT1k+lUzbt0uOi3j
eofyzTsWNrB19iNVnnluFxyYUydLQhGRK8Ue+uUkKARi45qxT4PoUGOLvsaVc8q0g02Rw/RF6fBU
6jQBL/FdHmzMJzD8jjACbCuw3ii2w+yhhONE89n5BejZWEk5Q2M9FVyKMYT61OvhReKofO3BItva
g0H3NuRDe16+Hg0vfiomtUfa+ysrgnm/oENp2ma/oBvgN8FFWujDM+ttetdVTs/bWPobWx/PpFZb
q8Bp3HRmR424yGO6SKYu+l1bVNYViW1SLBD8q73RC3OHyqJfjVNsXNOVfent4AayIOMv3rsTKx2H
nRP002p0J5TjqXdq+9C+goLfcBHNtUJitXiKkObvy4FZU1WzaSdlMy3wD4849k3ttBUWrk1RpMeD
VvbrEEQbOjscH1eJm5ewfOLLKKWI9XPZbUhCwQUrYjQkYD/2QWJVC+Gk+T5rnbtMmTqmChcVS9+n
h1QzOAT61TYxZP0UVA1n1jY4deabWonKWXOAw++amuOKsL9tkWr3lW2Yuw4Q0IJ/6TZEPbKMXZTQ
SvS/EM9gUtSo3FcEyMJpZgk5zswsPQRNYa9kYD9njsWQxjH168xlLzDj7gAhmrMWlIu9icmeL0g7
2lZvrbLTTAe5R0t2bQ+99ujITFsULFpHQwfjTrQTmXu4MsLrTrKLHWMm6KrTsaZMQqlY+/ZxSrff
f6wqVKUglx1fHGPfJsZhRsFoyqxRn/fBsNUGLM8oUNDWFVS7JfK/I9tPjeiGwUeolrHHQXgXj32O
Rk/Xw/LJd3T72EDu21y/CRP+LfXFfyt1e690+89vpXP/AzUayCG+02hs2yh7+YiemP/CnxoNzfnD
JjtQ92xSx0jfcd2/4ROasFBbCJw9DsoJV5jyHfYWwRuJ2AY1LAoOHYbj3yIN5w/xFimAfsObI8cd
89/Rw4mPcjgLKQj/R0RBItIjwc/WPwXnqWYIWljaqK376teQdOQaVgjX1AKYfoYHNErluSVqAyUV
2VWYRXujnfa48tWL5bbpuAdRRqztuxv4F83yX1mbntOVbmowwR9lI28fCm6mhKrJf+3P6UioRErd
GJLDBMPmKk0066Hox8Rb2dKPHz2gFjceLsl7y8Ic9qe2kwfwa3Amyph38sA/74fwWKgZTktke5/u
B/waDSShOmQcljeBl1kn6NrnfSDSz5tRhE/ff9OvLmcQ84C8AJst1jE+zjvwB2wFc8ZiHFyZcPBj
0J8+qzLKHn3Wx1XnpM7v7683f/z/q3788+u9v978OLy/ntLsquV6gsKQ85leYJshH8dV/PH7KyE+
+ueVDG4gKecGGtBP0h/wS0XO5nLQkqw5ID5L97ggurPvL/LVg2KgbiakHt2o8/kiWq281q6jQ47k
fjtCz32tyqg6GVGq7TkBlk/AyPpVldjGD9/uk7Dp7Qk1YKrrFlfl7f10H5GdkNcQhAfOgow2i4wJ
tgl+/tKdLPcyG9oOu43HsQO7GlSGvHQW33/xL+8urRseUWnxnszP1bvf0XOqMbZ0rh/nOq3jqN8C
fK7+/XeBCFfWGJcCFZTKfPffXSS2XBJE8/BAXJL13OqE+gh9UhcD4YoHo6ia8++/k5gf9k8Pp5Bs
obTnJBf9nKBtDG5sodc50DIgf3ootPs8MmhE08Nh/sDUyhvTejuiP6WvHwP2c3ht5rQQRs7ff5Qv
XpPZ9c5/eC1BB336eQGJsmz6waFpE8RmRSJXCAUyjvLwY/7tK5nkh6FsntlErDkf73FbaXGWUtUD
WQzuTUYw+4oOMu40pXbfX+mr28twztINtho4w59jf9OSlQxgzwlhvOK64VaC74pdpuKjlu0JhkuO
QXuO2Fn8kCqm5fTzC33xUKwUTePL7z/MFy/ujFXi+5KYQxTcpxs8WJGVFTYMgyAEdzExKXgsJgxD
qT5NBwam6e00Juk+TWR9/P2Vv1hxJewmxv+OTRK6nH/6dw91SlnkdG8Eh9jdGWRNcx4LCZeIx2rj
iyzYf3+5tyXo00MtBfW5JzyXSmLe/99fr/VkyNZrnEBNLd0FdB8rXaJHy+UiLp32vmfEhffcbe8i
zRU7zc/Mu0rBWv7+Y3yxXn34FJ8eM1Z632GufmLhblILHx/5az1G5ba1agvF+InjkDM75l6xbWAq
//DkfbFYSZDWlg0tm1XE+LQV2FkcRszXTxpmBUdxY1g7fIfoHb//il+8swxFhCCl0mFD/ZzsDW3W
14tCwOrVm7VvddB/wlRf1jBMj76/kvjqUsRBmzbtDjS03ny33z1DTgBn1+rEiZdNCqB0ONJ9ccKw
2cgmwgrGfhMc3oA5kTEatDTq+MRSWgn9ENbA7RhW44E2vnk6gHnHvGlV7vjDzfjqZZekz5mkpLom
at9Pj53L/EST1nAisOmc9BViHpF5aL2j3t6OAZqeUKXepqYbsge6227yaqDpgK/xp+d/fpM/Pv9C
tyXnU2pd9sq3UNd39wqOp9aVmn2cEH534ruZDjRftmumRd5FiDZvEdGqW/nMKi/cRIY7hGDj1rGr
DEWo7vY/FAxfvI6CXjM/GTETJtXlpz3NRFSRo6k+7qo82fhj3B60VhZPTu9BGso6FE6O0+6EIi9O
FIjwotbqbn94fP65zwnhYuh0KG1NAzbdx8dHheXkwTE4hgxSH3Jy8U6MwPcx3TMIqywnu/QYXe8y
khWOInqjFyPzhNUILPqH9/KL5/jtTszp6bP1Rn56MVXLaB2S7jEyZfUb/1ixCqxhL+KMmVQ3Joiq
0qHZBk1FElCpR68ekud7WBDZSoTmtA+h2CMDktUprWf500s234VPD47BXjUfmwwqyM8vmYiMlBto
HltGFGhkHpFP1Y6j3BvY+A7Y+nxUCyDiwcxh5PMRReNzoahvjzmohOUix7rAqe1vq9P5n9d+fyz5
4rAkjFnGbrN/Wg4xuh9/uEBiUI9H/RhVnu0uhkEm5xOuQTzNlCEz3+0S0mi1bNv6F2jj2YjNuNbv
8vEirILQ/KFI+epZ5uNYnBL5GSlF53Tid69W0dcKFpd5HIxxwHPrY4qrBggLYC+a9ZQ3xbWUY345
YLNfIWQ/1Ux2ne9vyT/3ce4IBESohfNiOB9h33+EFuKIU0Pd0bvG2aAhBCUK1z2mG2vGD+2ISqMX
9UNMRMFPz+6XjwfXdB3K4Pns+vHKUSZbHT3RscIVOwP3o20X5M6GoZZ+waBdPEIWqV482qaAmvXI
3w9esncUM0+D24Nj0Wt+WFv+eS/wlnEfPAvHA0X5p3uRZNrgV5M6jvJ8+qVXgkd1GoMc12og66XZ
2LMgnGpvZ/vkdX7/O/xzi7UEdTOrCbdCsAl+vBta2MvY9NSxKwp12fThuM1IJnv6/iLiy6tIkwvg
O3HoJn+8ihU1hVFO4fFEp/x0tOsOVzya6a7qkDU0oMTIvHO2KvGjFalLDMks+sujE5oDrWZzeoAy
C1spcxl2fv/Jvrj17DI6dhf4np7jfXoYEh+8DYPjY+6OsRuYD5+m0os2/gATzs0IkRhzP1tGrf/D
Uj7f1o9rlO0BFaXusHWbPeXTbY8b0w1xcB/BxnHJEcxxKS+LvgMUFrZ5EaGJh/zPaCAYfjoAvp3w
Pl/anYsdynn21s9fuSFuUk5DeFwxpDkxS01n6BQR+6vIl8kZNTW2KAkiHS6CrrSP+76ykHSNNX1K
hXRAq+LzqkzxnFt+c+VIuuEimy4mGrYH3F8d44rgudLb67YHfzMqX60zevhL4Dza2uaPP5QJ/6zK
HdKwJfshhQK12/zkvVvKnCpK2qh1joxyfj+SqoLmHvqgDyyyytYIPYKL75+Yfz7K8wVdHhlOIS5i
748X5HFJDYIAABp5JBeBXMcNXWbL7y/yxbfirdQJ39St+Zjz6SJ6pIpJU9ZRinv7vHMk7swyC9Ry
FHDPQeGH2tX3F/xnYepQ8uHC4AWd1+NPL2gW9xVVR3XUjGW08hjyr8kWgdJlEej4/ZU4LH169mlX
Uf3SOuR34wuan965MiO6HR3eGk+hbDZlgG1iWUMWuNNRq2YYrBBXLmhGT3eM/G0Gwjx0xtrpzS7b
2/S4D0YvqH4tMvF2OsMzYweeqgphxQIFXbf2qM6wUhHmR+yjvU2w8Pj7tB7z320+pS+IIevyapQo
LYATFD5EhTIxb4lqiE86s/Gea+pIBqUiLH6JQaINaAy76VFyhBaJDr6bPFdFC/sZ/07bLwgeU6cF
P1fLwbepvY3BmAw3yJCi6pSTFizzOkmeGzhgjMPKfob5AfFfRHmtM+InYYHgpiKJz/FaufHCLsz2
mZe/ekVWOgCugaTNv9vHsymlTV4JgRiaVWiO9kvuKHXJWVV/ReViXACLIz0yLCoM9AFZ609ZI5Jg
pcF2K7ATJaibcsbuZGLr/iO5rMQToLghNdTvdXWcxTK+aJMEoScnOu2afoARbn2MxES/RFk9HBPV
hRqWuCmBUsMYyCoLfA+tMfo0bl6ORrYp2nyvWvQjhiq1l4pz0E2Ty9BfhIPt8QTjCOrWToYgZ4vX
A6oFOKs7o22zbuWJpi83RBZCTirxOeGSMhVM7hEhQLSEHAtgkELNejVRax3pXWLfVxC0+pXJRunO
8CD+Sl5PnsQHMOIHE01QVIg/zf44R/kerVoav/Wy0ZNuWmKEKRmF26gRDSsLSR7JZkQPljuTPBXT
7Xd1DWMcI3YYaqvcjNAIWaXln4EdBF5hu3ZE0IgWGecS00OIuaHrjxpVddOCqAxIqLYRUecRYs/n
KXXivNe+HUDY97xI+MedR5DGukWoRjZr7D5byojkMoOnkCLMiKDPeUnW3fIaaOSQM6pG02RVdQML
S457szbTBwoqSEesPP5Ta4XzT5IFEEIYocaIPpzqlkVxIJNpHMzrNBPhfVgTPLGO68H8Da2WxrQF
bvyySkx4M36TAw+D+jUwfqv1aW5aZWB+mY5bV70utQc3NLl8G4fkOxZ20h9DtU+sbRdxdF5UTVfG
u6CrvOgoCj1cOsSM0CzQ6hauIBM/gBBIbsbnwo5qTClpQtQPyHixjfo4Yb7lTG+T2yDyVkE+oVUQ
GrIZ9EC5bOFVRHkEJcihNIdJAXuxz4cZWFSRxLH0MXHmbGCeSlH0unM4QTqnxZSQqDN+gNwj2CWI
uyebMBEGgdIJH53JMht+KDPRN17VBScS9fi2Qy4NjFQqdcuDjB8FHXVyVlAMMvrPU8E/cEN5Yibk
T5BZbAXlXuQWPplqhKznW3rkrokoSYHCD1mFmSmeiCjgR+6IKNH9J2kHqiBdBFbGKqhquMB9mWrI
uPKiefBdLE9nThP0l9ZgIEwu/QifjMmNDDaa6fq3GfkhPRTgvJSLBug8uDIk6THjvJYI0ao0KZ2S
yQX4GhWunq5wXbbYvVM9NxddbTsM6qvIey6IkZPrZPJdArgKJ3VP4rHQTELvc+wcJMFQ7E8gMmdB
l4sWUIIgG+mPP09ObByleulem0qSbQ++oYICFMdaukVwY1TrqrQ7RqNxANVYtEV9ZdsRTLMEwC14
DoH7koZZxgqdALekoC3mAhsLY3sTtTEZCKLPMyJ4Y0VF0opsPJ1SbbpBGsayE3RGugtQ+rqc53rt
1YkkjrBe2hAPbGvQLpQ/tP7CHimx8Vuw8JKxUneHFl4M6chFnl9gXamiBczy/k4XXf9gGZVx4E5Z
SH6QpN3wA3SXRLDiP0Keai5dQpLHZRog94PllkuFqVPh0/fNofYWBDWH2QaUn3PlcZp1IDsxUFjW
pgL0aVrTgwexyyOXIfGZpHceWe2xJSZikfCcBqs86kuboaw7pSje2FOWfe+bvwE9RgdTZcpajnzD
YgeJLrwypFnc0XAxnlBbDc+Dg1sKY4yW3jgcXc+lqpDh2rI/DUwfkyPwX81eZ7WOHEXJYMK8kBCS
tNKFDxuoiXr9AtEkeocGqSjoOmew7GVVQCqCRVmLaUFBrp3nLp4UHByowyPPVHeG7MQL/VhYaEzU
0EPrg32JEY3UZMKnHUZs1NgnRCMIjtUVocpbynoYS5j+2CUJ4fQJVdD18rXXqQ6hP4WIT3pDtGpd
uIAnVlFTw7HoeChRtrSIxY5qy+rvvb5GitdFpATvdXJm7kvlxdjI6rBtEB8Juzoe3VC7HiFPrrUS
4Pc26eGRL5LJUx5e2yy5iQVAUQzDvn2m4zMiaiGdg5nVoDeCpBcHQX/qpsB9ZDuKE4oWevdKG4oK
fvqci2JBnLQWRMzCnZYDCedg2cxZDcWOuxwnWZFaXVlety8wi+KupZAQLHhnUc985cWyO/pC7DUI
wwnrbo+GxjRiYkZMZHtSQH6fM7nAJJsBS7oZF+aj1NIYBvWYTTkpOuRrrWJldw8x3Ld9b9RZR3Kk
SXzE0AntEkEZ9qLRMOLfLiOzETbvQF+OnphDgJgkcwarY9pectqe8IM24AJBm1npc213Q7+RTtXV
h360RhPphGfvsjKp8Y6BQDFZ0BLrGftUcNpMdvHcQxXDGJq18YVMHQ2PiBfMaXuZTFe1VlQEkbQe
3R8h8WEv6RWXLDieQkDSDKcpqzyDLep1NoW2qYBA+UGtYcRK9COd08h0hBi01+7S3Brire6HXrv3
+4KEdWJg0Ef3lq/Jg2D9oSYcOVCcSykwhpsEbeKV1z0fmvfAEwWqn2B5ExcPgGpMvzyaOBlULhZh
Swd9TfRle2vnPjVFV0YFTTQmU+vEtqr7uhTKRwvjBGpTOXZ4F+mV/dsG2Zcts46yh+ZNZPyWrdNf
wPKt3EVoJNi0UJbZF4isBCtgCiNlUY2pDmEs4w4ufZc6mnC7nu3cnYCsLTonEBRErmndh1oUnoyB
7V5NUzBejTRfr02SQkH2Z4XHLsoDj10YZEa0JuIZ0kYQdjB0dQW8zjHp+hOsM75Y4KCLFQHd1vVQ
hwOxVAH0c9qYrH8EB4G+dfTCPwsZ4fQbQtwa/7K0KhSHwDybucIiImrZmxP+/wB6U7fMHOWJzVxY
HzRqBbKSFL4GrJtVd+Eg6npMNWSPDaYNaN1WvS5E0oRbannWlL4HA7qQWDZONa/vpo1fekAWcJ/o
j2QoVjBjBt0d1orl92C1XXc9WfhcEGPJutiV/QjIzsqdWZEZZVs1YgdZBz5MVOKYQ8wUMpf+C5Dq
9BLZK5o0mZW4zQI3RnfQT+yTAKllv6wjLbWxWo3AF8CPFd4G9YoWbmTSC7E29DjGhZm03quoy4Kc
Lr9OY1iwsEcXo5c24uDF0gg2hYeOZ5m5UBVXejtlAG+n2QaVdMlNEfK3NjFbPgxtrW4esE+DCZew
utJj1w/GCVVENApk1qP1W425miNe0mhlO/wmK6iq9ROFLlQhwmuCbNNgQqyXXWHymySjm7crr5HO
fa5FtAMIQkuvdXIIKdM6avW11dGIXuvA6u+KqBcHZsjT4+AO8a1sMvOIXLmwWhZGP15CMHC7WZ5G
BtEQO/1CFBP2Fm/sxq1Nw9TfYRm/JqjO25palYollhgj35qVoa0zSi/zMHBzLlpHRWpXRJZ7wn4r
Q84mmJmJtKmbllpIddjcFkw48stiqrprQOM6gTW2Tp4PlKPmKZV594BRZLzEKwzNMvMalS20AS4s
7L2ssXcsrz6l34glfzmpZA7wTH38EjSa5/FTgdJODTguKuD45InIejiQYAFOp6jr7sHEgwvhUATG
72EM8EP2g1lsinL0ucFm419po5VjXqvH+JSxdPLqTErvV1gm5H1uWF241iKBSisQeYY0D+hwj6gM
7sGuchB9cbBC4L3Iy8qrcB+U0D/gAZe0Eb2BuCt4gkSla61lpygy9PFE6iBMVilarHjjw6LHBZqQ
MIILN3ihmeV0hCvZNnSeRhvu7Uq1cuv0uv9K9qSxt6BM0vNiPXqYxxGnIbLziNCIuF+zvmdYIQ1j
uPUqXu06qdMzKCMtGhzoaP2J6WrJFREGDkLpkoj4FflG9oG0JdBJ1H51v+zKUS7DuA2ewgoxM6QQ
4AnES6PqWBDbZKHmF0mLfwrkxcI2yIVsIdM3uFI5z6w43iDnjCut3VSj0JIlqhCyWcvMcx4y/slh
7Mv6su4ScU7AXUOzH/E0MFnb9+7rlkViU9SNIxbdMFP8C1y+8IGCVrtHtTSWbNVMvTe9qaevsZNp
16VyiQOE34dlfpSEhS9KK4nmIlS4EOCtQA3LOUQOx6SiVluTI0mcKRYxYjArprSbymqpmCG6k7ad
UpXONZ+kzK6z0OoOVWGpfm3nw+QtIdV7jxILer2m60Lkle5pM/AKIO2yKt2oXyi9Kk4n1ngNo23E
aRJB7vjQVCbkpqQZ3HzTE1dwXTVhBTMmNIKbtwbK/9fL/YeYh41/z1VWv5pffyXCn/5KX/73f+x+
RU30Hhv39u//l1xO/MG4x+Pcq0ta+/Sc/kxq0hz5h2TiYtLwtDH2G3O801/gOEMnVNklUplhCPHJ
NEX+FsvNQCMGbBa90PkhmjvW/wbQiEu87/Zalmd60mGOCXOJD/E2TnvXpJzcytR6N3TWzAn7nn5O
lG+j2PX2OfuUv8AUD1Wj67QXzB0NcQtVoFbv7tQXE6hPPbe/PsGb6IeBGLqcj11LGjJxXpXoWwNs
mhuOi5Bjw4xNMPZ/GGZ86o++XYnYWhN2NO1Lsqw/XskqK0KUdBL0EH+T/1EAJCMqMv3h+/zzjnJP
mR6ZlrBMorTm4fG7Oxq6iZ4brZRrrYv1sypnaL7Elx3AndGJ6NgYadLswEBqp/bQWnesM0b0wxRt
vmXv+uh8N4uIL8Ob1YaMB96iud59BM/JUDsqfCFgmyl/7No+JKPv4YGv0+1gW9nS1H3th+mV8dae
/3hZe6ZsGQ6iEH7Pz61hj72agplcVx2lIdDrMAr1PZEmZrOcQqMA6DGA4t03FWSCZcim6gCqs1Ck
e0XMQtZo8qaYdA77XZxYJ2hpEnQcnV3+iqOGwCBS7IKZJeuZx6WYODEX8ELHxTBBDVmQZ0NqZRT6
k70cxyzwFnxSAa6ezsi17ubpsI3oX8CnoU6Qv1VYayX7pJbBthVgnUOTAxw/lrp0ElM+uTE76IaO
hNfsUsWhYWmXnn0ZjF70OM3H0ouGIiG9kfGQmLTAxlIR0AE+D0iAL09pxYTtDUk5YH5yUic2bhbD
7hAArvH3NGl35/RhlK3p4nrFqd8mxlVgO1nN2dpRN7BEW7HF3Cnlwu5D+kR5RQT4mlTI9pddKvFs
BhY0G5IyzeMcTzgsCQLPuuUk9camq9cBN+D84RzcdiIJFAlDhc5bkaayaFUDPUq5tE+XKQ8FQTQK
zPqqKGINdWYztOmK4zXHvTTvceU0eQGZuprcck1KiKmWqCNTeK0Ozj/OpCRC0EawTolFGK4DuLPs
fCnMKg41k3vi9FD8l5WI3OeUcAJ8Fa5VEYEdEZo1eUIBtY59QewZ/b2lzYvSbol3etEsT1yh4Ycl
0g2q95YYttPX0oskhu+RUw6s3Lg7z6ruKVcRmzIHKGzNlWthRZPuUD6TgZIuJ60WM4G8c4jCaqKL
pHHCE6+2vXswWeELJ+AUUj+u8hllM5n3idmV26LGXkybmYi1eHS6Y6V58gH7JDKT0gR9EmHrP8qw
cU40bEzjMAwenK9pEt4FnjCaSnY00HTD/GNsEDLS6s8Np177TC9scOc69MDOpSEyiBAit0wHUNoe
0Zt0PQ0tvC3iLryg505MTiQLr90Rf2lTb899WuDIg7olVDQi6ZH2TmwftVTR0B2nEjjPIJU/nXjx
oNJVYaQwuBxvZstoXqro9HOgqIdKg1owwokAdpOZUEBabZpWGAPtfCdpGTxJ7GrAYbxEFQuDPpsN
lg72CAMr9Uz7I06ZiU4kXhZWR2iAkdqaeabMvvGXY9ZmDfiDOj9V2A6HZZT60yVpF/mD20zGc0An
11oMpeYD+lfu2dyIJQIDBs1NycmX9Dqm6i9O7mbnXoR+fBkkNeCfiG75Gl/iDE+IUlVvgPhat1LT
08fKGLJXL2s0lwSupHvEqeo/iUAfShYXEWL66TMQ6DUODX1XSI6RZ11SjfrCwLJuLgl6BwKlYDvQ
UrBE4i51YkQgq+Ux74ngjHlud0AsVga48zs/9U0agRlEctpYFhGagEaMU72B3EYPqRHEgLcjKTE2
Y0sOkUbLD2MKSxibSM8LuUJk7nAQi7wJJ41N1EQHkOSXFeRDhlOrwYed4fniSGJqhrkhaUoreFnd
ylhFrhmG9L0pXgmmrT1tUWlTEpyZRa2YwRPY565sF2HPFsMsoWxar2flEnFxQioadT/tNN4dIH+i
hB3DTDRkGdAj4Ox2BxaGMCXNWTHOKfS1PhR8swaCOL02zpbBulQV/qahw99zJP0otpgFE5276mM3
++UGMj2feHqBwZWhYS7MKp/ObLSXYgnf33/22kLJDa9b+5DAb7iGU5v4vBEuDe/BcoC/VrrRK5oi
hQhWhtQr+GvZaDqwSfEurcDmW9dprhpnRz4MXJjMJqD3qG8bnsyBptNNS7eX2a+e4RDyMRGLH3a1
T+NOy0aHYmBOoF0nIet+FoO4OStQmyVvDTzrIqkvSFmzjhTqzksJY+mHCeRXVzNR46DCpiCjKvxY
O0yEXpG6qqx1lOTaeW+k0wp7q7sBHSQPIcC470uvN5Xi+x17nnTO6OC3CTWlyqfrVVU2VSwhck3K
b3sRukS9LUKrdYaljmQXIIbKTFqNoeIQosjozG6MxtV8mjk8+OvGg9+4KqVdzFbFWh50cnVJhQnw
DsHEy8b+QBcOGECZaPW4JDcual4ydr6fhAOfVUP8Ssiy8BsgxaMqxnjy8b5h4Mc1p0GihE3MXJMe
hyee6AHM7fAp9nAHeVjS9qVKOSEOQq9n2pqhYShltf5Lt/L/4hTUvVRNW7386/CrqP+1gWdJiyXP
/tcHw9B/fvzj/wyotola5b8/Di3aiu/y4UA0/4W/EK/6H67k8OI5uH0Mx3mHePVmxKsLRBtcNsN5
m9L5v6JrjT/QkvM3dGEYSJ2x9vx9INI4RtkeEgFUuLQt3pxF/8aJ6M2+9L585ozGBxOInfhfg2dq
Pke8K59VhW1ZN4vb0ZL6BfhfKAbkmDBU1XGmuqRrJPIotBu1ILpwUfYPprsFt7A0jWHT4tqzYRGb
V0RwUmahGsPkQ8UzLmn6Yxg38ORdNtMVnZuNXqVHeXoMQOEkbzt6Gbjg78zgyDQuBWApWk5G4zNZ
pQ3Ttp12m4vfRSdWZLuUxi5zTMhpT1pZHWO9i6nRZII0oGKyxzljg20c42GzdlzFuuivEPe9+BUW
edETG11HGAVhf1AGKNKXGDCXwRm4Nm8t63af0L7ywMfZ6hS92aU1XUYmkMfCDq5CGGcBE2VgykfI
DmCWQJnpSoamca4t0qZZlS2ZYTr8Q1LNdKzF3RZO6E5r2i0M5ZVTJ1sYsMdlHeOpfOycDqpcX4PQ
9OaY1+B3nrqrrFGHXh5ysDpZtTcx11cB3fJkDt+cSO2oOz5/3a5VaLEjBzAkSZlRc2CptunnZMQ6
WerGuO6bVy0PV276imMY8B+0perG9X6HBI9O9hzBMXmXnRSnjUDHXLc0iWuAzwoBLbDQm2mw7Z0p
sHfSEQ428z6Dd2phSQCgbfgS1kgsBAldVo8az1G3CpkAtMyZ0LoDRFIwx6VJg9u2POgRbtlIBUda
emLIX/Fg3ds2Vn/C6B6m9An+wYoMit7LCbSLzbWJ+BKjqPHk09PdJnrUHtumrE/bKadvb9225LMj
bYVqwY+MpbREfx9yJLgue3vlBP6tyJKViCxjHVp3NrF1ed2fpm1HOiHSRtjhENoacGcRjtCcxD3N
27M9E1wcQH2SAzN7dCcHs+MA2TGG6SVr5rAOp/J4JssEqn0p/YQnOq+OBjtbU9/smaOsyrB6FYoA
VDfdSo/9uI02ApLromDUs4TAMiwCNhVGgQeb7Pqew1tZkKTjx5yv6NhtNYdxlwTm5enBVjDj1MaS
jFp357T6ml+Z0ReYsYR6pBoYmMDzBssx0fv1UkB03nwWTKFMjVutcNeGjM7whqwdDnJpJ8DIUPO5
V5I+mV71NFLJCdbIm5HmHrcNTEzAdGg8Fo52FHVyqcxVokWbmfmaX5OrHOq3PhNnQw770U/WtPm9
c+HV2d4i6iY2QdON2nHhCoo2olzax4HITju7aK1iT3nHc6qvR0KvyOqq0kUWjrtB7y/bwdqKKT+T
GLQtvVqYoLAWWsa82NUv+/zOj7QjAVpJJRZhVWhROLJs9OFUNbBudPZnXqVaDSiQXrWJgdA9+iOI
7n550TMvKAB6LfS23xjaSTbsG+syromPSFPZbpr2QtA+nYlKRsPZob9qS7WfqG94+aMONamtshOA
n7soBIXinBkQ7iIM8S3yw3LCZDzGT42DgKbn4OnDOjCiYl0RHusre28icOFAeZ7HD3ZovPowpdDB
L9ruevCJyrZ4GxjN8VQ9UQ4sHSiVhUneLOmskKmagnhuP14DWeVUBGJuLlt94ybt6fHymhf4+cey
Xw7Ti6+9ZqCiOsKBQWh1Nv4IdaGUzxJx2lmRdzyZ4t6iNWsl2bITwZNAHb9IgLTYcGVLR18TXHOS
Ws2CPEnCxMFPhSkDsvDIlf05JShBP5AvGpBw6D6gKYRq10k0oWPfzcLsYRP6LICwoVq6D82cvRJf
NNOd5/7y0LzQ613oDONzoa957ggCAjdalvCglwN6waVWxj4kve4VpvIRTIGTCc5cuAecp7fSvWC4
fl03jDCC6qFAhBoG2i4WpA7kaWbvSSJhjSeSeDpxRcUBQ4anFXLW08aa5j51lDzVVniuISNacBI8
h9v/2PHWYl+9QGkRMEfVH2r2GtRKwyPxrGrG+ouTIK7XKCW3ngk/hQ5TyWAtPEtT68Ko6JYDR0fm
10fHlYpPKz8dHz2lL3XSpFDcH/rJXhUMHDfQnLvTPC+6hch7dRQb7aacGn1XAixdY6EFqBzUl2Ua
iuWI1X3R6EzRy143SZCrO+uEg8xwh7aq3pK5XN2YnChMIgmXuq3VL13vGXdUcfGu+j/sncdu7Nia
pV+lUXNe0JtBT4JkMIxC/shNCOnoaNO7vWmfvr7I232rbgFVQA0K6EHPEshMSIqg+ff61/rW4srd
5EqblbdZYryiddqmvA/TyxKJhkn1SpicpEwTOUN34g+EkTkd7B5JgjPHGdaiOLq+3oUIDTlFdeBU
q8kbf6UkBSHqbXm5o8AboIpDY45SXPCT/5pZDVrT7AEhzl/kTPurwcs/uG5eq4A7Mrv0Cx0GWhqT
XRNAPoTX4CJ/CVY+u8F+lLkrQIdv99PmgxXczIj94muT6TiDegrf94uibLr7sXVcM16rN19G33kn
IQkI7CB4G+EVSIK+T3hxR1xScD9lxi/TSeknHM8rmZMl2F4VzNZ0W37nqvQxdjiIj/lCLYV7xF5x
NJSfg6HgC/YQfWChxnhZqUe48pdcyJJ7kY3M9Rnmx/mtdczXzuxiUSK8tc10zOr+vu6GvdbKV4x9
CSuFLHLxoUfQOf29aHrQZneLorWed7+8gokxAXZXbLvr9HMW2poGaYXG9ULxYeb4jTYdEvM2ntXi
+j+1HwznqmtkpBPSfulSjkFwsJeod6QFGQELVxhUwcp7lYCSSmxXqgcQZV1UU4wGn8RLt32ZZ1QC
6iodWfi1WYxjS3y4dp9BW2uGwQi7jDTBDh8HcB2mhg70EUuflYd2l8OhcLrVC11CZvdNajMQ5YW8
NHPpJbjdbJjIJWDrbsnGl7Rz7ezoKrt7SB0L7CJ2G17+62Tlh1LiYS7nJsF2hVnSrARcqX7zM/xf
ecqSMaXx8eRB8yz4Jgjt7EZZ1ifaTrjf6gzoNHe1vCsD33u3V/DXAfzCG3ySC2YyTzofjZ61HiXq
W/4VBD4lsr02XneGaTyNSukR9hJD7Megm3DE8X4Fxqwq2KiA49uixKtSjk4Mmxx01AZaBVepx1u0
XBOM8NtZWUI8YPfOQgXI56IpbDul/XsAp+vNZ4fx4mVsyvWo7JlGxxLHQZu51o0Fae5JY9//bvPb
37JHo7u9SK0I74sX+1K6D+22gpaRS/vAr5Ie2WkivqZTBI+Lp1QxvJSrAQYlgIHt1CPl4fwC2++R
SuukMrxjlzpVFICwuedlTF0WRsCoWGCjZdC98KpcWR1t89XkevNCIrO9cWblcuuBG6P6gJ+HAwK/
k+xGVC3q5EHY/gL2Nd/kXZ8EQFCrAKOGVtXUEnsaGpHfn0hID5HmlL/A+LyyXkyTIBUutySnzmKI
JVZ1EqhbexKVmcdD46zPgMzbz9oMnJfcBsHStiUeTp1JuTIyiayzpnskOfeX1wTZXptb8xC4qRH2
/Uy7yVAzW60+zoCgFA9BYcDJ80dQikM/nokDFY+A4AG4p6ehUa/zlCPNPmy9fM/Ec99ucwzgqbyU
8JRmzIqMcIZ3SJ35mIo0u1NpQG/ePD3n2AHgtcmRezTIbgBnPmtKzeGm9xctnTkApX4eGk5KMirP
//Qzh4aGsgksQeS8+uVpAPfD+uuv2ZBaGj7cDpjOTS4Y2Kv8NzQ0GuEL980YvZdi0h1MyGo/Fc49
1EF5cif7pih/Kr7LaK1ywuVS3esFb+IUgy9gYw30qNheHc18bRwAoEYhCrbvYLRMemnFFDxWPm5m
XZwpJ6P5wZofXEd/bSZ1ryxK1JUcOR2AcRZGYyaoFr/WyX5vr+cWk0OK8MqTYfaYzFYtdN25vEwu
cGv6GDkwBfaCnOdxobjByZceLfKlz1AM4n3falBharY4+0EzX0S+EDTIbfOoFGScewCjHQqrLf9A
2u8jK0vT40ANcQwq1IfovTZ0vzptf+Ql6+RYjoJ5z00vL2U1jrdlDsV+nOoCD2nfltwZ9bUWjpya
GLxRRm0F47nqBf5UN7uGG4LJiGuVb5yjKFm7WTfVmnwmcvieYMnPYdW1elRzfUd4orMvqXo+bSs7
gbaX8kZNV5Qwrohx187DAV97Ou67UnfysyuXnb0dHKvb3jR9K+NemxJ3Nf4UFJIOY494SFXSrjPc
dw7F1x7O5VO0FU2ksI2Pf+kI/xPayn9VZvZPAsv/G4qKcU0q/ueSys2nmnKyfX8gOar1+P2//+Wv
/+HvkopJAQ7lYwgnPN+vS2bElr/vmNkjX1EstHd47LuuwfR/SCoOe2TfcI2ATAX5rn+vqDg0mnm2
i1EbmYblsx78d1bMRNH/aR/p6fjxyIqg+bB89fhJ/0GeKxdvbRAiqCWGuv9DSi14b2o736JWjEll
aeJP2VD0uBvF4r+nW1WOsb+Oy0XvZQ/IN6jsF6JQJbUmhjawNCwwLMcr12NSbFRbcXbz7CV0qAvR
Y6M1jSshvaqaKA369j01XAetwMfOcgqWkd7OYZxMckReiX+/dNIVWOoKOZOob2qeaXp3Z17XWfnM
p8ZkOpB2gNDdcj6tHRvn6QbFjIcGsxcI7hnLaegDOYDz5NBqEbd9buxLWmLmnbOksHHTuireLGp6
OXy7E8EBasUH7NYwuakzmzTrs+K2XmBIuTbYgNYe9APgNe2UGkhIjpyZEoO0+ZFEa04lfu8onfrr
m3IbmDVKnkz6ZlJDUFON9lmXYEN4MfFGRqTQg4sy6/XWMdcVtaOw15d1XeDiL2OXHYOA8YUGRd94
XxtnGkK3s6dg3+MGehsy0WW0kjbd51JK5hBVaqbYlZbOVEzgqbrOwdpgsJRS3vcwYwILN5XZsO2w
YF08qnx5o/SVDeK4GcafzBH5i7D5MXFFdKkMG4n3nplbMAVV+qxdjIyd2qlYB/ELU93AUrWet1eK
t1m6NQRl6dj0JZ7kXBh051ZKiheMhgu2oroN+oTWGZ1BtnBxenbA0dUpl9TOhtQ92HrcVMCxOLEa
zPnp1oBRXhs14t0ujO9xDKyT1Wm1j543CKJ/UzneyqrLzKQ3+XP4ei1Io/acLs6+26bxtNbm2IU8
IXltlpwQ7dAwsVJFSnqOiJpBdVSGt6PxFii/R4KmTuCK28Eb3GqrRwh7rHVAs30bRLopxxv2NtdK
orbhd5io0gRu5nrrl4U3880eipZrxm+XL7sjIrIzbKUNMQYD2lvUaC8pxqCUS4mqk80KzbFpbgad
QuYoI9LwYNNd8woKTIcJWTnl95w2jPd0Sri/6rpwr4xcHuN8VaIo42lu1G72jeBNTSUHH1tUHO5X
yIwMdUtV4wEO2GvRxT1qeDvB/x8mnF0/BAdm0pnzWLvRbFHbc7fo5FN3bUChUNQs3Zpk/UxvnJGa
9Ci4ODdfsJwReilYWg6JGOA/7wplbS/dULD2BbfX56FaJYtsbRg4LXA4B/yrlfZYIREZpCRGKjJu
ZAFuICzFPGhs3gL1sYy99Zr6w4DkiQiZhV2HQfdi+XTJ7wzmFdC7W1lchVePAhAhWohvlm/WxV5W
he2Htbk4KgElmRd366yN+mH2qBoNJdUL2Ie1zJShPaS9TxdosF3d8CDloqGn6SbRfGrjaIMKlibs
TbktJ9a86TPJUu5kne1OFuVdPnFw8FvjlGONcA5IWYgvS6eXxkfeWDZpCEzD0LUrA0xJP2zyDYuO
A6WxnacF2IZFb7a5Fgi9rm+shU/qpSgHdmCSL+guLzMnfRAsG8m6pJqkS1sNwXwzAig0knpqUAmI
EuU/IGDxSGZlMFF7QS8L321ewkeeKPB6QRoI/Dgou+I3uRxP7WcXBgae3tZiR6xN9geLPvHN8cL6
HiBSVHFGcRmT8zhhVJtY17w0yrSjFiYjqpBraE7im3b5arQIhQR84AWzr3fFq1ebsgejrudYkDpH
vUKOqdZotDlhIahQlBSzUoZX6Tio6TQ7mCjsVmq6nEnWmuCDBamxlv32xfxDA9KAUTgLF3cmaQMx
dDMRTHPreXNtIcNRN4BTwtPnENUW01AmZqWnJwWcG7x6tcrX3q5wveIHvZYy9tLbqbRlEZsatKGH
Ummc7DDs+X6ULuloQJh023w/UnwegaAyiqOma95PR6DJDXMOOzhCJ57ix9TNOEs4M7YAwP6c1ric
Sk5jvt1zFgo4JeJF6a7BNQzy1wCUO6vD0Nj+W84LwEg0yzS+BlzSV4JD4eoR5ld6lLC/q+2Q5eUQ
HCfCOr8lxwKKbqnjeSaemaJb+r481L7/rnltijJCxW5CEbd72tJh/gLVKc7jNQ68KyT1N3gQpnBs
l/Z5oB/yMhM1+xl7GukTVKwVAHhGKU3Kj/jdFU73s1wDi7uKQAEvk7lit4HBhTfZXBU1jstKLB88
vtnye1yib46yjflZKwwqIHxXvfo9yiYL8WW8J0o/zHG5pfNrmWstGwuC8NcMdklNES4VyR5hrY7b
mvZauOrZ2uITc91thxN8GSlSIWIQGSwIG8J1U2IPlfPUjtUiMLiWbYoKjicLC6jmwkvX9eB96sjQ
xza2/M+SKJi/a7sCni+rwhaHQeqjzU3dAhKZx9H2w98zDWcEiCBI1gL7xk3aANukdyCb0YiaYbnL
qEmn2qg0MB8gyRFh0QeathBoUr0PKbIpEXi1LMvDbE5X9+9r4/8/Ff8LBaz/1VTMorHMm8//tf+U
7b+fjf/63/7PbPw3CJMADMj2GyR6adv9v7Ox5vwNbd7kSQaukMGU1eI/hmMDjqFPkjRwLWAz14re
f6wbg7/Z2Nuuq0iYKlwsnvffGY4N7y+Iz78t4WGDYQIFacMkbhHeZlL+53VjVYISHnsTGRz/N9cv
RHqrDqw/SvOuLhFJ+GdjL+82gcsDvDTfiVvvKUM7aNjX8eAQ1N31qxFnqYoDj4zIrGUjSxgEaKOj
W2xLUfBFVcaDSS0GQbT80FVbfcX7E5pIQY8rWbRhY/8aBnXCHt3BdM7y+Aq3P4yS7Xkri6dM2xK6
C6YuQju4owiGyqPAZYcpmTzAinX0EsSgGuY7f7LHkB4ibWdoecVUP6hHknYi6la8P+v6CpMmIvQQ
qt7b11k6710aYl9RX5vQ8JobiIRs1aDRRajJ5ltNaCTpNnoczd7Oo01aCxvNng2YLn/ViAh3szKt
Y4Ule+e59U+NtTxOiTPf6y43r6PlH6a/0j9PXzjF5mDm6eoC1c4PvQO1Z58b/P8PvPCMY53hdmgC
Of3KPexvu5HKtBPxMJ3SWsdxHm1RayGp8AciDdHauR8BNvJvEuNEsVnD1DN9CJ3+sC7NJCIMEemN
j5hr8FPt7QJG1rqw4m7aeBYkjAWiyk+fGU6cZdZYxo7y/CvztBbvrS+ZuKzFlPeiNL1XKtktyhLz
bb1v+6q+tbgrWIrWHecD4VlHSTqvv2feaC754P0EiLf2LuUjnGJTzSthtMBLlpUMO2lcFWR54gqm
Fiu8xtDDUU5o/1Yzu6E1FsYVf14HbybD0PIlpUjZkvUUNNUWKjsygWk897rQb6fBe2hczQbIYOQM
I1VVKkqqML8psWh8dn15A4acPhf8QopjFP2Bi1m5d1PAt5GVrIsEcsVdimcdGEXNDtpqllsKFyyS
RfV62oT34s3Y8094lZqkNWyGarZq/pau6MvmR11RXsCsEUJQzl/z1CTH19IFV1hXodlJetK0lC55
R5+yprt1cKlN3kx8xtTFiYdOZ8KgY/Q2ne0bu9SRoK5NPBNz6Prm9cVFbPQq+fm5GU0/IsBLyZKI
R/j5lOgsjBUaTgCDimmkLXp/ofOyiZ2c/uKRr6P4OKnqKfTLlDYR+ezRegLFrkoW3WRbPC23Czsx
5R6V9Ti1T0i9CeWf6Fm/WSXGy7ryeepvulPIRwD9d+mU7hY68HgcEWsg561zUqWeYkcTNs1dbNLa
Cub+ytmnMGPV1FMcbP4BCSk9sD4OacLkW9WCs593kAqqaj9VC+r6EvquZyZTSRMHkWojnF3rCIBH
nibqQO+Z0zjnUZBDp43wYijR3RO3zY1R3K/CZAP5gVX8V8bZgnLnZEUj7MfgeGXwI8MdCcjfmX4b
dvQyU2x2xl/FmeTH5qniMRcfr3nyX/PAMt6oaXstqPhrsch5DDlp5v1CCuZ4LmuH55z8SJE3brJi
JZdS5j9tVd1jUZSs7TzKSvT+revnb42KFwxrlXc0SWcvSx2NS3Xb9JITdp4wHW4HZRlfK/sucSFo
bEVzjuV0LZq0emjByRGcb9k5MqmHM2dKT79SvUmz3ypK/NqizcVR4piy4HanWlRMZXaWdbZifKgK
zq2CQW7nacFe9LQ4ZGWk6aDcZfVEQ/QfLCVfDQ6qkHrg8qGmamabyrhL6VdqXJtkkDdqj/aaym9r
Gx51UAiPA5RWEwu+dltkU2vFKfhNMo56MF1QLejFRaU7zN1fE9ZYcZbpjBfkHNSPWrZvGlua0OSo
EmsNPoemKAjQ0Wr5WQ4yuNgW+53UVKGnzC0Ghn8t2HM5Ijn2BUTGU4ZZBEXFpynPB6VQFctxDvCo
VJN+M+RFfsqsDj1UEFC1zYImHDTsXVYFcUFcTXb1M2v6+6qfIkZGmBMbC4ee5sS7tFE8+7Nf3sqd
0erqleL0vV1+5i12lkw8eRz9rhuvP37uHoSbnhrZHqa8TAzqwkJOD8sZ+Av1ODQ34dy7+OX4u15y
4NGS1o+yLR8Gw/jda0MVrmLk5WPkh3oxtHD2TJzwZRwQf8QuXeKl3Owu9pkg41SgBLHgtXfB2lB3
YtGRaY3mHGa4ZOlD7X6nhL72GDZPix4UCKqVnzht8x0MmBHLQd976AaoQ2FX02HEPgbLan271vld
38PALwbWSFPDYdtbmZ+7CJvvrrFfjOVl296lY7E25rjGpz00FKJw0UmvfQ2m+aYaeKsRJ4vVuBC5
fs+1JuEQi+Zrbq+eXyaF9u4O8jD28wUN7FlomFGaAZWYq4RYEiQNx0tGvXkYqonN50JPiMvtYBI+
9KZ7oTAkiPGcd/Ah8qL58jz0mNyXF3PTj6McjnNjM+dWl6C3f+HxfEtt7TQhgZRcxG3W7oSC0EFR
7EgTEEV7+kc6ZLcuDfY2+cLau2weFMhVO5ma9YyV2th5g3brBc2fbXrifJXtjSlFmupyVn+r/ePC
BrcKJ0nNz2s+zS80Y6ezRUB6eUJkfFvlT+1Vh6kWFxcsezA0PInpJmipvOR05O5MP78nrLajauI+
MG07ZM3G+mjVuc2pYPSk2vt+dsms82wBAKqr30DgjqJzYhO1vqAJmKD1xkdOFJXji++HFl/7jsJn
C449ucuUDX6taUdflzTX4e8hCVcYHO8LVpnyNVvE2Vpf1zlL/FrslwUTi2ngbgZpftKvALVcTI9T
HxwmOEZTNjUYw5p4TINvblrSiha5T0lk2EvXo9NbepjP2rfbdUdQ+ns+sJBLI1yr7Niye/A3PyHU
Fhd02+vus6MNn0OmJ1ahRdgbb4UODCRTw23KakZv1KOJ+95DgaFn9wg6IcQTcK0li4yeE2irG+BR
ymsjFsHcqn4v5R/y77f0Hr+ZBj3I/XqwS5BL3QbICMJF1bSRXiWzKo7Cw4Rc4QwnuzMEyYCX/qnX
Se2V7JScjEeVTeMUWwkdIL5uiIeRFXs7W1pUzzigQHy4VXtA2vDOlD+gxXjBelL1N1/lsTT5TJA9
iSZcuLV2iyyolbRPAHfIfUy4EHpOd83sPbhTPYSsUIvYGp1L52HxIu4fy8x8FF1KFZ35l+VgN6np
XuMsti1G5GTzEcyWvguu4cFZJsbiRMgHO4QsTHymE7WKXsDcrzuW5f0Y2fYyHTZpvwXB1DwjqDSx
5cjgHGhcfu6kg55YNOeZorc3o30OtuUWtN5T2y6RM5n7UVP4bPuza5o3npp3dB4wcdoBZAL2VDi8
XYFoN5iPsIYOi5l/zLp/T8HfnlI6c2a3s+mJiU9h5LOvbHlTz/6zbVE1sOnq+/pA39c2ZiivnZLK
wYM1qF99Yx5Z22D96/R92cF+0HlrB4D+B59WehdX3qT23vp67fBEzK/2Te6wsqewq8W10OeHacyy
WPdyI14dEr5XxIdTUOYcYOsfvjAz5Qmj+rXhjmA+2ugLqf53Y/U/TDqyT44H0zAweQRglxRm8Qof
IM4D9wiUkO+NisyC58K0NeiDjsmbA5f5zqJCRjmoEVN1a7U1/po19BqQbDVhCmveUzW0WyhNsNJb
W9ym+UfTMpCw9y+RsCiwcmT/LieKpSowNyYqYkdfpajIQxecebLdLLa4hJ/hgOjpNqoMen3YX82H
ipbOHc+Yz961kmJZYz/nC3G0Z4/63CbvkNvyhPPnYbHGiHgcF89MlKYzk6ZhHQwQKcwKO4ZB48aY
6tMET8AObtCj138Utb+S1m68/WY/Wn6NJNSTXsBLv089av4EDU65YxA2JxHteTcc8PYpcZ2cliZa
KMuXflJRvnqHfAmodEeD1KqvgGC/bXxKz75fbY8ABOWU7pK4WU/5bnEasZS25qdDe9fYWM9gErJ9
vXm8tTFv4eluGCxB37RNb31kqZG++6LnRUojRH/til2TjSjtLicbz4Z4eBoWL33J2hTvWG6K9SKX
jm7jnJQzNtX2qEa6o2rkDoxyzFfklEAaNe7ZsssvzbHeZp7PeJYI/Qj24rvGnWIp8ntztb7qxcuj
Je+fjMXbtzjhTwA2Xk0KG2fHHl4Lvfymx3BXpOWNptF+Y8wJ7pwHSln12OxyUlT6t+y1E7EeK6TI
ZsduhBbr4ZsGiXDlEgoW/8Iu7JZYVSyrEv6mbMH/6G3Cmz8mnX0jeJXeFzTxxqahlRd2UgC0giE4
rNIxmU5hMObxBEkkQNgDp3rLSVfbT01gHce5dJ4qZcp94DfZm6LK+CMFkUKFHdlflsLyxq0Y61Wn
bR+aoN1sJlUZI+H6l2nTgkNAm1nLHqGbSDnTcLFX1abdWKQ4IEkhQxs7zQP2FBGvsn+mLuvAJhTN
fFsW1kg1LcxtfGjAOXdN26OMCTmKnn33wJbAGNO5jWVuQhLGfqDPfdKU2tgGtGsuI1qmKoXzUuv0
cIe+M4kB/+SqXeBC5QlXGiazZpt2cLyZOzZG8HtwgNd1Co/cMBvT/DbIrZnDt6bI9o2EtiS0QAqt
MuPkm8MmQlUJEEls8HLWxK1tkB5xsLBqExVsMXUr/DP9g9or5Oar+lmaHEXtSnMPm+UD7llFSpFd
tUm8pWnQkOM3hL2uUVbZUMVLho0ZMxjpxkIdKGvs7Fuv7ypztxRASTapZf6OxkZBOa83nIOxCp5b
VOdHablaw0gGeg3/Gq7WHUFw7DjN0nq3qZJamNPByDfIvzzgywFQNmTNZRQbf/zol90DEhIkhHiW
2lzc+YjcLr5ruW3PeISvvSsLXXMC1TAD2mDkx7rnuBbZWrq+9A29pnu6H16yARssY6cAXMMmRp4F
EUhcq0AYoHWRTNGM3z6vZf2ovBaY2671CI4DNCAy31v4I3uju2iT1QjKQn0+qGOKcaG6KeZFX5h2
jY1S9GKjLHPXe2yibqtV9VfPmUcHXDEClPnDAS7z/uRNwOOHxA3mdid1l7c63+YbpVj964Zbj8xg
C77Fgf47k5SK8djbIwAXngTGmVVlwJOJPSZrIAUsM3GUj1FstiuEip6nCc8z+skuBbtrCHrKHJ1o
Wgj3ocO7PiNBcDUyFKQc69DdcFm5JPTFLii1bQinsnS+AFrZImxUoMZTujROs9fRg4+Dg68itHro
I0ktUma9VWHCoVZL9+46KgK7yA1A0biysv5ALRm/rpHZh9VY5J9WMaFUAeXQaugof25WeaIQvn3v
DKPJdwvk/u046ys+9DFIWaggRZsx3d+NShpz6x8zYIinqUgFkCd68CK/31xcv4vAg5WTN2nWCmtg
n+VveVXI87RU68Modfqb9dlbdxmPgWnnbpiXvJJGOwWD4OhMZfDUKSoX6JtqLyb0iodr2pazWzMb
VBJBICKK6QSvai6ch77BDsWxuyhxeEBbVqzBJC7Dei3WE4lNcCl6MZPGZS0b3HN+cuhtLahigkdP
w5YHPZduLDCni6f7r+yG1Q8hLK71OaXuL7ey5omkgXXX5IO27xHaz7UtOC8YIPdxF0vMPjBRqUM6
EuLkSbcMOlUGWP3Mp5LH5Ruhje5UGK14StlDMR7SS4WUBXbqSP5L3da5eeUurLy9a8xwQYTFT3yC
RsqSqeZsXEhp/C69iqZTNRn1C0x7B5lRAAYruqy9xeA7/DFEc8d1RKOq6oofrfANLtR5m9qEel1e
MXzO7t7181uddY8iRztz0i1ENz4WfU0gwpLCfrda2p52FQQ9/0aRfHxl/8Y0I7xrQ7KFuWasDY5v
m22qjssLPD6++2VD81PU9KG5Elw2Z306GAFp27Il4prZd5Zb8rgiUpx0VD54LOXHaj8uUh6Q4ayj
swjnfjB8di+b1R6t7SMbHmdC9pB5LP0G5XP1vOXJY0N06rkLTxYR4n3uqdbBLdEyPmtG/seANAkF
x0jXE/XPNFoJ336aLVoF4alKSFO5fF5Ym/AOpAKVJjVnubC3tTm2do+gLtdbw+lhMYF+PTvgrA58
3urB4gnD2DE08bw8WyUKgYnEcKgCbFO2ajVoP47cuezJON50OkhIy0B/8YdpX1lFGvZWzdVN5jWc
nBRFVd2Oc3bRK16nDtHfVa8ifSjfekh+A26JuaX6KTgvtfhuAPfLCqoMow2JkWMdrAdKBxgqQJaB
d8fVto03My14NHUXuDhZC3JxsiWkeIYdECCgi93O6ckeVofDTwlZELzOayGsrN7r7ey+lNidqFKO
J/M+7VX+RuoOWlc/fBEhyC40hVk/M4MDNndbn859h7m4atf1T2Vb1TsrePuUrloEv2TA5ZeWmD3S
1WPrn/ldQLsnLS7MhGWzJFyfdXacWLK9VV5TfFsEx+/A+1i/bTIo1BV7Wk5Gwa5+6a5lvLv0Fdxa
EuJWOBdS+xRD740AIZdjlpXjM5voptj5WjDdrabYHmZKaZHdiX1/FYNdnkygUHv+o2R0ZorqF9v9
hn7k3WRMSEY8m+X0OSgbeWJW/Z0F/ODg946e4BrzOHN5W9KAuNOs5oGUNddJeoZOTu2rykwqAZbs
bR1qI5mvTvmAsF9YE9vnFRhBgHJDNxBih9U/OOrEyiUP0/7q9uVFDtAsuN6SC9V2pEgu00xTGcwm
H++eOCNrFXgshBvbFd1Hk0Dj3cbAfZm3JV4a69CRjP5WHvkbu5W4g/MyTsdRHdrUtaMSg0e0aN6N
F6DY0wf+VGvEg1olp4NceQcZJHbJyMaeY5MhatNfrmnTqGm7xQ1QZXKonYJZR6/PvSfb9yUf/hTT
EhVkw4XZU3BtN81pRIoPTVANEf7W06RqyqUpiE9769NbR4Ql0Ep7l6LwsR8T4Tf4H32qj5HUfxku
Fz6dZ94dXdUoLVo9ECqhFG9UjHQ+FAIE3uHO7UiNzeJKdaHEm+dq+kVZ/JllRDQ7akv0ViOGjoLZ
kqKxay5j7LyEatgOqdFiiTx9F87M4QJYNKbpmvbZ6QFrKj21DZ/LhFswHv3pdcHAzX3s3CLaFC+M
n2XSOhMgSOxNaU4qaxESd46/PvoWJYUFvYtV1u4nMHUxRLj10FqTcyTEZxxJl3Mrk8J/X82qZrQe
ECssod1XzptDtb0ch5NA2o3X6+HGctcHo6SaZMK7Oa6WOKhtsXCzQ4FlWaq8cKlLEZUVFZHSNu+I
vSET5wbJMu4lKNS83prIRajz59/+NjsIHlCitgUjOwRAUJAmtfWl8VhlKiZNUMemmJZYgxjNNuYD
YNWKytYxMY3q1S6vNcZBv09nk12a7cz3GlHrXcUcFioNfxLdItyBxnKUizrAsyQpTv3TwzxzxZTV
cstKQfGscwtqicfqhg6U7ilI9UsQSOM4avWzNNYrve17WbxT3/Vnn0qEoitegr+kvlk9McHDtwYy
9NAZ3vKNhQUzajbcysnXPgq8bHeuXlZoFAMUAN5VsVNV1Rn2Y8HwwR8zwwx+cAGiq9GD/cidlrFd
jEAQ4SuQpWCvI27rIftlI+LrwIfQ700m+/FIvDLcZPnAihBvgHfIsqKCSgDPmzE+dK0ayzpeZm28
axwVd0uBHWjzHlZoAtawNg8FmcjPdpn8RycwK5B5POmYlvTqHCjBWLGY9vPCSSCsqknG8zUK6LbN
3sJhHddsWRLs5+pm9qyTiYgXTvp8K1M5vmBIy+7wrOwdbL2PsLuR3JRPhXW3EMif1o2Ml//Z96wV
Iaqs5mWeDVQdOaVHvbURxMhGVvrHuvXGocGH7ucBBt9xTmZLGPt2tJ5x8mvRIpbhNDa1+lqK1WMY
xVjojM2jhYdNb65pGvcRdMSXaYmk4pHoIwLyjZ4sNYEOeKJJ4qgEsSA1m0TBtLMooeI3zOdB+9Gt
VMg303nWasUgTowKelUZyw05kS4FpHUe7EG1lGjk+m+w0VFHyiykjejbsKzHbihxded30IejtciJ
m3Wam3BaolA407P9ZFYvK+LjlAEwHuvgNCLkQcgmMlD/JQtyIyyZKV8W6sJel1qLy56ti59RbDrM
q7k3ss05e0P/XojsDJqEZQEb7i38V/bOa1dvI922r9Lo60OjqlhMG9g3f1w5SVpBN4RWYmYxp6c/
g5J7tyW7Jfi+3WgBlrXEPzBUzW/OMWvAHwdvAmLPcznZCjE+eq330BbmA9vZ/BNvBwCwM9Lm7FPT
TQOxRjGmvXfXp9GF7ZyNcXWOmSu+GUELHPrZuU6TV4U5C2JLiy5Trz3OKxeSDeFTMqjpuWkm53pI
xu41iUawoW0KUn+a+lVJT+qABDmXoN4YC5F0s7bA3RZUhbIM9qfgHma1sc6ZkFvX9uyXTyZynC9i
1dxyXqXLH1qvJ78SjbVl3da0ewBN9a4qsPPvVDl3LGHKvO2Zpsijo7C422E7XCu2Jzu/isWlJAqz
7BqPgZTOxfLixSwx0GOKNxajEXPEFBy9twIjfSCL0XkE9ZIxWfgmqNRsWQdREzweIXmrbdy56ZPd
j8ThQ23PiJttil2NPw8lwUDF/OqA+K8Z5J/6pwyuu7eqfyZM8A/z/o8ufvvH1pTRd6aQ9ce/eUJA
aLl6BcrzD79SN/IvT4iUv0nteVgxfHongCjhFvk9gm7/xg5o9b1hpiYWbq+x8NYQCv7ff+IkIXcO
v4teIs8nyvG3/NKet2IX/u0I8QUIf5BcADD5K10XKO/3jhBludJNm+rguvOEhoZR4zJAIrMvpnqp
y4uhsQSpNG7h+X4MlhibIbmrx1jThcztWwFvDXrL19tlpi59N7JYSnfRgglqUw6gXrhm5zmgSNUU
H+YCmtSG20VtQHDPyb0CoRBs86hA+jSKpd7OzuLwHeg2K0uMxRpTmUA362Ovv+xsExpiIvZin/Q+
JvOjp8087PXUeYqR5oI1cgqi6b5OvKA47Qeeig+wg+r5TM7YWHeDZSL4EACBTpQ05LsHZ4J3Q1Gl
ZLW/NPDg8QhUuzHukQPSqmhorl5gum9EYiJudg5LIRjpTnIZAFAsmYv1ZE8XgkLWZuit7LnwlPdZ
uIMS28l2iIulbG/vF0aYj3XT07IXTUF3Bc2kInQb5PLdEPIjYOo1KLmBNu7pOI0d/tfE5DexkT7V
DbQ2MxeqIiI+i8YTuI9G2YkVnsbjCBWu+kiWqWl4S8mssUuvIq/usuXDmCRYdsrSCQ+sYAxOkIY3
Q50wYtceE3mP0479/REjaPe5TVi1gagsvRs3dJursofdjq1kYT0NtCWoCLKOGfNXUTE/Ttw8/QL8
sbkz6HYE0JLOhQuYj8O88xbPvihtsnVHsQyR3jIVLXHMUdEGnbBEJDo0AizoUdWuBIPOsia9m5qB
uNRCxV5ykgxiaE/nHlLpadvT5okHV2UxJRPULO8SGvbIngRAc3lgQcvh4dZm+Mkby0G94WZfHcmJ
aUhUUbcQ83YS0V1kedB3F4mbWsUhdt1qwsHXCG6/yi7rszZT1mOde1b67DO5a/cYiBlm9VZQpWi/
bi33tQSWBHrbZpVeTDryt2jYi9nnXS27bUHDSE9rZhwoUD02Nuwa+aXa11UzNSdWMZq1vDtlDjxU
QyL9zdLVkfUR4ZkK9EhWLL1mkjHpWZON1kNS8IQ8YJvGiNu4aZQQEqNU6S7p67b/5OSs3HZsJObx
qUhSrEpxPnTJxxxRIL3MyrA9m0ZvKM6TpFPDVTRBar9ukLJGIq8gJXCVY3HnfM3s8LGjLVu/87ot
cwzmxMc+xAnksKGaJVhdo0x166x9LNtIzKDj4nqeEiwjo4PjFUkpOZWpX5FiNnG/MFeba/qvG1DS
1zkcL9ZQ5WRheF8i3OcWOVl5JDnvvHtOSWeBxm4HttXB0rsVWUrSEjk9N9jN3FjuM2csSJbaGO+P
gc2+YAslnNBTFA4YGwCBVcWVQv2qDmEkO/VqUrzfKyC4724QQB2ByWQq44NTizTad+yY0VAEU6Zt
3OaiOzVWhyO9wlwZ7ZVtsuTE1rpma5FTC3Uy4jUzV3C5Y+9k4maBg6QdcwSJjnkVk0urIAVHFIqR
6FKNcLJbp8ZO0oOZ3mWJLAAcAFKSJP70hNBDL4T+oNMemFaVaIZ+7TT79zrIeDl8+/xQ6TEDQ2sc
GKL6Jn3KlEf5xUzVw5xN5ANLmjseYAdw9KK1+Q0rHhogBCJkgd3LAuKqD6w+5P4m+K/E07ndxIRx
+SZ0Hexr6Or5QVtTd62cDhE8WCrvKh4W8Vppx9QnxZxVDfdvtgUbM3oIPar2rjL4WYTcVG8esB83
751YRHjSat28z0we31NFLR5NjCZ1mPm1mos1zs2DL1tfEZNuzWtogI+zn6q4SMtSTC1uLZyuG1w8
MLqqZX4KRgHKGy4YIiDXL+tvohZpvkscAjcbYWOBprRMjHqTJ06TnDa0BPSHpQyn+1HouL6QRZJ9
rEiOZ8cRADRL1iaZzJYHhlXtbNZBj/TLZLZ1EimUXbB8ibSQTMreYFXPoH10NM5Sg5Jysm1jUQyf
Cunbb2QtMoGi2893zPKJ7IWTiIDwM/z5GMeOc+qGyqkPKGNhcKJlG14OSuNR73PWyLOkgGXTyI7a
0y5ktrfDZ8xcyzDiv4DFDRdRUsdaHmLiFohVPQUozDvtjybKm2Q72KrDK6+0VltdFs1FUYWJ2VI1
Pd82ivDTsUuCPth4dZhxL0JC8nZyYl14XodBnG1yvF8faw4PJKwonfiw9MipYQRci0FYgGjB2hdZ
SljF8rGSSUt54OQ+pJR5xAQvGvLfYYJTKrSH+DErpc3NrJmiz4p7Od83oC9CAMD7GZQGNf5O1+7y
jwsS24VLOUJ6sJq0eULiiwCNjJL9WB5mV/Vclw9VV4wPZW4p8n0TA/pQq+KmR0imLsSsBQFT3Yfe
fgix3uxV0hSfJM3t7OllZvOM8Quv3WWhFZ8S3jC1dSSlLCwWzsNqqlZe7XJvqxQGaWycjtxlbor/
pFa296rC0ojDNLrD7QD/8CO+clQ8FkBQ0924SlGO/NG/ZhHQNSeCxgq4HWXN463yF4TVnOYAOjlU
7131E30uhDGT5q5ToXnOeh9fXEyQkwezbePIwjy11kQVDC85rzx0lE4m8kGPZfOSl+tXqRud3KAM
WRkFgQYRZTDJdOfZWjwz60w+AfalraBkIkw/8oRphrn2gjvBDqTBgmLzybbAKsDvZchHIa6+z34i
gueFMctHFRnnXMaTfU/zB94WPeXm1fEUgkLBlCRgMjbZNQ9QZqAHNwAAtskbRz/U3IdrXObR+iW7
Up6Y5uuuxoeKiKmVB8cW02b7knheG29xmATs35h0TGARfVefEAqs533n6pwaXNFNHzDlVgpbC7UC
O0pFhptawbTYcz5Fb47TR/NZPg8xLmPyPAwdBZmAipUUC8EZi9/O6VyMZL3w45d2gFu8iRtL33SM
mzj1I4OBKYBrkR0We4K0LgedQm1YYX77CamHhBsPozNTWRaT57Fa/J0U7JDhG4T6ZJUCbwgyqPGQ
11yyW7E+TrGuOFgVF7ccnxInd8/7VNnjpgksaAbNQgbm2CDWMuRnQjYdEPumEMpMhL3YaaiMI3bI
1tv6ypclyDHe6aDEkzBnWXhTEHhu95SestXEANfihWGlguwrk+jRsiL7vRExTkJB1oyhM6MTroaI
ggsWfuN1ybKAcFbWzZcB7kvs1GxB+WMhoZMNJQN2QenYUuaHtkowq8TFDAO8asbyC10DdXGqe5vK
Fjze/ghj0fc+41LR96lJYduImKYAphSm7HeTbxPHiUtaRQuc3PDj6XPyuZVN8xvFusB94FaE29xN
5jvj5O0LAFI8tzMizaNnWh4fJDMRbfF+e0g1TsE6NXHVVKN+9qnZea1b3FCDlrz4unCeaESZxk3L
mgF9lRss6+xIUBEzhQ4oFk5/rc4Na83bqMBkvBmLGhNUj7ldb3O7dm+jNvae1IxoyOPdjV9FrKnh
qNNh+SRhFXxa2gimUNg4GE5E3Aowr7iAX7PE6/M9iygeQsFgshzfYURtSDr3Njh3iAQ4KFaBP/ah
OfBsg0ezJ1Fa3EU9j7VNJMSgkU5FdjXRJ4a2LuIan7QbI1L5M47ubRhF+qWaHENU3THDY1eTEtzM
qaxexq5h/jMSaoMB2SmDo4EHHDZBqx8ZdNXYxrbzVBUlzT4zdzTCAdaD0V0IU8Bp42emWwPa0xjd
+N2cLbeO2zL/KJcROSIOScztyGNCnNROV97S0Rxi4ElKwD8xrD2BOxi7eEMG0EaycsUZnu4hO4bl
hFRAzyDtir6joluSWY6De8Xk6VaOY/qSVJN4ixWTxg25MzfChRVNF521RgzbbJyA98z2eAkwUeUH
lzHOhxQb+EtSEkLfQDIa792q6R8mmdbPKNy49lOezvfE4lS9FX2XfWhNHi7boORRsbHrgTjhUrIh
slJOnW3PQvVWl4G6mj3bf6IcfoJJCVjNYfbmD09A0xmOTMyIMGdbUYJ/tWbhUtfgehkJ2/FzYNgz
bCxKaW1KoVbK1kDM9kvRJsmzFdspHvSge0S2hjuRWytVvWcUcEFUkx0hv13eFcziP7O9IXKOl7+/
dhrdPgZpmitBiJ9L47EfkqjjMcD2jT6kgoyopYvsUwY19xOGfOsZt6Rdbf02cR4X5dPNygCT036e
/CU9RDruSTBkYIpKljsQ5MHRLuM0PUxDtDx7U5sDevFE+0ZOtR4PnFjFGWLXBK8oH1L6Q7GhgA1t
V7TV2IrhMQeo+llQsudtPVZ+EJfAwfoHXxbDQMAMOC9PMh63+wW18RPxhma8ClLPhVJT5YF/1hP0
b3fzyFJ0tCZs6SKx5Cv7sArB2I50ehsvCQkLZQZnvYEVwyGm19lhxuryG+XoR2w9qQe5muJyxhMY
dOZBOz2r9UqGtAeuA6gXImqyOeo2zq5ZFCt1RTUHnzFYL4EZOevM8kGP7KY2AQNW7IBu13CGqLlV
O8VtG6YWiVRWkW5FRQo2ZQmyoi1cwhnATzZJb7yKkTkLRTxjiwkvMY3DjquzTvt3cl2u8oemWDxN
CsqqRwyhtzCZRl2eL9uRCCVsPIpJ1ANg5+QmqvwZDnTjZF1x8V9F7XeGgPfTeNVVEr01P1AH1p/4
XUXTUAKACwT22jrpqTX2/zt1gP/AeDoISDvReQD86P9UNGn/RmzKZUVEqIo7wtoo+7uKpn9TLCb8
wCeNBQF1jWP9DYwj8M/vVDTPFrbCh7fSEBwiiJ7/A1jey1sGfaDUuAS5SR5nQVCH09OI4HTJxexf
VV602jxwl8eXfeeBZGHF3LSnKRgCPOsVJjL0arf56PVM0DFtj9F4HZiVMo2EUSucbH0t/LOqYygb
bLSiHs3wExljGNlWmL/qQsCQW/eN6Qm94HBtKiYx7qUu21HgazLU7kQJbi8IMu2MXQdJpsGgAbeG
5bvUE/0ZhlgNQCD7Ujux9XmxuII3dT+ysnYcb77UbRB9ztIENDdPePIRJe5r/C+FDuETjhmEJcRw
r1r7hJHKdDYWyzYNgWtv7TENmDO45EVJeXg85bqENcvBHlzDSFQklVkRZS62XybyjwE9a1c61mg9
Hffea0z9wZcYju2jiTr/tQoV1SPt7OAAi5t2gH7U99J9xE85Fg+RrDsHg8+IaZNxYVCc4SEjzY5t
M/R2PU8//1TTvmI+2PTPd7ulWkaFOWshJO5V8Ln3Yojxbaakb++NYbv9wVkFjksHXOcFxBwfpbSz
AEZtyHQsZ0Sm6vYa7pfIT1Xa+xjPmJWdK9fmrgwOcXosQWsDJQv8eAQhNpXhvYnTQR9GPF/FSRvG
MAiYn6b2Hqhj/czgy7AYqH3vJXbLMF4Jk/p+LJzuScCedeASZt2R0tUK/DRWp5c2pE5ol47J2GJU
RDrZCllgtyl91BVqtKPmPHUci74bl3HJoUmJ/G8znbRom7M7eFAPCpupqORlHZ3WpXuxqfv2BOeF
9Qp8gQnUhJ54LsM2vqMrun2XWn/qknWGHLcS01LeESpedwHJBxriy4QPKKsPOcFye4uvioWFy+7l
QZkJFSzTAkO5h8H3rmfjhlc+7SlfSVg7VYyPccLB4MOtvOmmYnqcSjpvoeX15YvqLCDvvt2xT1xc
Z7mtqavitUkJXQIVB3cXlZELYLFANKxUivAlHIvymm2VfE4ETTqHFgo2aTuvJhjorpU0/JqMn1my
ACcTvVDNMUREAvU1Q6XDC1wuX7TlVNd0SvUrZ6KZwKANBjaFaEL0bD8GfrSJeQqZM/LvQPcToUyy
jWCHgX8MR9hFKlnk8phnUfhSjAwFjuwMVXnu+D1Z+LkvqvYDey5N32rIrg/PuMpuZOqoO6p+sgtp
LR2kqSYTr3U9qOUQJS4bhHZI/cfUidzbzu2CR+Oty9WBAW9yyv4Qgyy++eK6zg0CfpGrkB0DxP9q
CygielPtDAHNaWq2rEU+Mjpi1YlpB6DYuEYgpvzTGEfsFG0VL/2nFL38qU/X7wdeO4m/mSpDxJF5
5KY3JQT1cDMRDNvE9kqh0DKqLwM/LT4JVmbUfnrpfM+EwI6vh2JFfDDy6rO7ZiIytLMFW/Bd6C/R
iVZIr0cYMsyCo8ad8r2Tjs287WsD3YOGMyQJLKdULpYJdr9NEBZ0XWQw3dXGCnqAbLqUBUz6IY3F
ISmhygFPWQdjmD0twxYUEBPvd0guW9DnTPykG2QbiYweAuCzQ/cAgWJ4soRnngpdq5WraK1Lxlox
XsAOgosg71GJ+TUCIemym7nO23J8bv2uOa+maIH8FKBvbmiUBKrQMhzC3tBN+NmhswSbCJjGuKdJ
wF0VLjpZdhUXXLmx7QUKFiIRlXqz6wPB9ryqYkbNLPa0wZS9bBblRXdJXVCJOWFKOoDT455c6xXh
Oa/OlyKq2+KSWorSnHfkxHDdzWnU7zVPHxynC0Z6EudFF+zpFS5JnNScFD0Jw5J8bODdtVAEl41D
ERFexY4nHaf1lDwlCVTYbdOWKOYBl9pHrd2OPFxom7OwAIGzzyLfSbeRrsIVWbOQS+CZ0QO+rpVD
LS0T3YiLNKf1IY8M2FqGwcV90hJ52nmdcDCP88u8FZOo7lVCnhduTsbJN8BTizF1s0+MCblFzDAp
+EQUX2IkeYzJG8nU9BWOwQpkETJ9omHRFeWpHhnNjvehW3BBo+408nWkHReq7QpZVHLxcO2zeceH
orL3lKzoFcMg55OykuUp71XzEoPzpWnaGPdVshhk42YgTUxUg814+BrzTjsUPs7FM+e5XJbPCcoQ
iR0YtOsOzEZiAWcP97POk2yb1Ebezd0iH1yHafiGAXoWbEZ++hFfD8RPynmWO3gEy3tmdcOZ9LgN
sKTVHSUVKaXK8eAF1yhlqFGpEJDZBrZMbGjrGGBLFw84HCklG/dYw+H0Llw0ySbsRzKCZTK4H7OI
KR7Y27UALw91Vx/0aklEF2owUw/M2y7jvEZkmSjiRYGrbCCXOX7j28gmysxQw7Xtq7brqmgL+nyE
8EMPXoE1XWdDYn/JAtHhfJ6WjnX3qBjo3SzIbyzxFfEW/yIK5IA0GFkD9ZLcQMPyo5sjTu+A6mrO
gcybwpM+s1ZvHu5cIU9pnMzFbUPuQG493TBJF54blOh5dnXpm9rPz/FCus2G6jL54jGCH18pHY7q
C3aQubXjDkxbOMOPPmHvkpEP4CeJieVzbD9HuZXSjifmAlefxBm9oqSTMNwtUydCpk5zHz+4S0fg
uLXaMv3YzcOagQlTkZ7A4IlW5y13ebmlhI4PJugUZMd4wR3yGVgOkwyU+kCfmN74HsjYIB803Ica
O2NJCZcziLc64za2FjMr0mLMpcZlNwTsRTH3+YX2L4KEkcV7FwC3uWLL7zaHzi785jLJItNcYjNM
A1JaRCy/AvN6CtrA7oj8EI9V72ETIZcMjygy0QWCG2UbIKVgEMfdRB3jlDpFR04g5IUqTPXjCYAR
bQN8mSJbv/ZT1+dntAXP2Y3nkFBAdcW+cyzbuhNnYTUPbNZnzt2TvLYwu+K8Y4DFaUqs0saULO8p
T4abiCbGIpgT2Zk++QPx7w1AVwZrm1TVtYfsL+XjFFqTOhZgBt8FIqpLWADJgLsE7t9NEaKEMZnl
ZKYFgLLGg18PXndS5vjYT/nMGUjOYlgH0U1ad9cpN578PE5V/2axgL70p9D77BGE9Q7SnzMA0U3b
qiM+/wBgd4mUvV08Wnu3xqGWekd/a+LzoQ3mCuqWhSGoXxlOaPVRdGHxxuhVs2zidz6LbOgvlVc/
c09I+oMztD6nOmAZvY3scfCvO28t75B+bmNlWwv8WK0RV+H5rup+D+BGvJO3y1i7Bwn5Bfwftb13
e4Xd1ZQxcVUXnxbpyBn70pEFArArDMBcb2HgcNereG5+0kHCXJZLtf6INJTEOGG8DtzhONKdWIRy
cveVl6QYfeb4vVSQe2j8Xo2DwaTn864KCwpLWFJ3O1N6EMNM0/a4AWuXYh0EJtc/k3HER9x4In6w
ZOWRV3QjCiw7u6FnunR6gqRDnYn4xu6bqD8tHSRslrdzb85peMFwOsfhzMx+tNLyJBhN5RH2SfFo
DT2jMLi1yGUbQ4m2OscgANwsshsrhiTqDfiUjCSDRqy5J8gZuxnYUMNefpvxl+Hm7Wu8+J0mA8Go
nkKYLWj32duN6eqNFm0wvgw0l7CKpnHmDZsncWFCwXX6XOWVnpsdA1g2F3NLnGi3uOBhMCYZbyBj
bEedS8WtGboe0XJxvEoOB7YdAQhQmFuwTolt2PB259nu1Lao2yH45PIQDQ9ZZifiLgZS4dyiDDHr
2VYDiB4iJmVqg4KeKDRhgdBUBWa0/yoHvysHit6z/4wrPH8r5+9pheuf/6YbaPnbuvenAEI5rPFp
v/uXbmDb/JcA7gqbB6lWKOH/6QY4bJQt1tK7tThiLYD4P92A/gdPC/droQQPBo+05N8RDiQH+YP7
hm0Hjhfh+I6tkCEo4ftBNwipvWUIKJ8dzh6pHlFGsaRQeA4R9TGY8sq5w/vJRNMa+vQNojPTSxI3
k3UBKiocd5C7Fys4Cs/p52hLv1U3P/3ho7z5ZgT6B7u7GzjYXfu//1ztP/+2B317gb7LZ4H8gslV
/4BTVJFnqjDrX6fYlbhRrFAXW4fq+mELErjyjj8/2oqf+ffRfEkKk8W9jSGKdbe2V7bkH9swiCk3
DVlsNMqIjh7dLvk9ZdLV7d8/CvBA4Qj8Uzaoxe+PEsdzZscKb3s0E3vKaHo6zUtvuPr5UdbX+uN7
QTYJlPJYmaBZfX8UX5gg8nB1o3ICfBuqUVwF4JtPSp4n5xlVWXsRV2+atNgv3t73X9m3DxFKoGOz
Z8V05v/A+Kmhs7YjfsvNPEY8PORM6Li1soOcm/rbPedl+p/ozfzF2fF9h9Dvh9KOT6EVsaCvqtwf
v68Fy4VTL0zzHZmW275bOlZB9ZeRdaywC7n5+Sf6pzcGC0tSkGSjs6H3rTUvfzxaAMFbpkJisZ+j
h07XYu8DvJ1d+fut9D++rfUE+O6rIwnJITTePA8r7I+eOOKfWQO4myW0lCwl06TYlzRT7GumggxP
xvIc/9H8txoj+Swx+wkGKr502BNyYn7/7kINGWcCHrLJxgZH+cJC7p0Wb4b5P/8U/3SNrcdZJzee
1Pxf/NDDNDAvCUguknvQsXl02MQhC1bp88+PIv90anAY6dpf/yd4dz8cxknTWXUKWZ2ZbL+JK8V8
MRj0MYnwajT6ko3gDgjisSXXh6hywulykrnD6SLM5RywSpGNuSKBdPPz1/VX7176QI6p9rF9ut+/
/5SJPJOGXJOW6eKUp9JJZ8QcloA/P8pfnKmA7JxVW5bEEb/e9l++3CE4cIuV/w+hqYBMxWdcjM3o
b4Q0uFqctkXkzBlS9b/4Sv/qs1Za4d5c1+NUbH3/pmDLZRZzHypy0ohaGu1/loN/3vrOGYPH6Bf3
6L8+GObUwCMRzDv8/mAOsxVP12usXRflSQEL4FYmRuODhhy4Z31b/+pU+vPlqLgKpQf1nAoODvr9
EUNnSptRcjkOwVjDp/EfWbaeEcGBnUsyTixHq3tM2JdPTIOWkAWdnWFMGeoaWdJqQYvyaucyvWdP
3/zio//z+aQw7zooUnzdGrvu96+NBB9jC0rzSMj1rN1HpHaFSecbivo/3pD+fD5xFEp7bSYNjgjE
D1+wDJPY50iI/K1w5/MJ7920G8i+jkd8OswDfn76foUkf38D5HiuS+MvRGa+5/X1/OH8tQlk1iUY
3Q2m9rYAwuK6+dYscfauG6PZo8LpX6XHlB6PpqULraZq+wEXgfZ3DQHwy5+/nr/6kG0l1wWXoD9u
NUr/8eV01Hz7RcPbL7IAVXrEXDqdTOR61C/e+K8O9MPKAC9E7FAZF2/YKOQnhmXCXsrmV3eHr/e+
Hz9ens50/ClBCuPHztx8GmtD+TkznRW91OHPaJEvw5hpqS2wCoU2gTS6AJOTTiXjfKq7lBKioM+Q
bH/+yf7ViWUHNiqDdNb71A9ftCGvNzNR4JHqWctu5tZ4IIXa7Qh8/aqz1xaKr+m7t70+EPj6yEhx
TP7l+69RtLbFLiimzZ29Wn1CvTsRS91QMcF9sozErk/84COtR0BFQtPSC6/ghMEB0EDHX2Uo/U+I
OiVeAnuEty95qlDrAHbIGnzzzFK/Ll+ASWPQCpoKVgBs0xhVg6VXVG2zdKnDp65iO3nmEWwCXVom
ytq2o5qyW2uUebHtm3xm+zbRokn1Rt3SnoSJOCyPgm50DR4Lep+1k3RadbvQiOUqRvDF4Zzymphy
0GR0CFRfd/thcjvYds1ko21AJ8TUREQlglHf4eS0IiAVJliiHUP4DsrO2GXZsQ0qSMOIlAaykD3b
hKnpWmh2naDY5NgEflOT/86dz6yN7OIia/IG5YSQGi1XdcF4bqNtYFEuopcXr4phwe6CoFaUqDG8
bFo04Pw2toa5Cc6FiWA9P6UV0SUPhmqcYZ8BjjAgWoEPmCwgyE1DsdjOt6KGFJcJuy+6trubCv/Y
redXXgdWtjDAFRshgm2daIoZM5TQD1mQ1dERC4/wSFOV2WcijMUrEyBkdDvLMKeyT0c/GEZarbLF
C5/oWpUsBHqDp5tmqDw5U3Hl+qcyb/xs709N4tJGYEOX0JAR4jM3tJOnwXJFc76UrKfwyuCFwv3N
krB5xChaowmg8dE4RFGJt0N8ylFF0dcsPuBY12fhGJWW3nghbjJqdUpic0WDayMvWXHtyICl7i71
w/y4zCsTPC07zPy2tKMv9CC12Fw0Wv7GZJaM90GUJ9V5PFTzvXZQsg5hrQvw2xMes6hOmnATAZVh
1085US13TVagq1d2JVfKuIslNI37Cc2gTIqtBcjmOmWCclsEHgRwUtELI9lRR1O7a0ZVrb66sUqm
y9QzVBeTT7AaSl3TwI9aDpyXOWecNzYPUS9JwJcotrcW/QigbG23uWhbRKMdSyPpfSztZaL4q0ib
dlNQMhccKy0XJhQE64byfpqo6KC1qBMfSEG5zd5XpSWPbEpdLzrT2lgljW6Di5HrNOWplZyyuSnd
kwLrZ06NZ59T/5364sazRPo8yrSLL82UMAQuqX9gUGzl/lUs23zkHVkkCjGfYVnhKYC9o42WFcOM
6YSwwdzGb86ch8Umi9sp2MN4wY82TU4rdqlKAV7RE7UEEMAH/FXcH6ggzIaqpLNOdaLHtL7QoOzi
kUG1jfz1r5RajRusb3x0PQb+kAtu0tOOXtspO6FhF5y0av3lIrUAQuOWQ3TbDTpwml3FkPiabZ0J
ENdqeCOpaZho1p7khGjxHl7gt6WjqyuZhpBVzqsMlJMNUyQr8MxsQzwwautOiQ/JL+mWLxKw90M+
Sz3up3jIT5MIq8FuoNU8w61oVU/xOI7BEwLh0j7oMIVDiec0e6lzX3IVLA1FZC60+wCXHO7mM79h
hL1nLEL2t3Fb9tKI5/bnIexyeairhaeOHUy1tWNOkr7ExFCGYzHH9ACwASn3FXDBNSieMfnnU5qC
TYu2SnhV1J67jdFYAD5xQZMJrfoZZ1ragsCBU1RftdLoRwT3lFgLM3LcRz2Tiwit18aNKItHpgRL
gYNPVRTDEbyIjvQStDFDiwFgehZCyttanSm6I1ZuB6Ndmbs4feyMNqSFcl9ozyka8zAD8j8viV7M
HzpXZkpu/aKr9VGpuASqhveAkAmhEOAXIJ0oNRnHKbm20HojmvjKZMnuRwLkfnbC+p/1LEP3vqn4
FhvPpsToDa6t0zwVceVgVpBDI2PYp5QFtIeeZX1/gxNLnVrtYj4DVwUbgFWxTJEGcaKexcZhoOGD
vJz3ZWLwNWwbujQszKN2Qdxjx55kjPSRjJXI6m/LxP/G8f65LpH+swK4eyvMS/OlI5D362Qef9M3
bdCW9Lw6rhewtGQjw0rsX9qgVL9Jtjdc1qCSHR9oyx+0wZXR7AQu+2c0eES7f2uD+I00+y8kRVqB
v0X9/oapaFU2flgwEQFF62Ckyj+KdMy6XP3DMnzwy8GCU4E1bZ7GcBdEMzSgtk/myrwb0RLjaXHh
lYQKiryG+0NEGVOCUk8VzXWMtd0RSgJDZ2yBjrCZKkAthA/RBSW3/KCg5zwsGIgeA1d4NxrD5Be3
7ylezSxL7G3GkfQHhUQjyLHlbL+aUEh7g3lRnDoOlerbxMe3D5GQ7AYFnRCKdpE7Jhc6SrlwhqAf
eJ7Pk3qwdInBhSRdTukVM6m9scmRbd2QVcjWHqbFOsyYRGLIVgOlJz3Mh2UbuYv7EschpV4OloVz
k7mZxaLN5K9h42WE+43BSyWoWaMxxM1jIi1ec0Z1NyYFXLMAYhqf5NUe1I6AMdPUgEHspHxxwM32
J4PjJ0hkDJsl4wLSCy0QDwuvZtKvty6rZJK3zO5uaqU6ik5BgJzmivEdcUNciE43frAy2iY2XReQ
iadbsn6oSU5Ue6BEtdjIlp3cRnbAkkgfyXHeBrUzz0fDjjnfqg4z9KYmHPE4lgqftM5STDfUquWf
fb2mywcFQWrjMTl8506xXOO3WtNDmY7uptxa9AkBkOrdg+qAgSNLhumUm7tVnlj0wCyHAGUT2iMz
tW6jeVhPkIYbh3741sr5RHApfRBTSRkHHYeCJETmfE68ASsoHW3+vTPE7XBUwJTvTdi2LxmFE7R7
epM4X0h+vNlNNPx/9s5kOW4ly7b/knOkORz9oCaBaEiKjdhIojiBSSKFHnAHHO3X1wLvfc8k6pZU
OS+ztJxIVxGBxt3POXuv/XF08DDxZCRQX7Cxy9usdd3nYBi1TcReCgVyjjbKX+eNNqHCCjfygdka
zUI5cPBhYaXgu81givRIxhtQVecABvEJxWU+5eaqxKbFfJlyJNrXLdo3PCGhODLRVw68Hs96wia3
XAu0TGtyslWTNWd+p9KFCbfBSuekkU+6KB5zc4XKNme0NaxECrsV/hJmkOkIQpk4UDLrUT734W3S
Bxrel1s2nbjU9WyaEtVR7SXXSLQ1AXeCtgcuDI1ztUGR7hwrJufTOU5JBE07lWBte1qky++MiOzK
D23Jw/huLYA3XoosT9bzpIuwoChJaB7fWEPijgBbBjTAStleqNCCQFaMvhPGZOBgdPGTitG81Sye
fHQa103vV9T+HkzygYjAvoNNsR+SrBIfxqrywRs0MkueKkl268dB+3K6hsTjq3eM1gvvsWnziI1z
whshd2rQCrdICifiDljMmB3niBXoThBKgqpsItj1JOZ5mq4VE+XxHYAZTO3zprXhglHTsBIM4eRA
JFsmcU9xMPJYF0VBUgISZCz5U87H2AGVzy4xjve5Ysi9Qa213VME5f5X6JEE/2DobfzPHKIzXLzF
VH2cLEQDsRV1nNfSzdW5dvUSXi5+z5mNCaeI66myzbnd9ObFhQ4XXgHjAC6Y1pTaqBxgYt5EFk1J
sO3KNccuAXr+Zcnc9Z6QNyoX1t0C/l8VqfzK1qgXD/6o6/5ONP6GtmpD9xZAflgeMxCst/6M1pL7
nrEoeRIhIz/HI38k8afpO3AAc5TJyNsMdwtDSu5wSzlDT8j+E1LkEHa1RX3v0XG9IzxDchDEAHI2
LYIwh7gb05GGtiHW9YiewLvFF91/W/NweHRJ0sNoU3CCnbx5+orGZhuHmwkW+84Azp4/Y2vqzY7a
oC7OnNKXPUQO5Nu7wc/5JoiXA+tA2GrV30YwtRRQRsgZKJcaw+h0yblY1iBIkoaRCHLBRXV/wzPQ
06QdXMbXJYXMVSYxhu4tP4PjiEYtaPZQ7dobE3oR005ULtHynQNdDR4Yox5WjzSZQwgfVY3Wrs1D
dRpHUV0Q70LoFtfTTa7LxpSQcbCIHmZfsugCM/HfV6WPVqKpZvCwOrKQ/KVZnuOaGJ3PdCkkf+bb
6jMsHd87kKmkmFj7Va/vcF6oS2/1DYkGdu1D70NbtxnS1ywCqVM2H22Nie8Alm7zN9BRwW9UBPcY
QLt+j+rfXq5slZbXuaqT7y26fIZsYbpixTP9dNI2D96Z78B73SVhlgqGHUP9AMcZswyJInO369hz
Imzc0CTBY9Jv2OEQaE8O0BqzkRP5qmXVVwRyEPWzHF1A+jwcTcSj5NGoxpJKoTAeUKlU1WEE3Hmb
gX/7rAlMLQ5ZWWzZk6ZFTZi7lkgvQmLK/V1X94oAEIc6KM6yIfhAhUxqkFwYnu8cy6GxwJPrnLUW
sQrxOrOeYecbpvoA2tzw/1YrsBUKE9CijwCiNjLv/RhENzQczBxKEyAkoIbAD7dsDHa9r/YY/6D7
M1gL9qZQ4YNs8eLt4E1Ed5VL9ikK0Lz4WrEzN/EEt2ITIqzt+16SEBNjfXE+jArQIjOOqr/hmRBP
haYvDgcjB7nSczW+cqLxaGIHZv5cNVP9Ffk2JGLUoMgSFrzV22PsWA9Z72aPa6mjZ1xXQHM5ApQ+
ZUXKl/D0QnwvFADBtpmF54UPTDEuK1d7l6LT3MLBHsBiM/EkCiAKp5XnHqnprofcQcQP/lDvPuSd
mfaiAWOys1JF4mw/I6+7RGWZwrqtbeulTHu/PSrgeO4xNZYCeB1OdIGRP/pxOJFtNUZFe0NeM6Hp
YdmjVCmitruR+KrCuGC7zg+SPt/7JAAMdpoJps7j2XC4whhDdAD+x6oWRE6xNnWmhb7lZKBlqJ3t
Gn/62AhydJXDX0/yFexh08Lm2+VacU4p5zlLjtDgq8spAoR41m8uxf2EbWs9rSldrWtsG8vnkbpk
PHnjuH53qH94GPo8nA94S5L6sp9Df96evfXS7xz1jPnB+lQSfvAA41KhJDdT9FU1LYgj1sjlpQYl
PRCbofTnZLai+jitlnNJeNmGjlqwPNLmrPOzce7XL043hN5OVpZriDdzLJ7RUGA2RpiqPg42Ueq7
RfbBdTUOaohzCvE8niqc5ztaU8U7Z9ZGUrnp5EJ4I+oZDUPgtuE4+0ymBKr0Ne/r+76r9FM0zsUz
as2o3IuRCGxk+E7+pFHYV9TgXfNhoCh/adWi3iOhJsgtXEX00AVReaGnafjC8TXh/tlT941dubtt
lT/TbWpt1HSgM4qPuZfb32W3rPdRq9czgDwt31hb8mnEYHuHlaTpaP9UhEAsGVgRtzeEWDL6jb5i
2kk/LUHlfUExhJtyHvrmq0IwXcHqWqJLwwgMeydy9E3U3OF64km5mnGauzECRWy4hYOykU4PGX3Y
wWVFHMuqQpBHC9kIS1rMeh+1FrAlUQfqq6/11MV4vSnKTTcoKO7zdFZnM5niDV6E9x2WY1SvshvA
ea1rdA+R3ctB463Luc2SDxmDBLZPrGnCYuupMKE3LNzoAlcn4MDk9GMLZLnyugPuUuuTLEeGgBr1
VHmgJ4G6oQ87bzp2izIvSvbdk2sVfRP7E17Zw4SYGvQaOu9PCRkn3zAHiIeCFQPMgUH8vcs55H9Y
CCHDJrcWQ3uMjL+erWhROSxUjNyR7/QWqFCCnWFAeAZxe6mynFytRHTtmfJWN9rJaQH0nttd2Rwa
qzTRGR12hLcrEvxstwacp+OuKH3W+tZVABIXN6SBWCnrIekRZMS25YKaRDAMbaSwtqQnohkwzmIq
ACIWps7GgVzcq7lKmvqsixCr77RVTRwv/dH/5NsuiEPHG7eIkZETe0yTVEncEw2b+xbE+jLPo0+2
DMhssZdh53JkXSJ2Fst3ii+Gp4Q0aGdm81FmFE+ErlIBjpnqtzlc3Xu7MAkMeW2CDz3k0+w8cp/V
e7vMvc9daKEOHAaMXpYVVY8JiFSCENbIhAf8UNnHDCFxeAxWK1vfUVvCQ6cCc9e4KZPpZRWY9vhK
tihipE0mPfK6DGdJG5HsnIBPWMh29eDKyVSAfOoo9dp9OBMhyBHZWwD5Vfam00e6nx3deaqX/Zho
Cste1pjALVNJdRYKaGLo8owAMlo2gbVzB9aaY+9VBb5lJMvcGjLqs33l2bU6YWjpwLfZJjwWRE/O
O88nR2OPwRh5d+gi3wZisA7dteWZXp8qZg5XwVwASS/S0G5jPVsJ4bcMh0uCDhfkfdU428ClGpfz
ZjDaFSJnP2lgm2J89e+BTlZyT5ooJSmw7jyFVdeyTc2JD7Fzav2xONUreY3YEduNx+DUfnNuwioE
pUGCdQFGH6sks0t4HlAQkgh2PTsLyDhnbpoTh5n+AVl8W17QpwvxEtFIZMkobYU0WylW2REM1XW0
1g7pwelk3c01R1vG6Xhsdwvq+ugK0ukyxzYtz5YNN4qeQUHBaNXBVg9j2lDJUVFtVHGGf3S5QD4E
fx0a5/hBE4tqnZSvgLO2US8Bqmdgcz+ICAnoQeXlpHf+UlUcYDNMMbulAiGAwlag2V572Jb7YO5c
bPAp2xCSwjxqTwR0hhktyTHHbD6C/D6Cc+T5dV9BGX2FPHxPSaiTPQhPugPdMI4QGjPk9qeaPnFC
DEifUfXUVQmIA3Fpdi6DLA3OUjbmlmidCufTGqYKiAdpJvkZ+3+e8n5voI+Ihps5V68AkP4VBmII
Y6A0f4WE0ErlNkvP6s17jtnTpluOtHxOHDT4R4WivL7Gzbs2sbDSSuNkdNgpGRmtxQkUIqAS9Qot
4QuW7bHs0s45rN4GNjGDZzpoR32i9unGPinEBDIz2Lb3PfYa8kChxnD2MWvrhTeoh9vqGvq2Wffz
qkGrmAWw5HnkLS4I+Ff8irVuKBaytOFqjJKn/7aHOJQzfSkTQkPJvrX3ViSS9uSKJIHoGUH4oYck
dRceR2fop/MJ7PR0syjUs9eVaYf6nc0aUd1GreryB2jQlYpNnozT59FD2IjPCYl7cMfcNckuobF4
GECmkiDYcWGJX9TYFWSTLFvjXyrPOzoEbCUQ8F5hN01I0tNuHTREEk2J21Gm0zk58EBhFZkx9SKi
XHCZXJaGZjyCyleyzitlhxpeFXtd+yY7k4Wr7IOsDFSeqFqJue6zHPOB7zdR8bVUrfUYBnWtL1Tb
b1Z/8oBmRprbMSRE/GYuO6dfDDsqGSEns6TOclgxt6kTFEKqTPC1Bd2oV6aQREmI16eYGvvgFoiH
gR+A3TlghSej1dezr87zsh76czZ4xrRMBjr/TjtuVtwNQQPXyAFeUp+C0tH2EdEz7KPxLw7SKxMJ
sCV8JPrwzqUVzsOyhzkBQUm90pRGLLh3EIaLLwxFPTz8vaoQOr9SmLpXIlP7SmfyVdVfhxuyScxp
DSOdfNSn0GCjXclOC09EgUB6ml+pTwT+qvbQbjColBa1iMlaWe5zWySYlNdiJnhFVqhwfJwwDz7S
tZkWgA1nivZjQ+YHDUEi5sugCeP8lUtFonL1nvYAxg4Pcsg5rTcs79Bi/DRe+qL+HM4zKZDWBPAq
X8kPOVoUuo85UvKPZFkwTlv9jZOV4Mx9snOQ/csrR0sXIRqN5JWvhU0HK4Rr56RYSa4zq+VG4ypf
yVxMm/Bk4wxY1F7WUfRUWQaO12r7nFbsV74XAWE9KHigBM+8/BDAomCjgY2vZLAu3yhhywYMG4Ya
vbHy0R7GnOBnjqLlCPKSbhj65+KKl2lLZ1/G2UzXlRryoSJ7oes5SLWCyhkAT0PO5d63UKgB5sPM
KYsTmZ3AnwxPyXRNd6tIHyAhcLR439l+i5nCsqPRSvdou0t1LKNamaPwB49ereWlvboXZYSXyKOh
5B+8BOb2tyFcpY3DG15P2uEHExYH9yTXlJHNMIvmwW5rD0KvM/vDXvv4+/YgDciROLZLJxI4Xe6g
F8ZUmVSudXT9hFZnBvIwP0LMsQjaSaLKP6sCJ6n2o259dUEtCBjbLSng4MIMdMVPOKy8sDsVJljt
L2O1RONdlYo6PHOzxHO52eS93TUlDoGXfnQTTqhdNVBVvpsgWrUnGgOCEqYm2o6dhwI5Y7ko1RQO
37IoG6crgTose+zIUBwRfpN8DWqFU3sqHeY4UjLQgmax6K9Jgcz6yUgfVHGJqYnmZS4SqoTd0Po0
xrB79gZ5V9Dgq3jkQJ31D166hkW8SnRpzzK3pgy8AWdf/z5QEYfvCMQIvEnXRLmkh4k18Sbl0Wjv
2JASD+NYR2jPnm3SIOqv9AUmi+VDl9lzcRpDpzXQkhEfiG5r8BYBnjjXgmhP6a/hzklr8GJuXH2e
tNCYwWnC+9ubbAZuOc1ZBc0x0S+qxT+BS59OTz5pQd6Ldjke5nBtFIvrXChwMSUEsAhmqXW+MbSa
fWcZmMTKdPZFBYyFgZcKkx6krAvdYnaacD6FDkNP0jAU52SbOpxVjOCF+94KYYhMvZ4MmK6hgmPJ
9eYMq0vS1LTGTbdHb1BKyjKb+BgV0U2iPST0Y4T/6tlCkBDRSyqtewjpEcNs8OzysNBhAuNQ8mKf
E3GQvR8l/1KcTJa5ok2UQuDWE3bUqTU5YzJv9t7DmSWHkPZ/CBIjdZKZae9UPWPpnD/2a4QVIK9C
Fe5GK5sH1hU8z7zaSf7dpgvKTwgyC5tjh4tri1VGCMb0Am+gacPxG8IF/A10y7Crhomx7UOxTN0j
/Av4fSFhsncwqudxj3za/kaZlkI9r8o7kNrZFE9hZu1W4+sPcLnQLQyrF4x7Y2RP7SC32Yo9TkW4
J6kmPU79FvjC00w1Pju2hiSj1uAJ3b+nINbI7mUMBizHWozl7RIIkx7CNeAxG0Exn5U8/3cJ8fX9
gXHjeOdSoLR7irzsBRkKuWpTzdUZTTfdm2gZaAZaHYlWo9V770lFV0hw1zlh1S14k2NOD0V+VF04
EPfQ5BsVymqnT7UnfGoMRUxkFOAm3PxYHDAtlXASXceCqpFAeu3uazcX5SEv4TOinunCL1YeMcdu
haq/Q6kyL6OT5vuEJtF+QQTsX0J4Y/sG2YSsJ6MRveDfW4i7qYFmfHY5DS973aZ0+ydrmR6AIEVk
+VYWxsqkzudwL2123Ni1gulqjqwt3BHK6wt1VA6AWbXhZV0Wk3VoEuERiIf6Oe4aBa1c5m6I1C+q
8u9eI0A6FqZhXOMpj/6KS8SXd12Q2rESuSUC1pSqdIt97vraPVh0SexDx+qXXXRA7jkig2RE2RFV
FJiihIalWRvFbtWW/ZCmRNJhXswFQp96Q8JHLEsk91qo8HbMwuDZ0aFhHOSHHSWn6iwaHxS9/n0y
OeJjaJJoJRHHyW6dThBYZ4oVTBT8nPy5ZHGnHTKFxB437Ug5ThvDFRedUvobA/v5g82bhHUmsftr
NdQQU4g0sm5BsKAzRQ6yYHXtDVOvAa/vQ+faCelwKX6lGFMNxbyOGIJccyQMbxWh6oDModJtrfk+
IryFvm9wtvo1ec8DTsDHSEMeiuvRIRglcSd1DEM6wxjRcSDvjL/UpA7i2q7R6w7ynsotuIB3k2KY
gzww70WiakBrM3O5nRwLFNqF36yEfmoH3RGjc/O90GMNgRwz7nPgrnV555veRHsptgYwbRgGQUTM
DHcGyYX1zg8a5xoLDuBojRzu0a+xB07UX+bkKrfLL3u+3yXosQg905CsaHFGW8VsdQ7YdeQU34Ej
I0cQk1ytXW8JBHVOYGd3+JHbL2BRNRkqQvcfoaWQuClQ2nx7HUn/33D+X1IwBP+fp/P3L8u37KWq
Xnom7w0n2eX8+b/++o/+GsR7/r+Ru/MAuZg/XB9I2P8bxLv8CWgNhvOOTXqHKxnR/43ItWDk2sJH
Ms9YxHbDSCIn/JvuYdmC/26T73vkkXmvDp7/YBL/RiQp8cCJTZ6PlFe6rBBvdIsNR2+ZRJIgtIpj
0wIffkdKkLM3yxzFP1yZfzBUbBP9HySSf30UmgMM6/yPNtDPE39cBjW00xBDd7JAA4BAulNBFfxB
9fnrpwSOCGAgcNWAlbzV5iM+XcZcV+CXQqfeMwVxqZLT8A9C8X/4FA8hBEJx2vbchU3d8IN6YRD8
hoSIEI4HZAnUiQOr1fT58fdX7FVv/vMlw1/jB9h5MGwQsv3GaOAK6U1rhU08DJZnPVxqeq0z8ZpD
AUdfcuZZgwuCjnf4Cy+9IeHALfYe5oNWdDvW4B3jCanEVbBm97//Zm9k69xL4M2R7WKakoizN3nJ
j7/fZD1yQCGRiNU2HgdT30MON4wbMoa29IL3CdipP9zZ1wfk56sRuRLpClRpzFTybcD3mDUTuMkE
8HtThOcz0JdzQxsOmljQn7AWgzf29XQI2UnPx2gUMdXIdQO6kCq4yc4zn/Za6qHo/v212F7GNw92
5DE9AGiAM4n39c1dQrsIhqwnVK9qLOK02ogxWGdDyHdrNJZxKWkDOnPv3ICuz9/DZz9neAXAj87R
J5I5YQO4znS5wa1OK00fJnEBFqYA7TlnKTZbulqJ/5mzmfUudPHSjxLMCszZkSLOyt1DAu+BqY2T
y/oPl/zXx5xfFoSsTsKVzi9+msknWrEn8SZeghXCsZNXJ5260/73F/Afrx+QbiKmbXYj+83LtJbO
QmHrZLHlERlXtYxl1rT296p1dExRFPxhIfp1zYs8Hs4wwHPBKHdbeH98eF2XKVJARNOWaRrEkx4t
tmrkMMtCc+z3P+2fLiAEp80q5OKBfGuWoYIvhdKoeAN/RZ4h7JF3lzHc7z9l84C+fQI3wyYvBbmS
wsW4+dMvsgdlskJwBRkANNf5JOabAGbHocxDaKoqEEdh585xGJhiVOTR3ySFLY+rT89+uhqTQ4ZY
5FyV96gL1S5jgvo+q2mToKjxzrQsntCf5/s2tYYjRy9S/WBmvvOaWRyqAjDZmGpms1XobwHh1R/W
wM0A8+alxzfJ1gSRjwfkrZ+AWoJsvWzOYlM5wCaoH2KJJ3+PVIM4MZwIgE+Gq5IB5B+ekn+4db4f
wY1HPoZBxdme2h+WeNk5fo/NH7X44mRnkZ4YlW6Mx9/fun9YSNl6PYkvzvNxAr1xZUxzUHWNBIM0
hjQBinCZ6XA5MJNHBtvAKDKiVXz9hw/9p2uK0k8Iwdtmc/r9+aeh/RQjWyRK1QzL6zoXREFGYXlP
tajPutzOPw3OUh1DgkLPf/9z/+GisjdzzNicQ7gBt2/2w0UteUfWaYH/scChiK3GooMeQA34/af8
wwsesTXi0mOj4CD15gUPjVtF9FhYkD2E+qWU81lAZuBeFVb6h8fzrRdQcoaj7UbQAPobxw+Dt4/J
knEIMcrdlZ39hBV/j+KdbplVnAADQj9o+3tMJ/3RQgbwfumaB+QPyML9kKDTPKxOSjvDOYyWiGye
pvgPL/dfXw686KsBhtXh58uNIkVjR+bLQc7Nbie4JVcJM+g/vCny7V19+zFv7moL8wGiiIDJBQL9
YGNDofWmPMamy/qVPHgI417SX4p2XB4AWMJFGLx6nw/ZcJvPyxYbmHybkfdsfSnnvIvs4WgttFnp
ZR2CcEpvkRpMAJDJynUgsR3roq4P9hC9/P6x+WUj51zNWVhuazWvPtLlny8XC/NSdRqGgwlDRFG5
fp79KvrIi5uLfR4MX03SEG5TQKaDdh2AoZt6GwTWsHDWUn1WfVbGSjc9SeSTzGoH6aEsa9wruoWz
VuGOEaB2PJusKmaOqKVyRvCxjTgdi8CYV4weXQpvbyDOK9Yr7cDf/8DX7ebHxZQfiMpDRNuJjTV7
YxD++PrpNamnALTcTg82Wo68nT7zs6rDDDf5glNHu6eWGUnLRF5OZTTdMf1nLN3AmqypmHsiwn7/
jba3480Xgl4gZOSyyHOCcn7+Qr3UKZT+JeDM084fK8/5bmnGAvRc0gOk5eUPH2dvlv63n+fyy10R
QlxhV/7582pTuqCetjqabs882pel7w/Q9EvibYa6O5UbSXDtEx99rS5ROdbuZin4w2sptxPhz1+D
V4JFnzMsq694+14uIWI5qgrMXrJWh0mU6YOhdQY23R4uUWwwIIN+A6+/b98BSGP0FOkuNnUbIjzA
Upaqwv6iZM3yoeryIu80/h7LjR7GEsi+8dwXTNh/0Tv/tz5NSSkKn9KVvCJ4753ozUtue63DLNcA
u0OAfIwa61uV2hNpmoyVf/9QvF2+Xz/Jc0OKW3TE3qt0/IdNwmitupEe6g629feaqdeJbhchIpmw
/vBJ2wv9033Aj76Vi5Ltwg1wTv/8OCzKXWyvQ1iRa9s7ezqHY+uRXj2RtpLbzR/evl+edYwpyOd5
/LaTtIjefJi9ZoMGFMNJpl/lyWU4QYKVe2rVIazIY/r9Nfz1l22mWRt0AXJ935ZvXqxIadibE4tV
Qi6qgxCj7Q42KqudQL1yW4bVCkO9LP6wE7x1f0q2Q86fnGfcAMsYLvSfL+jsYpk21iYubhC+ieFh
rOerFpp0gTMP2ewFEaknMDaXnOv+8FL98tTwOkksmNSmNDUC/00VVgHMxCWwZrGTjQ4xVCohuQL+
aEB05n96cfkon4Mhanp+MAaGn39lkSijA8kppkqJfxk7dBjZjDOpUb21R9KImUdpc/z9Hd1grz8/
rDJAkBFxgSWHGzd6s3YhmkevDUg6zinKTnqoin1hN+mm40pPbQnwCaFjUDjqRqXGvdRdYm7sdIjO
u7T88Ifv8ss6un0XCTdS0DPCK//mWQ7zUa8z9xBF3wxFIujJviDHUOx8hs4kmATqpAgzuVH+sW44
aApCvfCr/cE7/et+FjoeXlvWJPqZcBXffA3skK7oK3JiLE7X71lKFMlwqj12lFt7J0qfS69LThk6
YUgXs33jJ6o/mcleaBBb3re5dk6vF+b/GqH/wiv/wzOy/2K+/N3wvP5Sv/zXv+6H5y/NTz3Q7e//
bUYK/81ZnMafy8kDT5LPn/wNOLb/TREQUWHBkQ98CvL/3wOV8t9SQphhc6SchOfBH/3dAo3+vdXS
If/Ohg1gmfuPAMecNn56sXh6HdehL7nFkfFW0Tr8+XVmwFJCd/Ef+24d/IdMjzoI8fYVheguEa2l
wUsqpo65pGmQfyLqg1okCatC/racEVRg02mCu330BTJMhaKj3ny7lRtla3TqmabmcaIceFrXCDuX
Rh4TNPBQOpAXuVVce4jbz8paE9PS5lOxdXaIhiiuBrig/r5PZkdeF3Pu808PFuJ3gMAtyWHlUfu1
nZ2QyIf+VzAQxVIew3bBOXCceG/K4CwoO2fc677ipIHXMPMPFrIUN27mFVQdHptIMLQmyQymbgEN
Mz0OmFFTXAnpPJXlzqL3clH6VrrFCSSL7PYdlsc+31fbvbywNHqY5wKbsrhqvc4bjsuy5DZyxMxt
8mMg+xqj5RqCNNUD012S5miLMWNqFK1Jd6jbOGg7DDSKJ8TEaajMFUO0VZMJMJGnsqtJqlffnbat
2z2ZOjXDW3jqgf5aDEhkrv0UXmCDzNxDLbQuXcm5dkZSS2Cs7TlMTHXIIDVwZ0J2TI+08/vSug1F
WS7TaHgn+hqTCoPyNkWNW6HJpVZqP+EXwCkTdtZ4DsNzhUeaCmCPXVXp94NmNLd5f4Z7bpc3fOhR
MznvtOWWpM8XzeBczdikSRcr1wYtn56Td8WAkppkcbRaxzJdJ74eYZ9IN1tQgt2pahr57BnaGURC
MsknHEpIta+GjFwWMy6muagFYN9DZvMXUxIxsNQA4QzjgGRLjAOlkw4Xnj+JT6EYBQFplCcoojxb
GRKu1zq4bVHYml034YpDOOCXM/Z7E3IxsctgLYnMyg+20V8xxh2bNfqE+MvdOPEm4GxSOqO3q1ZL
MvpqUvj6LQhdDRGzrogGobRxK7izmZJDSPouGkyMzogw532J4uB5SpxsOgV+4zjifLS92fmSTqV2
HoVqU+LvRm0pUrqj1R3JeUfc5KA3KCf4X7PpCDMfqnWCBc5sX6J4zAlQZ16YHLo1RJZrFylfas1b
cP2t65HWJHO68vFSR2o5laHlSWI8CdMcbK9/dkEgAFygx4KvJMIBj29cCfTAi58z6Kbmes8by0Se
KXII5LVHEZkvTFhjK5zMTZcRZhXLjLpoV4y4nQ6Us3103NC8nyMHpMKhHWRymqyxdvcpw9anhpHj
fZCs7tMqpuCj0h0+ixHRwiWjg9Y+I2U7nTjv43DY9Urm4a7nADDRQvBnanaX3JldpaoNStLJwN9F
tXHWrScc5RewZUMEtpPfnrtehQkOlsJ4F5Ie90ggFfEiakHlFKuAkjYmWZtHBdLg+FkTxt3gDliq
6UwJd2kvu9Vaj8HkVeETKQEGFVLvolG4obce4idSabZQfBNOQk7QHPbNhUElOhxZqhZnX7TSM/fI
pmR11RD2A3JoQhIVxUzsPYugV585N3zeti6mPvbo16yfTAmkCNR2ZOYcMDo2TMyK6ATRPkBN1u5V
6vCa2ohmu0QTciXJyRtX5aUnGZGIwpR7LIUYISYIuzufuRz1fhrJez3kta39d1aK7v68bD3dX0E7
Da13vLdZcAE4rEG+SS2FxJ2MG+HHlhRILGITjg3i6Mof2/QbU9VsfJqjpGt3HqGPTFqj1rY+NbAW
JJOrCh3hCMfCIiuu32VuoOyvzLsIUjpvaDBJCB+wHqGp4oHx0w+r6L2bPK1BEZg0cD8QbR9Ul2mf
us5J+mPXnZDAzcKvH6XeZI8opxqHLInMXrGu3/sp+0TovpNAXNcYVrL5VPRlaV2Og1TDXZNjHCLT
HN0nhVkrs/ua4y/aVcZG9Z5xM5hHeByw5IPMDNGxwoKfHQjgEs4d1gvaY/RszW1o90jLuiEZmGnX
VjETmaeAxiJaqK+TUUuEuJxLv4SCSN0jIgjoAujCa/itLmIG/Hk0Kxi080iK3GuJNQ96EEX95DfV
lYeKi3kcLQD0X9opkVxkVXk9OvbKZtp7BswHEEN5Y1DCLie05PV06uFrvk/aPEsgQLSAYlq3E20s
fKNfemIOH5m5r8sxIs7jatSLukrZm7ZHQ4iLOq29ajflIkI0WyaYB2DTr+I8x+0E/JJ9V6J0YlE5
BhYpj0fkdj6ZmYUa6beuixm/WG2tntOIGurK6iQg2GJoFOnQReTTf97aSLvRn2ifV2lPeQWAXFxM
KAS7fd6yAaBJBr8LghQqTLnTEBXCnQE7io4fG2i+p9VivyNMcQHzHXjTE2wof97NXZRVx6RRXbRj
+zasqiPyszijdVjGC2SECzdIQQUs64q2hQSn8Qx9fz8dcTp6Txs5yUJxUQYKoVxAUzLmlNutZxyR
zXqHhCPzY3g5zmkccr+94IGa0dIRdgMFt5v8+1BolR8K5j3PmDM12JfBLBcSmX+4Vx2S06OjkMNe
D01CIrmT3FV6xR0dYVm8xgcaQo+1luYL0lH1MFm9Hx7Q+SeamDai1Zwr7aU8Y3na2MsHgn/Qt6s+
T6yzBA32DaNzSoheF3ZBanO5tucFAUYtSq40u2UlcT47LUzWM9f18hdESizCpi4c+Tga6Q4fyGuP
hpPlF4QOdhZ2xgsYZaM4gT7U+qxBz8caFNUsiwFGKYIX/For63b24NI8k+GDnTT2yVolV0ZE61XS
5fJrhkzkHt0rBHwrs8W3BNNRHQM0GthtWl0Ph4VrfSfHTXqVALbbNr6se/DR4zyDehzAQSPh5r5i
A/2G989mmfXquiAfp5LQBIMm+FLOZHvsOMehQYTo6bwTxiu5w/1CbqDFKWY6MPOR517NhUDq5CJp
g1E/XmWpTUxZ1ynxoWsMjZgARkiww57OOdFayb1Dh4aTidT2Pmc5NkBGCDhb9VdoMAHpdyIzX8hb
Mxe4n7JPFhDoOzvzF3kIlk1DVKl2vMpbejQYjYOQm+itpJDnxmg4P+yw530h6u+j52WXfWCS7/08
ikc01K46LaPjnfxKDKR/5Ct6+paUBnluLODQ0zDSG509nXwURDp8z7yoTT7prnBKdjZVE94xlpn8
PFeyHh9oLSPMxS05NMGJxDxb7K2KWsH5Q+Pi597MVgKQoQKXk/YMVe0vI0Ei7TwMY3W0y7RsoQiH
Crci+sz+lqCvLbIbpZT9n34mfRKqDmhkkFYZbL1p0UgqppGkpGAX2GX9znVUeFpLa4alP68HMj36
ww8F2fv/Zu88liRH0iT9KiNzRwmYgRzHATgN9+AsL5AgGeDUwJ9+P0T2zlal9FZLz3kuVSIlFeEk
AJiZ/qqf/pK1/ow75ZT1J/2Az8jrcWrXYKzwgnAY/3rMEcqUsijAOKEH+dZivfX4jvtAI98ZRAql
pYD8B1/vyeYZ7BH/LQTk96vbcCg4rzsrAvV3XwZpxrmLtYzdM7GnwLW6joaX8vPvP+J63v9/et76
IsxhNJ2Dpoq+yqHzrx8x7UjKTzzMN8pgWl49Y4PjGazqAcTv6u1/8lpwMqx1Ns7s9a+vFWqpjOgZ
szY9my6/o8vuGeaBetW3Kcizv3+t36ZMvz6YyQvB6zANROPfhA5FY/yYT6QSOSbmnjWTz8Xdqy77
tmlIFXQEoWp23X4zpQ0IMMN5VxhVBbFBtedQw8Fi3TGfJ3KFb0A15uOiQM7+F2/S/CdfPp3fCGMO
fwLuqL9+IUMEC4rsqwV8iHJnqsJyunLS8JcM9r8Ky3+uU/v/v9PMQ2Zpq+ovGsv6E78kFs36g3kq
M1V7NWww1+DL/yWxOH+YAI55sjHCxqrDiPm/JRaYLnBLePysKh69FqutQFbfTezaH7BhXAdDBthH
xGpGfv9jkxkCO48cyJ1rx9WqX2q/Xb1VJrXQqPHdqz0ci1Aup8YYB5IXbOD+9J38k2fc78/xX6/E
C/FtgJ02f7sGWQdBm4FQz0tHZ3Lf0AqC6yLJtoWtvmO40/8VcXYVtP/8xFlfkEcpshZTBBbD3wRv
QkNjbLqpH8dZsmt5gnY4dKf5a3ZoucvlSuAgC0L7DZs75envP+zvT7vv12ayCwJ83bb9Ps0LR9ik
sUWRqpqouS+xis47U5Nd6dMEGv0rI8Y/ezXHgoLDDGg16awq2p+mMmx+uhKfqV+TcAR7EwKb8nmq
1ByVa85XN3//2f7Z94prko+G0s4D77fFKtE4vVZ55bOrKnaYnhS/y2y4EakgYmCTWK5T4ybT+cff
v+56gfz29+QcwjIpLAuXwu+Ou8ESWU08wGeTEnkLRxh68CwMvsZH2OZYzVaa27//iqwhXEarl9AS
v32veunI1mkLP1LLcU2d0xXKSWE4iZrDHM7uxaee518p59a3Ke0vHxT3KLNHdj78E/Dsb/ckXNTK
nDJ9O3S0gFDQ2C70VoOOy6FI0PQ82np4jr/rn+l1oApao5EEQaxXH5TvqmjmyKwtjbDmu1nRcxoi
NXqltW4ZHkW6lk3XSTtwsv4uoc7XPmpDyggAjtaX72yWLWB8lW7eKK7VTrtJl1rxaOb0IG+ccpTx
RsoJ0Us4DW3S1hQOtj/35XyNejHcxUTMJ5+q7PIWoLpgAN/mIgzyqK6PCu0oFKLAj9U4itrkUHNz
ETNZMRlC0M3sXvcA5tTSGxqtqk5OlGR0U04trqet3rGdpRy+cLNZ86o5TYcdQ0KLAmSjUIk9EKuF
XwALEMDCMBafXd5OL0RPE2uHbSa7I4EtLewKtQBV3DYlTfJklfx4LaHKm9JFzjAanPtgesgPx3NC
YrAm9re2IZf5k0NNHAXTub38GCqRYBszeaKDhquN12qQabWNQyUnAN1W2Y/IAki1adk26D54UO1x
rDWz3LmSkxdBaU7e29TJoQdInaQjwKSouwiQVZTLSsc8qFBFfsJC6ig1dtz006i0GTkvlCkGL1B4
R+p8hnCfVuZgPhlxBFO+n6KsPBSurAmSE1OZX9MqIRU+zoPQXlwjJkpFKkXaxUXAj5jRHKE+Epmf
ZBk/cSSugLyyVCAsTNTt1LdY41XlNMPFFJMX92TrQpDVZta8KFk02lsCVHF8GSpdCeuNUvZNRt5s
6szmOtMhnmwKszLTbdwVpCjyhKy2B43aGnkMlr3qYnrvnOwOfmMSI6KOZNbjeOA4Jw3HZZefCJAH
5qZR0yKiaL0WyguY0A5JVJ2UbkW6UBRScVpnSDy/6lGSz1eO3er51dgY0FO6dBiaz6YipQb+BPxM
RGzH6gaj5A/E3+WimWESfag9bRz3Jo0txtYhlgApoW4UW/gI2tP4stCoZm2Q4tvG10Vrhq/cXzSr
Zj3+Wn+2O/o6iq6yv/DV6hTMwFN1vVlbRm5Hl+IVtFx4EiDFxuGhsBvCIWpkkA00qGqFc2OZ80sM
XPphhiqZehIOzOjZlCo6mwSe5D1Uj/GF5FRDXR2LtKdRKgIt0B1q0Fekbs+53VqvgAdCQt+ayDy1
r2aK3ZSU2NFUuOZFrSWDPyRI6LfmQl5rU4A2iK9IG1bcfems3cdw7B/hhM4fijZpb26b5a8GhfMf
je6i+jW8py6oaDm/icpYfW+l435mc1i/jXooUKvzloKcaW3IgfAzh1SkFZZya1GTYuDDEcZHtHrs
kGFK854ib5Qa0tp8nwV5lYdEAymwQasw9E2IdPaFAiYYUmJAeLNBSwBOFEolce1QmvSjSQx6jzz7
V9fWQLfJq9aPzCSoxjQ/KaOPaogPa0lXtvZ1ubFJdVe2tngtbsNwv/ku9ypEGio469T6qVYFORWr
41/0Ca61YCMwnie6jigLA81LcRj6GhiduLToEYqipVtrdcOFgKqxlo45esYfzv0uI5tB2h9Hl7oL
uGS0lSmiJA4cmiSMOWoP4qV2Mk3duLHN6Kj9rjyTDe1n1BlShBZ/l6I1pln8oGBPuoFKiq3YmmlF
hRoIbqULhLGgMBQgGKpTmM5NcaaaHTzpqFCmtGm1aMZBVljU0KyFbXBX6G5DVokPDmny+BpqXjIG
hXRjXCH8HMjVBFfVfEM3MlFvA6dqe5yKXqfxzZzs8bjy4KydBIBjbSfuttCvhpp5evtdYafTMHam
bZHAtUuf5LLFfEBdVpbCILovvmvyymatzGuVmVBTMUqDao10pFaP9iYq9pKY3qlgzBUHmJQk/hf9
BP8cuY8RyODoKlZpVd4uzOnynW1Xoj913z2Aej3l8admyqG9okZwLjbUJ5lAQrCmuKiq89jcZDWu
vxPPXDoJY8LlZLwYthd7tFlZfyCfYqrkuaYEIVvBEayeoqrlaTbrwjzzuZblRfYOqIcuCqOZ5QRh
q7vL0rDXrweblGzgJJK8M5uUdjhZUlfnY/zd8tgobtJLOoGMJnonjjtoAQ8CU9ZA4GaB9Z1qtMrv
B1kkfg2p7L5y1MXY1zz6so0Y9Meop+QyruP4blyLL2H+0YHZr3WYci3G1Bw6kyluX/sy0wl929Pm
tUcz/+7UHFCPZihja9dm9t27CZ+3PVUOSAAgFWszp/xu6QR8MTFs/27vJCtpfwzfnZ5T5MqdBpdb
BFMhulc55uZT8t0EqlBG/IHwRT9ou1aFMplLjCBzZWPAudeiYh+peDu341oyauVzONC2990+Oqbh
9IIJe2KOYynZySCIuf69OTTDRYAccj0v+XJk9U8oNg2/W06tdC08pfB8OTMR0bR7Y4qdJxmtTEoY
0DSlMmvAbUzz+KCTiU2JNo4iGav74btldVmzCn6UTAwOm0yzQcnb5lCcqxItfdM3oiuekzZarBce
3n3Gilyhwmt16LTeOLn2Z4SN5aVZKH8VnaVcolEjkR93lnYBhwe55LsxVny3xy4AXDjNC6sytl1U
jQwlv9tmFwBxQIdDBS9KxcK0eMZ3O22maoKmWp7yFDJx+4ybJZ/Xr5VE/uBJC0+3F1VD9AMT2nyG
8kIaexjY/JDtpxxXry39DLWC/GcjYgTnDtwfNY54iT6Js8mrKgNjeW7KPqGmwIxtZWsJ+kw9pYic
9nlEN1a2EKEM631yZrfc2QppmT0kFAs6AT2FLqgX2XRH/DlTdpwUhwcnG4wm3MbZLKOt0q1IFWYa
jTg1LSCqh0TETn8FW2GIT2oCuinZkPGujaDoYY4wS2crQUljxI0BeYJTERMrSDo+2A/zxeRZFdIA
16WuZ+AAzNkZ2KUMRuYNMRs1CfQZd73hdW5cv9sMXmyPfpuZDak7n5d5cNqgDVmK2OmA6d9q48wc
CDMhj2Em87B2NlNvAMmpu7C3PuFQaVQlZkwsdM+2jSj8So1qaBn3ADLx1SRO0ufCRTZG8+Xrcz7c
xEpzzPRW94SNonpXqG/n41BDzLCYvs6Vj6Srb1WkzsuRAb+d+Gkc618DpSoX/CzTq2zK4m5BTDUw
bQJ+qnwdOITrEUvh6NSNndhOZTwTMHEsZW+nMr6USZb+wCNZPgvNbiGemoTg4dQPrNrOECU/gAKQ
8AnNPCZppBr1hUG682UtFTANOtOyLbyvFlDfnMJrykaYSZbZmcUVOIn5Om4HNoA8fyPsnHMWZX5W
T9zu0iTMrmuMbIKkn4k4Dm0FspWtsQk7pZL625Kky3OOQbr0lNlOPp2GOuFAKxtSaoUqxnOMB8Hm
FRvnDbR3c++ajSLokJbqvtOqtArQupebpCAvy4Lfqnt6V9ABEjcaIbuHmvIej6I5gNEm4zCNiJYk
T2xKenmf+Vsve/fGHAGmmB5tFwyod6zl8cGQmSPJ8XJEYcsFTGkDvKF4XCCpNQGINYCyFocLqCZM
Wsgo0Wh5E+IIgWBOGeFL1RXjc42r4dnMQ4ZfAG3LLRvRiGFD2r7Odu+mW7wk2ZWgPfsBRAvJb80c
xeylkOkgi9auzmpKLvQHjyujDlxjiF/GUCu6DY3R9jFREiK9Ug+tZw0J8lbi937ooowuWfqvOhAA
0TSMVPLO+kkUpYjJT2sd1rU0Nh4gfBKirhmOlKc0nhj/W02YObRjur1LvNwxzV3IQn6b14SbPdNk
ZSx001wzGEwT4WvlBJVMtk4P3dhzDHDZUF9UlwawrUbNYOmVRt5dMSYtgZWG6fQPa+//6oL/KTia
/40uSOy0fcv/47++2uTjrfxvSPSfvVjrb/ilE+r2H8gbOMCZUOKU5N//VyfUzD9MBifoLaSUkOcN
fuYfcVRN+2OVACmEQ56w6SlBNPmHTriatNAPiUFiB0Svcax/Ryf8FXr9s/7CdeQa6PerJwwFEmc9
+syfVCaOgBxh2pVBUhQRaeyRpmllj64vA0WxzD1D4B+WNOqdWrv9D+ym0m9Gq7uuOdE9a/YwXbeY
o8HpK3a5sj/dJ1Ah70ZTUca81APY2YGzOvYlzefQkZRE+lXx0zbS+SjYifrfv3FqkslX+vx9BsDu
z5JY1Ka1neo5noouOcxmWR/Uvp6eIlF3Vw1TujtzbMWVpc2MwZ2q5qdTBRgHY63rql6sx5Bitqdp
IMrGWeQT1zG/UQp9DUak9r7mzHgerdjwcE8RMJ+nMiBJVZ6JDGAAy7vrOCmy60T0n2na2Rc7L8iY
5IZ+IPWv7o1cfhZRqDwnZdFd86CxGfTZ1bMyQezgAVzueroxDsWc2Je+q+UXT4r3oVifafykMvIb
qesUD0o/fuIanU/swHEoOLzlceTFp0kRX42S2PskwVXmLOm7HfEFLraRXWOfWAzv+2PEpW2xzeR7
+n6XDhila0L19mWc688x4aeyRfpYeTSfbnnpV5Ow9rjxNZ/xk/gyU7V6dnuTTppYx3DTa4W6F1Cn
rgX9MQcoLZPPIFf6ky2++KvibNCo1DyoCk4lJnSatstnM3s0VL7mtKAkm7P4uGU1tC+IPPa+03m/
c9iGAaiY7HpE18GNxhV3Wei0v24V3j6NmOqpZylh4G7lOMpaCMR7SF1TUGr8AD4pe8STEuufuMfs
/ZgZnEEtAYMYkBR/PMZcHEew5+3WL5dCJyADUwFRuKY48yu18/emzHlFY/wEucJRV9E9vRHVYf1a
gVnZe9fkI5cQV326T6AYq6Cw4Eb4dh1ZX44zt18CnvkBniYttcSP9rRvfhrQ2S6myObLrLTmD70C
6Bs7wyUD53tDTezoDey0ASrKJzVUb7Q8rAYUsEo/2E5ClUo/Nvk9MQI7wJ1tXytJk50oj0h2yFzr
hrjXnCdOi62fha16LbqZJAKr11VByiyILJeqZrYe1ZZxGcWm3LaXBhZOoNY44NaE3TkrcenYet++
JtnEsN2cIH8ZWexR9jf4MUhU/IYQ1D8XQCf70i6n0Bd6Fe5t0J6fhlqByunmCpAgWkAVFGErfKNa
5LlD9fMcOut/pniY4Nm5lDywi188s4VeSLpVXo9c8A6BHTjyE/5EKBViZ5uZdduoo/Fc9yRdUtOu
gjbS42ZDjVn8Fg3cCMtitScHDB8nj3m8myM7vXDV989trGhBiVlpwJID7AKGd3SRWHGO9jKqW63g
RGXJShqkgKwmqPRRvyhzE965kPS4tDr3pmcsgb9mLYBQG/0MEHO5RPUEQSTUDZ/uadChiaqSbqbw
nUH/UDHEd4d9rII1hrBLpp3G9jSwcRldOqs3rtUyHO/Vii1t4/SqB8slgplDVzpdzJN1HvvMeC94
2e085eKA/fKjty15p/GoZFswTOKYF0IE8HIvVmIouP1CBLVGPmglf9tgBB4eGGr4ba5veIdluzWG
td6drIOvJ7p5UCCjAIwqxuOgmE8VvImbuNe0S2pVySNBsPZI0Yr5LplVgA3WASAqcPU0pppddiyk
brGriRzjoNXao4R28uzmtnjuawuAD1y2pRvjBzspq8BSOocLDu1k0TDhYjKgtn4s4+5oljJ8Ejqe
8yTr5n2IVHzTW3RTtgUYo01YCBgwRtZ5iKrZCRqRcrZg7dzBoXc90B4UQLdqT6MdNg4MPByNtnW/
cL6qnST/hE74E1othdjKtDdiDVXaWpL7nm3Svgc6pHpIs7grYJIDvZ44H+hxaz3LtNQPWlcW3gg3
ZN9OsR0gmrUXvv9+03Micb28SK8RhEuKoJ3mMRobel0mTdC6oUY3UTQpkJQ7KsiEOb1Ohp2c4iUU
3NW9G8gM7K+YGmggGTjvWG84z7co1Wqlt8x+7ehtQdXHRRizDdYxcKiL8pIt4WJgOqoUbpUJGuMC
bOgMtDHy9VbXDxC10ZAS3A9tWVK5MGoDPcMFLTWij/eRWXN7h93wMZC/bVOHrqpulaUUcconoGuu
zIcDjW7uHvrOBHi2EtTJF4URtP3cnjMycbCY0KXAy2MFO8WT255mPV5lhFbngtJEcxerdbxnUzJ6
hTrN3uyGFH6qg/XcDmqBd9cZP5R5zcmP9YMciKu2VV08ytpdntYI02nGvLveEsaFYD0BWwI/+rHj
LCGoy7FI3VijIm6TRM57sSjiABezvKLXedlTiTcEug4tjHBjifM6tAOdvvgLru9o48SQNpkI4KgG
sewNasUNwZTl0A72US6NcbSG0L3WYYsGE3XMKy4nPrDepQc9NtNbJYruMBLNl0iM7gkiYvbZjxqh
QiiinILKB6Qzns8atqSajNjPSJvLs0UmG1YV+NEwNQk59OAdilzeF9GcUBFkhfa2WCmmVBjgZHGm
OYXJzNRl74aFfnJKJFO1sFJYH0ptH0lqkFGUQwOWIFM/8ZraJ7kSUjmlviqzNE8qsj7OJrMvt65I
itucg/jVHPFQs6pmHRVA6G8FCDEcFmYEbUFgCqyT8LqrmtuJ6dMOePpZtcwGFw36QRMqXO1tp+8F
v38rlOKmVyAZJEM53DP0WYU9ZdyFcXFdx+IpA1V6Q4nc4LfdAJe/iQYvJrqHTI3ObBRn7tUZnz4X
MfOM42i3ELnJw13bbXMjDRaApNAfYgz1VrG8s4OFSkHQcVu54ocbalymnWMENag5blpgYhq8N/yy
+b2R2Nq2JRYWVGLCTThzumSbpniq28knBr72iSdNGWijoW2hDSWbss6G92WYqh+wJ6C0hU7SXi9C
mw5KEZrXslRQlM3JvUtgse1o4wBkjNf4i6aFY4sh9B5/cnjdgG27CGymgdno0XaA4ugXDeuchZ9/
lza4KkQCyFDH1RcMSm4E8WjM23S2jG099uaHkThlkMf23ASzMeHa7uSjxeJ2LiAlY8ufNahqeo98
X1aKPnLX6IJ+IfLl81yqjw7ldB+zNuXbko2vJ2z6i+Cr1/4M5HrXz12zTRx72hrVRF394NjrLKDw
h2yC8yk6Jofc0kdDdOd4GekywogTSNpaj2laFjtc/GcyEdghmZHs3EGWEHp5TiBzWo8GYlna6mOw
aHoTdLapHKyiq3dCTNDq4rkgI2eZXppjbS1gqG4sZbyFjMqR2QU0wuKwwmDtzFcaHnFRJZZ9BYxj
u5gFnNW5Mz0aCbjR4AGeAGpDvjLHfk9w29nV2Oh3itmon3OcWTtk8bVjHYAmnylE3+uXk0BZu5nY
FJRZ03xEVgFwOml/SBfgnEknxu3CfmVHTtS8qmaT3fDgXGoRU8vE3k0DtLaBAq3ez6p2Da+VBkY9
aryqn50dCwNq/2zrQzC4igSGtZivOavbRxjP7oGgBFcXbXzaoSxHR9tCOiTNzdzKOCPrwYzWcEEB
6x368eRClzzYZm7ccMfWB20xxdmpWyagjdYlL6ot0RbUGJoshVkQ62cxPTD9bd6oiUe60isoBwuP
lF5qGnO0IT2TVF9OjlPQ+dXWFNXVCXSrTT9ozZ0w25IiN0V51QxojR5lRFjfjRWQzaoCZsJE9r+B
DKHc9dyixSaujPBdgNTfsyeUTyIk9MoWCfK2kkjzMYHfeZ1gC9uGqWh2xDbTHEZa3tHuUjvOzejW
6t5WVLLz2B2b2yF2S3tjWKt3XJZDfyDoUL8bVmF/slAsB5EMg+53VhTf4L9Ydl21hvQ0p9/lzWg/
0UA5BswWRxIlQ6WdIzcvDmXopjeJUUKm1Qepwr9wjPRMXddZU0DkW3DCjzE2eFoNBYhxO9WxdXBU
ulPIsAAUTbZUlzhEIYq3LK0jv5ByODlUMQZ4r1tvstxxjXmHmzkSL5NM6BlTtMdirUTBp/rZ8p+C
qFDZM1YzD2nW6as+zMxgUjidFEstA4JJbyBil6Bph34ftfFAIZGaXw1R95b1lFI3Wq9sp4HdeKSw
WQ+5aD+HDloxrMc7e6l3TsZck/f6NM82aYYxO0a9NQZDj1boxI0C+w338jSI85TK5IzzgnYOmLaX
PJ7NL82ttVuKl5Irl+ZoH1Mmm7IZ1PBkqMWe7c+tXc4/Zi1tGT8OEYhwo/VBmY8BdXfW0dZEdCyb
TgkyrAYAAJqriVD5RuVQSrTIrHY1WO4Ls6JsT9WD9kTJSMtgasaBoUDqFXp3NWTzJ89OaKhl7OwL
29xWJDMCFRJurrhPYVs8ZNN8X3Si2BKjyrw0mR/KCk9MK5kbDuPjVBDvkklqvtbjCgEvUvvGmMPy
USFZAmXAeFr64ZX2qPKmF/A/ZgvEEezv5VzXKat5/5nUogroOnyfCtISU+9SieigQqstYXJaBxm8
G0v7qOIiv8KTKA8V+91ts6T3SAwHO2YaYGZj9pInqTek03KNgmAQOW7f50R9B240bRLFeGgnVkn6
j306IOJjWmSNN4nsh5KVqddpAu6e8oWoC0y5uq7U6bUaq2FrTeNNIRhyl7acr8LQUo5W54TAXgw/
N8B1L2HMxy/JC/SEGuA78oBRlquxd+ipGzJySWpDy4/M9LOBIz6Ah1Ads4jdZKfWhL4yB8HCrPOd
E6UXtqXaJlVNRM50Cml9V+cA0i9tEfpaCdL1V4YYqo+pwlS8TrQpFRDaArXZARDoTtODEtnOyVkG
94frutIfHBEFmN6Pjapz2neND5WV6zjmzgaMAOPz6pyJQlzjdxh2KXthDxnoa+7s/jBSoLHpFKio
MEjJ2IUQO6ceNdNyf+BhuF9aE966q5+TxD1B3/2ibuHDiKxt2WRH2ARgw9lTJJ1wr6oyPCUV6yZK
ziV2w12ODKTQd5Q21PiZKvQJQnfVFhzcU5krJ8VNH2VSj2eznpW7OkwdT9OrLwsvR9+S7lKWA4Gj
2M80TnL4uy99X68pn5qokoyHoNO050Z1nxP2t14Hg2UoBaVELHNOD6u5cuQxD/uNzKlIQwC27uG0
BBkXxIat5WvmrPE0BglEAancUmk1UTRgohwLMQUwS4b0C7qm2oWmfU3sFQuGEzPpSYvezzvGqY4O
DKFxko4j/fLFBY7hPZ2xAlTqLiympzoSxS1MBQz2bnl0mAQgAOSPqhbtilxJ6RQxfZbtJxI9V3Wf
T0dd7X+izwE8qmeKTkypMPk2HnBxPBeGstzSjfJayZbH1ShfNKW5hYnxk8akZ9oo38c5+kpN52oA
shgZPadx9yvKtYOzgs70XKeqFr+rB3T/bum7t7hqxhNKN1dbbfRbWnMOUWe1L7WCEYHQcEaOyTDY
K6rhlV1UaUCWwPaBkGRsNJkEZbmlb5S2cfesePUGeD7uEYooAWFs1KYfYMgou6EujgC8dm1lHguK
0An/WPsmWj5LumdW+63cZM1ySsMGaMl435XxnszipXTiKYjzYdsbOctqTwFmC8I1VlAE6Ljdr6Dv
LSVZ1nXZK4TJbQooRu0eS1yEzjRsmf2Vm0VVgRyvFn67vsvYm0fMK9A8OTbl9g2jjl3lFsQdrANu
5I3FqWLjAv7duBaT9jh5yhesMzPJByZlb1ZqsIioBru+cYfYFD7a3Zij2ws4Q8wuhsGu9+zjb5VF
OXM/7Pgtd9aSXuO9l8GyiAs1nYduauFhO/lzGsm7oWahDKuTUNlIkwH3q3R5pItz7QNh9hRlqBn0
2dwWrFubJJuf9Ck+qnl4bfaxF0aGusthwwLUdQ9xlIWek/R78j3Rg1G6HXmf/hXH6InzMB0QZUGz
XqWBpOdRhmmMqV4tba7eOEYSrmo1pDU2t9/alnxFljHu62iRk56S6fWdrIH/a6iEMle0YxzlqtfB
bdxlpWzyICxT+URrTWvQ0VchYEC44PADdHNT2zwVMUcs58rRnUNfgUgdEjJ7Y9nYvo6KDG8TaShw
daEdLSI5P3N9cA4hY3wfc8T03lVkE7ukqI6mK4czO9Xyk5RF/ry4UXuQ2pIcOxtlGI0A4gwpuKK8
t9s4/sBrob0isZl7LHT6DeMT+djKtIenAOpT71KVY3kXHnNKwo5RZfq9K7/fUvXEzsQmX8vxR2s4
7kk2qj7VQT8XTclP3LZiO9glX/AczdvQsaYbB7r7+pyQd1KJV9GoszjKxVq7xT8wBMwIl+tsqcPz
zNwHVr0b39BosjBm1tyXrO8tL1Gt767l5skG1vcAECd7o9ex2U1O1W3jnFWJQhf9qOILu6UrgXcf
g5iH5t4TVzHqVL6mbRz69FsQOGlJHLGV1vOta3IMU/tu3OWtPVxxWkdwkKDKGm44JoeoDvVAojqB
0OmLRIT3NtMy3x0bzbOLqdlL0eRbIoDQzNLCvHXm5SftMeGZjxQe0koO27AimmmpEQdeLVKTA1O9
7siKIiljdZodE3ysw3ZraC9WOg5nDh1lELP4bmcw4D55cGQSI8ruACDN93FVRQebpoHPvu/su1jI
F8iBVJjZvXKGh2D4gMvNDfHZ5ViX+q1Fi5tXUmnh4zrl5m5QNFre0BtB8fm+FpJePXppN0hd045t
TP+6oBucrMqZabYq2r3ZtABsOoeNq63JUxsp+SNDUs7DGk/susSNFVc52QTWvytpKaa/BimOUTYf
UjdFuemFPDhl3R+ytnU8ovLKdaymP/Awslu1Eqr5OLYUdXPd5Wp0Vas1gwynfEjMTr8DzqSjNZdV
vOm7gpQS1RGIX6qgSFwfYeibaXnICwhydbZkV62FDQUmdb63qcvzYVdpGI7icsCpUVcfSzb0J0wj
MyeGXglAIfGHbcuUxBmtGcxV+B64MknfW9p5hJTNpHW8jwqjC/pUbVjNJxKDcyEOpV2AQqakKsCK
mJMebiOCPSSlkqIvfXMaomOS5trbpHFG7PQ2DaL1qaJ3Vn2eYM7xxhGqNScC7MGXQTCv73aJq7eU
lLHcRJMQ1/k8UAUxz3c0L4C1Iil+IIFP8URcpZ6dh7fdLJwtBbsZNRDZcmxoR/LJMxYBMBROoVjp
ds4qruIpnTyq5kD4pXFyx5XbfZY5aXnLaiJMdMxMGNjYfqLT/2vn/T251OG+I80dLAxvvDwey+fM
TXsqIyb7CKgu3iBZV35mtzUu6hj3vaE3O7QWxiaWIi50UVMEFKbNrYJZ9BxO9Cfwfs4VFjl0RMs4
47IqrnQn+2G2Y7yl4yo/9GRBd7VqI6Bw5iJlycyYueGR+1e/GbSxvx5otCE0vIYXxZgxkCfSKKL+
tbew3I6Z5Vxh0iv3Cc6xHdWv7wP0fh9+KUH+RF+iU4e9+NLBMfqMUnjLmwLX4XEexnIXmyoVqNgk
z4yiUkqQ9S0aV4AHk5ZCs9fYbwNOonpP85mJO1tiwCIox5oQIf1IFHan5QnRUg202Ey2qch+Dklh
4PiKp4Mx1WMQqan2TnWoE7SC/HocSVAJQiNMCwXMw0fkbJ2lmY4YBzI6nTDedTwbtlMN2rFVGp7r
ce+c0WDsx8Ew83MU1ro/xlIGNbMgHJryrq3zzKOPXT5kY9oFbtcoXknnBlAEpz3Os+ES4Cz6/JCK
/I1hI7zNXAXRyP/tGWqukJmwderOVPGQLFjvuzwPt4zXr+KCSm7WZyASUUbkcoiw7YQWSXTTViQf
crDMDbWTqsf6ZN1CB7NasuWkkL2ausT7AZI//a0Cw6btJrsYtIQEH1uXt3ZmMokCvPOoDUzNNOku
e4U+pQ+16+tLI5bxp9IzydSUwabyhEjkPmRieJ7rpdnJKecYhqZysyQlaoVtKyi/CfeAVoJBrRbj
RVtWeVXmxZMjhgLd1cyfLE4+fq6iP/M23Zs5Yco1/R/2zqw3cmPb0n/loJ+bBofgBFw0cJM5KZVS
aigNVS+ExuA8BKcgf31/Wfa9x1Vu2+3HBho4gE+5LCmVjIyIvfda3yKE81BCh10v4Tg+jO34nqal
vC477jL09b3psRkNfd0gH4nMpXsPk+9TXL7J4FVAagaIgOvaG8UzsI/mxpz9mO3OUs+iSMMbxxCl
HYFfR+YYs8twNXdyE0uXtNe6xThfTqj+oqaeAAIMYpIsiKyGODDw2mQSfGouRfRbiXRfB2Wl153V
9AcM3foRFECHUb6s8ddnxlMz9v2eEMb+MHjB+BWJSHlr9b7L1AqTzjU+wM+pclGVGcziv8IS6a78
cBQnv7HMg5VDQaCbzJsJ1Ir9zafNoZhCXinZ108j+shHhnOf4ZlfoeY5ptxkwCk07wB6YET+Mym6
0TJp613g3WY0owmydWX22gbhdNs61XSBzoP2lyHMXUu4yKl2TNI3PTO8ydUUX0j0S9wmUzV8ygSu
xhqRDBkQOuR65dtVsQKDW61BXLyrhKVjB0zdXShzcdRYFNZq5l9E88hbpJM5W5tlx1dnlSQioG9v
kDAhgAxFfGH59FMH9uQLx1TiubVVvuGTxzu7OI2m9OH3xfJaPy3WoJ6rmKEouIjza6sLOEyalJYW
bwqRSYtdUibP7gIAY1TF60iq4ZqZULwSflJG5FO+uzWLBUAGLx+rYIP72G8O9WSYUSYGuZd46k5s
quFNhUSbXlpcjpGtVP06u2cL8eB99xPzY/pLRNzs5TI1g0eLuJJ1/d197DgLEVbnd6Xid72JO/au
NXZXj/a3Q2e3L+YF2VHATM55hf2HQKD+bmrGQNEBGkRCuafXR7qI05Isu+jA2iAwY6k7xStMCutM
hnD09B7T2oWQjMuPXg5JGl8Zsyv3LjUbqa9UUfkN13WCl8txIEcBU2ZLNlFPHGRcJPzQ2CI+4jrU
TfaxVH2pt25GRs8JapixnoLaty6zOV3EZqGSTO7swrdPTWw6XbAyMJOtESrU46YjV6/jNMGzSOw9
ushluyyDfozposT3Cg/HsDYCeZeloH84N1vTq9flZHAi2bN6ty2rYSLLJwjz9FAuWM6zhAx7u+vU
s0lcSnvufBePC1UPpym5QU8lZBX/qfJEVm5zdAkTd90xvyQuldvGXDYeC5E4vYzjKgufJze31RVj
mofB5m+WCX/BSym7arkWQEqCna6D4RCkNfIoNH2m9ZhipbfIFqzM9gLjmZzXU0GkkstjeSDdipLZ
Agiz8Zshezbdzn0Z3bG/NqbRcPZlKu2GcSzBE0jUJchzNHYJfYi2ug0kBn9mTRYazRnArr33WVGX
EpnO2qI+ldhcGHuuzz29LcEN+641LhfTi1dTAT4GdAF1ESNIohYSFOW7uSiDG5rb7BHuDClwSCaI
YTP3jOAgBLLmpwmiUL4TU26WETiNjGBCxh/FsKP1UTEQrfv2aLetollJUBPojRxzjmJyZwngpmOG
uyZAtTCt6jIp8Z9UA2Z0XkbP/ZcwySO9ErAhbuJ5H/FYdLTvp5pCrqD3i1fBD4vXwiWgKaptu31P
ALk5JzuvSfT27KT5dBdpnYzWFDHAijG7CyEFtFvHXxYmYShE77AQEtWdlc6cXzI9BTAWx016agiQ
FpthMsLxUPGqKbcQ0EaV2XNxzeKFRn1YJ7dQZvx1IljuUDF8GUSldIwChwwbs7nqVGhGo7/4yHsI
0JwuyjYsDaYl+YKVnTyOkJQ+zajjU9dhFlWKebVPAhbBDkEUxmSAGMjxLhwQElvk3t6Jjki3M+q+
OlrEl57tLBDjq2S3JE3/hVuyw5vWZx+UJ0ggdRcPm9CfN1ztPGBTRfHIHe1qoW+gCKyPV6k3XwiC
l9YG3s2IoJ0xqltd3fJuApbo5mejnoO1H8+3fg39nMxmpmaN3UfG4Lwxj+T6W/dPLSfxUTAQT+ZE
bDPP+DbUi8ts3brtaWC8q4HNomHr7ENR7qypQ7gA9hiL6XSpaYKsx8mLj43n3JdKwUMQwYWQWKty
lwoJEhN9Cbg9OSLxhBgtaum1ruFPcTVeJ3iVZ1ppKqfIlpi8uKpsl2YIkT9WODIsM4wWQXXN83O+
LC6HLA6cL4sULVoVOuq1xLVisI0xn9r4euw3pqyCJ0yugFNai4oQeoUVZQNZhjUog07lxM/VJTti
ldIFUvUCHjtV6RPGCt4Pu+mKY9NW7Rd3dMmDnuVD2XI59OfmMaRDO8VR6E4Gycff7UxNNrvlNemT
QZHQj/SImG/xgZ/n1c0q7+BILlBnNqK29A1Ng/Gw1Iwiuf6ku753Nwnx0SvXKi79YboFBAGP2L0R
ZOPQMb7AHVBvWoGUtjONG5pjqMRr7hdlqW7jGFtDkPsmZIJe1xHCWaK8FaE5BdPcLpi2cIHw+sz+
8cwGisBVnIgoIEqu8sjfElhcKuK1GHrlr0vW+duKZMB78H3tqmm0HU2wvXaM+8yITvAlMJp8VxEH
hHOWwn/l9VwdkbTCo05gEqGjtc21nBPgTFJmN21IyzNR/U6aTXZbFt6lPAPPES9fSKvYkBsmLmoE
z7hO1lPfyj1tQDpapEIXh5CQhoGds35kVjq92GlNE60nuMgO0iejSfLLysm/QchI7mAVfNUAxKBn
4qkIJ5LUyGbvdp6SGycct0272Bdz4ALmqTmdzPhOWZPemFjG9p0Ylx2G0eEj9ON3K0/oSMFug9TG
YLBwmsf8bIibOje4RpVIEw7d/LGogMIycGzWTicvCohWZ/eJjUeLCWNo2cs7O1NKIxh1hdfW1pGg
PXNb0H5RNHlWsk29jZfoZ4KvHwed1EdhFHQ65At11HNMfFc0WMhQXDE9ECpALH1/plPNwOg70w9O
ImXg3Iv5JdAUzcj/KQCyM9e1JErKqatTYC0MrsF4bXmsAHo7hCWj1qQRBtmLXxKyxTiWmRdAhxWW
JkTC3O8iWNH3jI3eC0NxqdA6oMmY9Wt/XkhDr4KLZvYfDOFrDnxkhGhwGEWYTvAVvqS/Ew5TjNnd
0/0wolqLb4RgJ7tUGZQPn3llH1UVvgUDUhXPXrDZsUuvSlmpL9nAUAm/0j60jI2l4MyZPV1v4zCX
3o0d8tQ7Oygu5hrUHdyf29IeX7PsvvayU445YAO0DtdUdUlI/LVw+nE9Z8aNLRtjX/ZkAw1O+eor
VP2NvOq6On5uxvoJbMdmThUXxYlxe2v6607F8RvBPtuUaLcvyrWZR853KghoawX+wVLqOrGXelOB
WDD8/BuF8Dpokk+zz9Az+7RtMGJvIAEOqyA3tmk8HebCcblsOeGOrBZu6F59yrDZbVGnzAerlDXt
TBlvgM89a9HgFMUfnmJBECszE+XKFPqolclrHMOtN6GS6XxbIiG33SuXoqQc9HSyvfTkucVDIIOL
JCP4zmiIJqIhRRkyUmuNr2GGIRO6DUgyI7smRpYGta8e6j454B5cx3nz4nD5y1sDBlVXvXWutRtJ
uYJehNOnNqvkFPcYVO3sUfrtDosbKsL+FjrgZWdVJz+d9ksQrumW7J20v87qxrvszI5kbCQm3HxG
0uIzq1jLKj2IEqEe6WOkm2oEf2fgX1XXD0nQ77C1xLeqIKW9no3t0olDP+Qf2Whf53V7SYljnUOC
oZoa2GvNilVfJPT/gzNsO9Ovls65NdDO3mCCc7/BKDFJBU6AK6JpWKFAKqIsq6HjlbZ3ntfZW0Uu
MO08f7oLB+lgjLLojVsguumul4iGRt+t1q0tjt7QW9ed4NyC77bEGALjYZojq/9uB8ZOhjfY/9Uo
PHx3DdslH7QwEWhhzDkUeLWqCyuJTwqRzWkqcioeBCJhzgsrJuZaDUfMMrp3hZs/wkepowSt7j6g
AjEqzBOYCFaEgd6KpcVvJiIkVbxGDD1GZBGEHflVTA81GS6YX44noRysCZTSN6CIVk5XTUz28iby
B7c9VmUQHAkS7qIkn25TEe8WRuHUEphhzHwQO1o4wWEgzms3dfqyd9R1armPHG2XZuX6K1txV0oL
UyBitbx9XvcsgkmUt70zOTftWLoRb/8YBXl8zKS1aYkIpThhNElnKI+bXdKqaaWbV5rTzBqy3orM
OojEAp0kddVF709Ho1d0geQVtrSLui8eOYnQq+k1ccwPTTGh8B3O6Keae/ZqjuPgHUQnDgII2Wde
Dbfrj0k46VVGDsyR6WR4JRmHHpK0dTKwXB0xhqMr3j2He1zalp95yHGJ8qRcl+Db57XfBbc4emlH
zXm8Rpcbrjl0guuJkdmxDOoy+p/d7EnXdrKbQNTnrC0zy3v+sfz6j24wWv70Xbb//w0M/wMN/5/7
F/5TDa+Qd3Ax/BaexX/9q1fB8MJfAg9jgQsaXmBOMKF9/Ao1MXzzF2w5ZuALD/AFURb81X+5Fexf
PNuBM+QFkA1c0hf+261g2XgcAtMDQUSeEr7g8B+5Fc4Min8jFL4TImBGoeqDAIKN62f6sBFk/ewb
ub+uJqu8dU26m4yf5H5ycdFdlNZUXuDQL78MgSEPmOuHZcehWkWNseRfUsZRBzMt2TWVycWvYOKC
pN060b9qhrUF6OWgcBhfe0YGZGwKqntoUQydbaYFvyIo/tHSO40IVwf18a+rl6b7F+Hf7y89opv/
OH+Tt7ohiJlmzncGzL//dJW+qbqrP/uf/6sfvqj7X9//msiiMzX4hz9svj/12+FDzXcf3VD8+gN+
+y//b//yt7XzZW7gEL/VA4opvpvkxf9+WbmYVv58FUYvzce/Hj/U+8fPX/PbWgRHDNfI98kNIe+D
9CvsMb+tRdv9xaH5hV3cgx1mm/yg/1qK/i8WfTHSzuCwI3IPf7cUxS8MyoEq8xxtCG6u9U+WouAb
/X4p8vWBb8P5scErnylfP0FESEuyJxcfI6w5VKy5IG0e61vofSWsXhzGfHG+MaWQnPHKsTfNuRBL
w9xxtsjIy5fayg6gPRCqG/AQ1zo7l+2EEBYAXXvxIoLavhwCs2xWQToxmYsXG3UyAq/gOeZGd8oG
UPPrfK7LJwS6w9FAu08CI3GGIwDnvbJC42looUJFWT3vkkG4r2hGjBdRzg4TXGvaCOTXkesh5SyK
cb6AszOtc7CBD797qDe/fjZ/j0Czz+/D7z6yfF0AgN92BBgtEuicM8Pqd/YiiB5Fm1fOp+u7NkYR
+vhd0epp5w4qjoQsGAIS5oq62a3adJV4w5s7h3RCCgL56hWqXX1vpBkOeyJwx0fTy0sgFyM40cxI
ruDVNAUdepMgzV4phtPWMJABSwH2N1kM/8ffw8fUDVCJNi9U7R9/D2fsJI2H+pNWYHJXxvFH4uTz
rmi4mqIe5EpK3KdqtODmIJ2dHBPvLiwRUPczWozZb7Io7qX1GhfxeIjdntFAaR7HbLIvApmoy7wa
xQ2ZaRklXJ0e/vohnF/bT88AMhPxfMwYTKZ7PyGTFHMMh1r5syrj8liZgTjSBKMx0I/28eyuXP/1
j/spk+DMZAIRD3qKZ8pT9f8QLzYV6Gps/wMRBlgR9yEpFmvjNlm/ZyxfXMbTBECmxgrGqIi1r8vt
X78A5w8fTl7AmfADXND3hB389LDKrNOQoeoPYsVNC2mNy7wCo1v7XseV/bkUcUtWeDdeIPt0000L
huK1FDTDoiV155fJapEIldgXjoW2T27lY7QdiGj+NtJf2yxU/cmapgnOmKU0kLcGtlfBLvSNxzo1
NqNn5u5WOj0IaKmcOwJHjWFfAiB+qqpK3hlxgDxoIH/48q9/bftHhBPve8iuFLickyT2ufj5flyj
AjuQTJL+zRkVgOja9ubDjI/pWemW0edipvUWZq/5mZjaHlF1a3p+jRV31wVaX5AhCZ07jROLqmCq
Z5xrCONWam6GJ88w++vEE8uy1W5wiyjCfdSwVK75VwotCH1WtqEa+WyirgguSb/gXL6F3+Ff/PXv
+IelTJ3PCgbAGYJrFNbP2y4AITkq97VpEUK6cUF6XW7A0paEhzRZLH49p/80guV7PM0PHx1+Hv8j
zoPzhOV8Xmm/277azPRtZ25fB7Rzz24s3c2c4yKqClioGHpC+8XJQ38/0sVJ+riZozzuAJRClEXR
yn6ED3481ngRqMzoDe2p7nJJv0IYOwb0Pk2ooHUieFE9oTg5naRltkFgAl4hyGOgQ9qSWMSc1jVP
c2FuyiI5g1Fq34EyWFFBKsMZnZWLqh1p9PDJx986ud6IvzpTofc378Yf1xe4O+FxLSSPyBPBGeX1
uzejFKnQulzeJmbR65xbFLAcChiNhOQSQA0Uazbnv37eHPI/bl0hP9IDnsA54pGe9hOVLElTv3cb
/QaQJrgISQ1g3OzLtUsk9d/tWn/YNPjQsEvynLHX8un56bfjrKZrqbo3MuifATsjAmj6rvhqVcSa
LCFEAE9O5K9jouWBABL/lqosv5oFXYS/eSnfs2J+XHXfV5zp2gAoQVD+9FLg5vpBYoevAMPMrzRU
MZwPoVA3dqYwjukR8wP4IxpHWTyhXjaEBKRUddOznXm0zYupPRll5mFlM8L43pDuS6/HWQF6Tdl6
+qR5q6xKLaSZVm1FIyvElyOHVvCzSl/9zSMUf/zMQgj97lkOQef534/W3y0bM10Csu+8lyK3Af97
hfbeTZIfcH3Z4QmrQA8XP6i434AgsKBqjvJDqyBcdakQdNcl6IxWWTmysBQa1YIXYmMxEQ3WLr/F
C5E78+cZl8Kox1g0d4jFvsff1V3ncmbyzBT7sa1j+8QuPNpEyu/zuE1vGX3WxspnNIrCsw4yMNrA
wgF2xHW1t7Hsf82LQVkbMaO7bHoXTyXSZXB8w9Eq/LM0CB0xRDUXpx2WQxxGVgn0GTZpaqA6rI32
b95G+4/rk4AfuAGCd0H4rIwfP33O2HdTJ+0XZSfmV9D6Hk6HRABEhwoOI6+rZuWvrVCXyJQ8zRSa
riCgtQIds5IZCbV2dodbANsUpKNIJ6hZZGLT25Scip/IaToU2yWs8FBLmiFG39W33z/M/6jq+dMK
5oeq59R8VPe9+vjoKY7+X6h1zmftnxc7/1n1L+qtBxfwQ7Fz/qJfqx1q5P+ubr7//9/qGcyYv7hU
OmFAdX3ens5f8hsJwAjcX6hizuehj1qaFJV/hAKw+HSd95V/7ztc2birQa8jGsZmlVHk/7jEsBMg
28wCdMTJMBedsstDnlthGlgl+HGALJYOOhLqJzLCxv6z8bu0N29iDmzYYAbWWr9l9qNKxKrMArlS
oboFjWZcQbNruAwXQTiccblztoj4GqqMgB/kkqTiYs5HKonetxjBVN13KCUyY7MYxJgwXnS8qkyu
ZYB0clqJCkHDSomhxaQ7Aa7BgK8tfYUK3MIcEWJv3WeJYqptdv1IS7oU4fzWizFgw5M9zqZsXFSz
GUqp7B0D2gWVaKV6kO5RT7JvTLmFAcbczy5eJsjgIg7J7WqQIbYA3hNQi+txLq18O4Tucizk2ObX
DVrS9NClRRMg6fTStn7rtFP2T2xX8R0PL1zXUzFwccysyU5AetXh9JR3cBLRu4HQSqYQqYScQybt
vtE0t+HoNg/8hOolDFtIMEYSwETIHOQTHsSReu/G/nxAyepIWC6Mcncxrr13cjjb/nIuE++mw64K
dG+mP58dxWKku9xB//Lch0V7AYTW2iydJ17ynlTtKWXsa6/I1iGioTTrcKclUowhtKzHcRwV7BgY
0FB6VD7Jec+b1TOm7sHXVTiEkigflcEVcBTdAXZD/YQeel73w2zQDMcodKnDQZ/jKaEJbKeupAkI
3wgNaBejDqP5O+8zt+uXnUYrLmwGJqyfx25ZjOyzG6iQdGQYhoP1Q6Z45YtEy3VrGj7WYYcD58JL
syHjSTsyvFSB3eav5sAsNegtG/pPWe7nwpWXo81YU+IKuh8HE1BalswBxuIq9detlxunAdrUmrlI
GXWz768CTs9VEk75zYJCY1qZMJi+cTNLtrq2GRtaMjGBqtWSbqWBz+vsBfa7tQPZc1VAgkMWMTsX
mmPkye5aOPmLNys48K2ZPJRBN90QjcS54zZL+mVReiSetaFs+ayspjlz4eppBMSPs2ux66k7tTME
USy49sxxtkE1FCfIJPHRdlxdUMY5umSg6/TW0VKlsUmw9adXI+NBFkzmeeYlXrrZuUyVr85zMsR6
6NWSLsTpkRtF0DfYCoYzzR+txKNXl9X4UlqFs8VisuzjaXaTw8Ccc0EAi2H+g09wuZFAAw4lj844
JnEtur2YlxENn9nFwUpzXXks/dJLbnSCigjSBWhM3+m253iEZtM2YvyY3Np5CkHg7W23N57HYUCR
bsekOyGNr4ur3l6K+7ARSxTTiLLWcThgKIVCwuIcbCW5Vi/dCX694MknRN5H9hDjjpFDg5PNaFF5
raeJsn4TDtPQMqyv5ELcUoZjqwKYtRmGJdgv09RsRk3k0yoenDzAV4Io+dY0B3QdvcuV8422qHoq
nKxoLoO6DfReGmOXbymwjHwzJKRprxO4dvvJBqcW6diw46MWaXE1BkF6x2S0fmpHWT/0sz09zcAH
iOuBa0YLvpeRo+zciypZJ1aGdkQE5aYi4GljYeE/YHMVu8XL5c2I+MfayaHzyM4IJFYoo5nQIWdG
QJGhsyuby2SPwylUVx2B7E8BE22881MDOWuNvCNf+07pLCyIGagJKgISE2JP46kd/asu6QhrESXC
4t1oOy1jPhR7uEoXRUDUgEy5igt5HZg5PVRYW/a2b4zK/qbEgk/dnQkWIvGQvQOPvNGcxnFh2NtV
/sJIWi/eCsBoznZP3boO0zHzr6Z2dB/JIeVB2RVZB+tsRqyw0q3dXVWGFY4rrVHJfrVVnd0sDRFS
TNZAvkRurS38NEU/xkcj1iVzy7k7ZirW97Uf5syEDe2sCV607pI2EafKkPFjFZet8cldOsjXGgtI
T+hpKancse8uWPjnAv5FnMd2VC4zdhtOslQPkmDoeokfuxJiZyTm0GxvWlBZuLEz1dXbabL76dZ3
rczb29U07ro0db8tQCdI3/L6CaOmPBPMvDIjFiPRzZoEQR6fU1nJGv2lIaooF4ZzxjaO+M9WfOLT
O/T4iI4cxHdfY/angxGXqkbwUvtols24vvXchsSa0BH9mu6FeVtTPgVRMbjilrkpO3nQzPIr07bp
oY3h/+CYhoD40XWW+5ywLwFasLXJYy6KnXn+MMk8DMptx8cz32QUH8HK7Vkkqwy94alxi8bc4PxM
ruQgiNlgXjiFG6Q9fbOe3KVyiOsuanPfgWKAZZZiEDx/ZV+/tl53/hF9yelLsjxihFw11r4bTa7q
tTPYBZ2wYGlo0wDICgBfWRnHe0dvtcDoJnVahl8wuYiVlRAYtVLKF0W9QjNOyFJ3Rpbx0lRc7iaI
JcvBp0l3QkYWVKjrjKoBcel2vKKBPd6rCG0fVhivz/LVBIE9gi8iuxxEF9uhZ4uAGI3WuxRtOUQ+
YlNrK3JrPARdp23eK8OTF3LA0Mu4uC/N16m2zLxdVyUHdISYL563nPHWjS5NOChg9fzpxJ1pZvvL
it209Lxbski582QMLF7GshHBDtE99nCgGiFBuLqiPnEqRW9sZJaJNJKDEGRSpfEX4JgN9aY1zDNy
b4qziOCxJty6PDJ0b2WB7QbcmccvVSGmVXEKOphhJqQKro/QczlypwvigBi3WQaGEs4kHlNYSPoU
ce/SLM7tpFOH1ovD/qJxcYZDI9SCYnFRZ0VmqJB2Z7QN74acCJor0wzzmwpbfbJy7KrRoIWYEzP5
LOxbumnkUbuUrUtkVSJ7wlvCZLITnLQPcT6bX0wsS/QBMxE+mGph9fpFUd0xXg6+TWNhfM0c8vKu
4nF01Slhq4If29MLacqMrlS/LHm6AZU13hDUgEnJyieHaCWMQ+lTLhP5WqK59Gi6DihYmDpKcRwM
lBlYHzEPr0alsDJWyCAZUEvDeec7havF1Wl1Bzej1TsNwXDenzFsz/WkTIyUuQmEbt2YU1VsqNwX
gNi9MxOyYrrVBqP2nEcJUH4Pvc5EDJ4RLpmzcjjlvjUD1uVIgbo0tlD7dHk3Or0EVF8GerpfbDW9
AzyZn2e6Qz2WWd0P29wiknnlF4EP3agJYVwT3OXuYAU3+mHOaDZtOncJWb7NkoVbBEseLthJhUce
cU9YhZF7e8WH6pboCftFe5BUNinjAROATq36SOBM5vUZQ16s3akKDDg/AvUhNDK2cGpvWBtBQmuf
e26GNld5mKQw4cL9ulRmCwpm5yxnXg+9iSmu6YXbDJL9zJu+zIPI3zu/64zI14Wx7vBlY7fDP7xE
5ME0XMGnPsBU2eMLA+qTM8uA1VpvxwpGDFZO4pCv5yXmalJ0aH4wCQaKbr/0ObTDMe6uekvUL4PK
Pe4g/Pp4hi1bvo45muwbt0qS+EDbyESc2SNLYvW4u5pJYPPSQq5e8IjhHt4wDjXbO+0NS3tbLN7C
JrnoHNHpaActzbMYRNdDu1B0RyiMk8vOxTobjXBQyzN6ADEE3mdiHYGWTq9xZWBF04TPMG5sK/SB
Qz2GD30ShsZ2JEnwCOdTOqThSXzV3mJgjLSmMekw2LReG039hNTO40jKt1K6It/M2kz381iE+lCk
A5QOx21ociCEzpHe6XG563WHGb8yluACGjmiFi71sAddj3gCNErs+DyO0T3GRWa5LAt7IsJyTJvP
lKYpZrrZc7/U5xMVNkYjr9EMOelXz1gAoNvkwelNQK6dDXd3wfQtg6lNDn5lB6+4JOqWRKE4PvhA
dNCqKeDiG05lDyKhkSXfUAdOxiXHroNMTyq/uwkQNX0oSsSKxnQ2XLWaOuEC9JxPLuRiyBddN8nl
MirvtswMI91W8KcIiATle0XZefYBaI7sGl4lH4u5phC4KJY0FMfzpNa6nLOycXA11MY7GP/BOQDq
NvNXgc1lfDdlXOLgA81AwhyRn9w4J698nTPA5aSPFpejctKDhxybi5qUYNNcRL59V7pPjg56sclM
I3k0fASgfJe6vIVp5z/yO5tY2Br2gxWYkXZmb+povIsyp5FEZGT/MJo9VP/C7UN/w66UDpE0VOlc
MZ9z562f6qJ9nByvS7/kA3DJtQcrML/T5lwq+Oketg1CG6n5UBMGeXGh5WSaVxMM0mED0wGGdBm3
3O8A2SXPDrY6uaN9O38RFR7WTWNBmlt5KsjGa1t78bfB5k3GvpOgFMGcuswSqYpNoKMBqUt/TIw0
3Aft5XYHeVxbaDTcEctQK++GxTcfzwkgD+XoYUOip9c8AgFd1sqz+68O51NwS3NyGVYYyifWNFqB
9ZBhP0PfDk80Cvo6Vbt6stBUSd9pDXp+jYhCW5Qn7cl876sKvhYJhpsYvi3JHpDQLR2nIKJy69HA
As6q7GKXyMyq7dh0BmDE2cgVDq9DGYLTpny78RbPqjZkYCH0DVzhLLsWhB7pTp42C6jBnUnMfeaH
V9x1h69cQxNIbF5R7812no89QYnBqoItjrLUHWx/y+05taI2UJ4fxQS5tBGHIJ/oKnTr4ilhLVRX
jWtRUuiOkncflguXC0QW2ReGbd28LRoUjP0wIR12hMhAenb6ojSC/A18MMVxLMt7DUfMJHHW6zY+
RI6TZgJ1JaBXUUDATqAgn+nyeqhR45fAKqhcbCzRpxpgFgx/lFCHc7TENTgjPXytnVke3CxoyZFj
UAVNBCbGUHTL++IUvr/pZ6u8LqQYdzqUjCWLbIRahBUxC+AL5stdxdgb/VKShkDUQ93f5yTJYrvJ
msxm6LDUdoTEu3tf3EQ9xI4/eodO1Qm2ptxsJ8pHP3zwYlveD0Q4QP+lekGkIQgiiA01yN0gqvkF
HpF1b0wCnf9swIPHXMsop076HY7fMV3pCRn9eoRWzyGfLdedhtSH0LKfo87OOwyHaGS5rxWSW7Dy
0BvaJDGNO6NKptMcWAG8G5WGa9JijS0/sAsu+kQ7m3Chd3Ac7MGNo1QRWsAqIb2VgFUsiWmmmJwM
VlpEZtMBrwAeb+TPbmbw4EzILsE6T7n731ott9gbiuog/qjGTD5LtADVSrNKD6En6rvMRs5GSd42
FTRL2VenGgcDOlddhPbG7olMXErHVDvuAs0bgy7hP/fG6GGuGAJPHA1ZNOdSFUodVau+40RzvyG2
Mi+CeTwzcLA2P1chdtQDuuU0slM3vA1sEDFMkVR+H6AX8Db5rGt3L7EO+Ew2p+HSneOEN3uqPYFX
uqqfFxLMkCSrNL6R2EXwSRQdFU/IQcINmRN/j/UreNAhH64NorS5uMwhB44YlnzDX2e2Mb642nWu
HM+Id1bdOtcinca3RZx5FTU9pQ0IPbnzYZM8SWwr+CPsabYjx5L6KHF+7AmdrZeo0LN7X04EHqc+
+cor8jOb7porsb/lvA+tHamRcO9zX5bIQEuU5C1mUXVrwlsHSTcQCHJfZBUrB7XhhKlubpOJs7n1
3OEi6SqAngPdhMHLneQ+haoCJWhKiMZNenWZjrhiAE4R9HSw0FjcO2fOGJ+WbGe7Mkdt78e3rgEU
x3R8iTWkHkpvb5ioVXvXCg8MASpgT4Ndb/Vc5w/GkpT7shzOoR2Sonc7TL4zcy77/5uj81qSG8eC
6Bchgt68VrFseyd164WhaUkEPQiA9uv31L5sxM5oQm2KIG7ezJPDrzZPGveHjeLZu1MGGZjDIgBg
VfizvYwcVbfCw5scsVdVmvBXaWgYvCvTN1ltQuNibaBF17T0vuRWVr9EHnLe3uSGB503DP9p0Df2
SA6i4g9HYjqLuqn4cc2J+OJK1WGRitLuj+JlRmnTSA3C5GmmdSH0VQbeIsAIoEJyc6Am8Dp0LECp
95Xug6ww+R0AZyqwloHbdBqUQaNGvLxi2f71/bw8J7yV1sdqW1HDog55bm797nGD5jyBKHXYjyo5
B6wNHYgMOmwAYmcbQUJ9kJoz6jGuQDFnAzrqAzuXtvvwZRkQt/HhitC92yl6EOLGrAllNyJC88Wb
9Vd1rfOL9onkxld2CFDhEnXNRC9n7aUvG1VYROtz/GnPvQqsJT2X22NRM+RCNQN7tpZR/IhzKPR3
OpwctYtK2Df7ZDXdfdSqRO6J2eZkhvL1T4XKgkc5Zv49zuOG57uv0vSeS746R15BBKxEpX7iUV4/
cInMr4QeUAI02ePgBrmfstKRa3N0cQmdVnAVAVJcTQFELqbiQP43+FziqL6vy/F2CkZmBLO18gE5
AAWtk7MCO4bnCB1quXglj1pWyrn5HFheEkEViX32CRDiuJjhqaZbEtSXxF8VuTOaUd5pqtXEXtZx
SjO9ueuSESiJyPfLzu7U5Di/GlOXwcF2XTWeqcQE3rOCcPo1qaT9nMEwwNLAnL8LGupAI+2vV+Es
IXrSMI8fcrWcmaMzgKTxhyQ5lxHIyqxnv7ieOE67/iWvxc2pD0O1fgH1jvwmipTDe0lBixML5nvr
C6ozOAUaRUpJzac2Ut2vbeiKexGRIKjgF5DiVf6+jiTN6maKZn+HBhKeS0nDLMRC0LJMTDGAP4zJ
R8Q0ecKeK06Jb8U9kfIF2ssYXiLweU9Tnzq/CFlO93xf6kn6noA9u4V39Jriv++kK8ZTBI/ub5f0
TbdrJhCX4xqpE0aq4m9JjOEDEEknH7qlX6admdf8Z0Wq8aXoRAUM03YM16k2V9f4+Y0wL24ErHTD
i96bmWVrJ0oEBZ9+UgOGAjS932zBfwOdFhegt+YyRDGX7XItIa/Va/WjHIKtI284T7Y6urDhf3mI
8TxGce++6Jw2pSuSJh600k9IuNbdGNPw2ZVukrUEY842gSaWpQkpR7q1041+A49CpFMTTL1BB/AI
HDVCkheLYAJwt3cDmd7lqx8R9stBtC/BhtPbepW4Hyt/iP8iNLaGN+j/gzAe+ECgiCPSs+Y0gykw
p6d54c7ri0U9FkMTBjvk2GIm2BBZ9AThA9ZgVieTvYqBR26MihdCA5bVZIT9GgiKol2gLqyH3E7t
9XO/juMnCZrivRwoHuDYAkayD/WcRFnort74TNqqysgqLjDFNhUAZyzJqZbPBObjFxa5o34MVNsC
G6b1GENM4OWfRLnp6AWDljxM1eDhxpr5FfitOGs4H1QFuX6E0R7v+zUsVaW+iPjDww/j5iFv+vgQ
1vXwmSpVm/2WJtxQNzElZ5AuRF81F8/2OJEBhr1l5rk7c9CI+7U2LXCwJreYJywQ4mhLmpeGlG53
FUPSBiTQVPKb2hHPPTShn/OWUcS6SpXXxxDjU8aiCUOIMiRI9hO1ukTI7UCEpK5r4HS7LsAJ3tOa
XWPO8JLlzcZFfWq9JLyuQ2N+bxulpDylZIIKLxIJ7TrEJ8OUUF9GbUEJWBROR8YOw/ySsFD7AXIZ
tsbjZMAiZHVgq0uS4lkB66nXo0p8getrRU6ZOg7SrdSIMozZ40CBkG37Hff99b+ES8596RhIVotQ
y5M7NcF34Y39eRvE+Mq5smQztTP5MZ9Efg9blq6GmOWNBN+HcRcSGULBIST6ua+bVVWv29xV8WHy
Z+MdB+0gExCErfYL7dkfdGwbyHBAjZzKOq+gCvufTbHJI11jqfpZWndCs2pFC9NsacMXk9BoxgHi
Ov+olFrB/tkbZHHyuHdH3WoXTsMm6M9DWrAsZ9DZ1J7ymXV4QRpZNPcIWTzHRKnMHXxLHP/SEJq4
cJexT34qvOS9w009PIfE1XPe+6mInoMkSU/IHX5yWst4YLTvwY3YIMSnVRB/K2B/TR3J6JIrwDKG
XZhp1i4jY5XOi5NNeFg4hHPWXVENWsiZYDh/yXQZ4gO1vrBeqs2bVEaruh/saopG3AzF047+Hqki
uoN73MIxiEHIQhMBe8sVc1Vh8DBzR/7OMXCUj42e5v4SqNh3MuZhKvtioCqk4eZa/qQRwrCAEdP4
BlVmcndQuqKMgZKpqwyISbLfZTEUTXX1Jms5u9kgapc7bwWXLPL1dGAmtBO5eDS5LUvaPkSThgAW
ejtszDkhnCVaQQOFIp3Lab82qLt78mDzaebpf9ucBLYx0HXEaZLuWu9jUid8kmvvP5xRRAa1HOJP
/tvxVda+uiz4bk7slsbfm2e9n05q1veEzPOCPWLwYBn5BZYsT/kb4GRSXt21ioat+UG4ZBaUknVy
eIEKztbTK4k0s6ijM0XUKoIt00/dta6CtoMPYeJ7Gi0CBv8479VLlyYCmlvuGQHpS02kiksVj185
XXn9r6AwW/t3M8u2chDFjP+BW1bdcaAisQEINkO+3WTqlrz1azv/0R3dSvstB4J4mJexivYLGzy2
mSGrjj0xixy+5YJcxoVl/q0s9pxzz4+Tmot4fshpWpSP6xyJ/cyrBlVqlCNvePIt7iFx17D5iswQ
/fYsJYwHON71uaeF8r9+ZYeyC6pRGXUrqtmqi0YmLy7M4f51rLyxxFkMUotNoa6ypbbxQxN1i4TI
MoaGaXrqn9g3gKulkaWQ77xoYo3KE8UNbAyMKKyA+n78wHmQb1dwke0phJYNXc2qlDVlBfUJ+M9m
1fTgeWWUXlwURnNManPT1tE9PkpY11m1wbL5tyhv866wint55Zca3LFscGkQarUYM4OlDHIy2Tv3
fYmmfrnOkHZvb+W1/8KoiU02+L/gfvtKN0wA3q0XjXzb/Nb1rXfAs7F+qrZmMFpL38hrw2kxXRZs
e+4FF528RIO40RQTdAofbkb9H+I6lJ1UgdtLe+UFp2jsayjQfrkwHIGpq0cb334LzPIa0fZONKn7
Chuf8CFByi+ZgM47e81A+toBf0O/O42AZmFEyLFFmveQQHJyGBuKaB60cOfmAn5m2YcLvVVz4zp3
bGTVz9VSW59jJlvTNXPrwX1wZ+2+1kFEJ3XP+MA9GGJplAm53JxB5Nf3oFqaD4vj3aFNDHIyNDtT
gRmsw+ITnvVwx1WcxdkS6GptuO5GzYcH+um3M8qN5wfHwg/eeznROTYUbXm/9IGzuWcuN87s7KIA
LfoTS7gsj23jD9EN6Iuww1K9B7rb67F8Y1KNPZACXP3OOSTrpt1FaTttvwyMinAF6diq8r4YaTw7
cI+oUoC4VAeExX07eslcHQKtJmGOG/63KD1VfZTmXzHI/S4LRW1s8N8Nzw2ku/XRYCxq5/TiSN4T
W1aMpi0uS93DRkGttGq7BprGMk7/IqDITE7gjftDjxnM6ygoU9P8WYdl4T33/RSXn1GZrw0mAMMI
2oKyqDBwwU10xKPnMVlnJhome1r7EJBbW1a1c9pcZ0DwZk+TfnlmTHu7x+jAyEum2wGfI2CP4WAp
DRgYnSNMH+dgVFhw6K8xbwMLGJgmPJqyenf9ushp86kNmv21l0rUy74P6Wpbs0nhGyaGvzWlkJmn
ue8NpxRRWqKzhu58DlfBDe+xq3yaksBZUAc4rjAwDyVXBMulOPbQkvi4BOF83+TcFlgwsSxjREDD
Hp7bJZTLMyXzVTvA2mrygn5ObDlxthDwncadD3YBnsKikNnOYAQBSbqr0wAsogISDNpuQZx390m7
WlL0SNbLniRmXd7hKBzkEycHLUiYsS3rQEqiKlftb92Xc7jnxwjuFDQrxQs7b54bo46U+c3A12Gk
q17sy9JO8d8+iHX84SalX9wzyA7tYYbhVcDHxsS8hyIYU6Gcjw2vRyeHYszzh778g/Rnaw+J8Zvu
wLKfw60LsY5c1FC49SNCGhnm1Op5vlD/aAEHNnma/tWYdlqT4WAK+/6cplFP0HUl9xDi6gxvdiB8
3Iz1B5ZXc3yNlrqlyhD4KJoga+Ii5SIhl4RJfVmbqvLPMi6lucNABlQLQZrQDBAw6ir+6Ird2O2y
3pHS5fIMljw8NYsDKYoqQVW42xs1mHQzYKVhF89NycKgkagxPrdxLCZ6V6SDD2Y83nC77Pu4q6a9
TQI73i2Qn6uDzLFvxRe2F7Y/x2mxrCcb9Q7M+bqZIC/pokaOInMIe9nRJVGqE2cDOfIzKdzeZkYM
rIObehXzX1YwuOSPfjKKgvJJQXhRbnhJXmjNW5x/VZILtG2eCvXfUICGEP+gc1s2wEFHfxscukht
UBt9Uu1k6WPl0LsHJ5k3qNgv6Bvir14G02fJ7BPGbPCX6KOQVHUgCSMFs5RD19upYm3GR78J+Yql
pyX4qWSlLq4ya93vlw0n6jNGVzLLO6lqQbGlUXPVvw0xtJp/wkTlepZaOf19A/es2oe53Sh080rp
/a6i1mHZhUGzcO+KmioSVqmhjv+ZNobXyjnYtQcPcdnAoN08jxg1QJfxYeqD7t3xGJb3hEQhekBd
sP1xBTwU1nR5bYgn1DxhsyE+ctkWnAjvo2/b3B5qKcLqsUasp3p4YFFwGOO2dIBk9Ioigz4fi08y
vp69BFQsUEXHjiC6GF7Y8RfHo6JHYG5U/SMX8aofDWRDcaurdGHDJ40qtjtiLmaGQ995vTqOJWcd
b4uxWqbbMJGADNuKUgGphoG6HVNTOEHW6GYVvCo3ufxOIkytXxYxNLxHiOLyvEsdXgFvTRCR3+8Y
HsRycl1IqRR3bJTlAlbDeYgslJo0ZYvq4PdpxhvsVkWI+S1RC8wEFBd2x3hzi2Y4jFx70ytaTm8v
VCWG2ye9W25wHUSOxx4vlR7STE2rWi74dLzhYSIxlfzjf1cGLSeYe/tIFzzHwgVphOFsIcBF66a3
8olk9AFaeZkrOIPHEi0sP2JOrJtXhx6JPeQ7pgTORIFPmJFqmZgq/GZOGGJyfjSPUMa79GfU9QMw
/DGaVnOd48JvrwbrQn6ihEeJ5yXi/5xjx/HBQVSOIQW+C8h3ccdKJQ6CZzvwwtxvgS5I9erV0zlJ
yKIH0UzhafumOtX5r5wfmCpO7Nm39rWqWxB161RC2wF027brfSGSyeHuDaWNKDbByfFH0FjR/53o
9in+Roqq1VdO5J5NlApMnmnOGhgEVPfeoNDY838wgiXFeStQmH7HOueqcqw9tKknPuTz8LHd6N3H
YgVzuLyOZFWC+8adLWgCRn+ER7g6br2L3HhtP9eyZ4u69tVaUCQ5qjI8Aj+s3X9BvKiJymCbvADx
57xjx/JEzsIjGe9VIV/kEzjCPDA4mV1wLZc2nsaFbiLr6O6AHDhMvyflWixm3GFGaJLTSLkei1NK
Bqs7ZBBJJwn1PmFKi2XC72m34TQp5XedlNs0PU1jvzTfXh4zFCJDlb2N9s3Evd+/d5M6XLi9oFrt
y2EYIX7XTkUmnuIXINxTMbKLotIOKkMDGNO+BoSjlHeab+v5N7A8iTrLkTcpXpylaaiX61JYjF/R
tOVKkXqfcWtS5CKnbTnWDnueZc+Pd/AfitAdg0emqLaBNygxbjz3+PpcbB9Yt+oz9hPV7Fre4cVn
7nlURR2UbdeClf5kIi6r0xQny9EEoOUoSZTeSwUIMqKH1btxiyKcdcswtB8EL1ds8pvx/8hZ6q8J
mPwLpMQIwI8UANQHFQUZoDNDA512qvRR+NLHsNsGHOy4IuzWnvIkpO5TJ63PqN2iANpD5GinH1hf
TPKVPh6gi2lu6/avnZD9nvByefOXN85eyvtnKALIvSZmzttRlhtBzVFq5EO71TAvGGmdYL2H2xM8
wgsvjzof1pmNkcDUSYSAWgk3JwpgBEDUnXAJVlBhk57zZGCHru0gz1sHAmvBF9aSTrR2j3zYZ3au
ixsZct5eg6oInqRhbcUqZqi+dF1FJ7Bi0TX0ozJAz9R06oRCfEVRwH+eCxSeaMuLH7B3YEpG0vnN
dTM4mTp071x+G3tnUjQPLryJjnQ8oJp0YXDVTthkYqs29jqm9J+7qZ2epBTC2zXb6NDqWecRi8U1
BAyuu8zzN/8hXQuHxTEa9KVPpvbNWSDOREsXv3qeFLuJMEsD1MUB6sVaAoMfJ8SPjsn4EFfb+Blj
I9734FZPcQsBSMGphlczm6tI3RB8baHVG0NTh3gmXMlSNoVB1bqU5O6VB6YUwbH5BP3IWplOqX8O
xcjrE6sdKBubboKzrHP5x9CNBYqFz/jttJTeN53xdAhDCy1OQ7RafeTPY+4sZMxTEZaPyehXv9pi
xNniahN+YJjFlxGsEbeDafQvOupgS+Uyv/ciH4lRFBhTIAW3/IZ14O45XxVmS7irJ0MSU2Oa1CaT
NNcdxrDxztX/vbnI6lD5aWvydrwUnEd/YezczXUeP0uvZI1G66Z+d2yIb5cvWD7AxJi9XVryQSx0
0z7UNboMTRARRhc/B8qhakoAIOTQ/rFPtIbELtb1kZ40nBJx2J68wpFUbVqsOLxUQPSjg/o7Squr
PUafJDh38xCd6jUp2LbF2LlTg57IVhipu2rYy+8JopZM6gt2+FBO1CEsiCYnHcngCymrPvqmWk5+
siWg0QVi4UjVPCWcVXlZ8GQ8AYLqrmsqua2DrNzQJ3Gx2ntwMi1qW92+NYKlPYpBsoVZPITNHfRK
pt2B6mzqHLS7n1nuIlTKFo9XVI8jU03NclbqjTriNoEResw9dKN9WHjmwKYw7B5RJP272SOFvK/X
IcmEp8BVMMw3GW5C/wKyxZwnp9b0eyPOXnLOnstotTrHW20vYJBbtlfteFfyDz8xz3Zv5chwmmwB
vCyLKszMkMgzvNH5aZjr8j5PZAr/Ip+xfaVp/ehOMxq0E0XggluwSDuf/lGQ5L245vES/AejZag5
XqJYBZfVoyv96GNw+Ohz0bw7te0/iGOnV2/R3qExMKZqdwVFwK2VrUY+yVDe2zH5ETczl0wokEFh
3e1eIZ3cj3NletY3rns/l1I9lNhZPpMBluNBt7V/6GBwuftbwCE5BzbVMIXAmFyJD/AUumPbPunG
YihKeMnIgI/7DjiKvNfYWcqjbVxwHlMyjtcAx8uei1/Z7RK92Meajd5n52PmX+KwPzMYd0e9bkSC
ttQbvP1kuy8+z/VdmZuCFlRuGwct0vpBNXksdqwP6D3j5YS3kz0nbwl2UmcyuDxuUWfzd6To7X5k
Qv+0UDGvbLU1HfMJNzq/Rx0sPNzEMm+m51QlWwZiNyQMvlTH0L8BM7mi3qfNZmmEbLaKYkYuzs8G
gBWtGtsAmyhO5mfw2kwheUhbj8uZ83fFy6oO3sZsNWCV+839K13Pndc5UNEL8doR7DgnScxwu2sj
c2uIXMqfFe/Zr7KBcsr7RhD7DRy2bZADZobqJlrKbJrtxCo/Cr8VDKM3qTRZ2YWLC0oL/e7e2Wfr
0exXZaYFMiM30Cxmt/XM4DQzD4RUYuEVvvOVn0Kj8Gx4MWhZp5Gyuv6JlDHS95wGy0eRd85jQcyF
BYVKX1w0pIsD15QCC1WTqZwNHTRr7lA1gN78FwNmGD4DhbNvKJBGHItyGNMMMvEK99ktkC83yoGL
LKcLLNND2/2l/WG6SPoSr7z/K/2uq9ZPs6l0hv4C0psmDxWr5D3Gh0k3Y7OQuqezSfK3TqEHccwZ
osfGC+Du9J5r/puC1P24OSISgjGbvFB+1x5IFdI35AwpfceFlzvbJ1VC4NnBXfHfn/nBNz6B0S0Y
/xSL9FirAYBlyU+e+kBjL51IIDdggNsVr/RBBGljZvYdfcBlUKZU9jzZvKJJN8KJWL/kDruH24Tv
5lG8C6F4w712itSnE32aSdaXwLjYqK4jnHpP4FcxmLsbeqAD5WFDbreygOXUp9jfuTEuFs3MX8OS
VPwisSKwJ5xZGPOnf2Ikb7mt0Dg43nEDS8lLj5H/HC752L+ItAmco4gTnVx6JK6AAZKz8MpbkJbj
cMQBksfECDLo4oDAFjEv+JfHAmWbSKZuflBpSHVgcSvjOFoOnW1XW/gFOwgWBi8i9RxfQMkYFJPe
D4+iKpX9MzEU7puUTpcrZ5f47XDVoE0qHPnuRc/lx2D85OGinRrH/TDVIybOYo2PgO5iCbxq3q6I
/eULAG8CI1vlWGpZ7DAMPxNZ4mgAzZm2e6mFhzgKMnSHNBJyBY4Racu7EX9mdWtDuzkPFy8fhruy
mE38LgN+DKfQ29LhXztNtcA6wM+fu+rAsX9OrRniX2i18xExA9NrG8ep5FUCnvkHsHAMtyl8zyGz
RUd4Ho/v8E2mRlne1tTBvCqNSHjP8mXsUBkWQ1dnC+Wwv4BTJdR0cEZL0m0P9zsML6iQ+p2h1JOE
PuruCjKklnjTHdc8g5C3qbtT+dxjqRp4//+wVRv7UIlIKnwDn0aurGMYyvnGBn1FQSsCS92Hdysc
9CuhuEEZTqjMoXcMpTj28oC+hxg9siNfQb+CUYd68ef8ie2oOIYAwb61XzTY1R2n/V1sgMDYjKGh
7CSNI5ocVfcaQ+cFyFA1EcjuzqRn6ZLWH0enXu4F4it9UJJe6QNhMzN/E19emn1e5e0dyIkqfqF0
Jv+LAXmuLpFtB0C/DS/oWzyO8EVfFN+tCQzf3FYj4y1OdA4oxvtbCTNfWa5F0dmmznqP+/evY+KE
g6qKqWX62hZNhg75C4DCMcKnqmh832K+5pitFwffIKTziMWKNnnJD7D4HujAorlMxMYfs7liM4uL
cG3NmYbPPGr2Qx/S0bNnpEud8xgwysIKb8H4tW1wa9cqvGlhDiZChTWrTtKmfO5m9s2nNt1s+yms
WtnCwUrd6uO0xOX6i8bOIN7VXNvVvgVjR1oLmCqfu/hWvRCnA2i2tgsWUn8zhhy08w3DjlwFx48/
osUsIdj+Jde6+1YOlbd3+KJj8h1pYUPxQdYj9VouM/OU/lEsHyklqi12Hz2XeFhWLGD1g+ygi2XO
VNQVkuVGcvbkBKgwB4d/HXEXNeDMN4XzfjlTYZ5CZ11N2EEdtoh513nBk5lnc+S15hqKNs23vaGb
N4bD5m+wZcK3pljHdb2LYnqxtiPXrnHzsgEmMu56VM2O1hyKKxpIldx2hxgLjw0CAjzo4N0INBc3
MEqnQ7diua0/I2OUefNBPVcH8uwuH2NuL1EJeFWAa77UtQ2+N35SDX+V4xTLIRwSob9odJunXbix
oqdvii0mLJY4WTEuydhX+mhm1dmDnEQ780i0wdo9uX0w89eOXli5D3ZUi3hxellFwQdiVRUdnETL
9FQGiOtMSIHVuKPXEIon7EsCZfcFLmWbg1uTRfvP1tL1vt1Ussc8dAOGX2ei8cPHz/4yNJBlrwy+
brj3YoSdF4+ugpG3lu/AUS358bxpxPDlEOB8HXc5RV+XsMYCtXP6mz41zAs9shqBFHf80rKwbFR/
EWSu7jiTin0ysZu64tPHRaiK6btmq5jVeJF8qlhZMaflXF1jSSL/qNMuOPpD7N732Nqn31pZzqCD
8atcH0NJD2R6XIKA8keMbjMFlGu0yvmiKGEUe4+vDz4ITL4/WwVQ8rCFuvoVC2tP07ytlHf4bQwR
nZKs24d0ZbfeaBndkqqCHrmCSPuurObxqBqrF9QefgGHMBgtLGpijxwKffeCBTa/eirs31assTnT
pF4eI7Kjn9awGsigOAe7iQaHec+iVs1PvtC4ZFcduTdEYyrGC36L7a72fUIleHEbSVCM1yQSMQrB
tJvatK9Og6M1/6je7EU3ErZkahjC7OKVz6j7UX8X9HTjZbMzly9hmEq1C2NnffAGPCkM0axNfVai
0x7xzzhPHYiC8bb6xLFeMwW/KndKCLuCWNpvePIoKmqSquPBhtd/8WXvJYeWYAwdFRH7+X2cS5Wp
2Ct/+i6MvzkdE5cZpmaT1mA2F4/RBpO/GXGxHQIadpwsXXDAY4FJm32ZoLWAfjWFOnYBxQNwggOm
OKJuZsOuULOKIki08O1yd0u/FinUO7DzpNiPpHM4B4fcbJeWei4qL4iI/F5vgGsyOLh0AKLLDy9d
nX7vWNHhKiODpO8mHFwEQbc0G2oKtDLVLMEFsdeXx9ys3d4XMEx3FWvwH3DPnIRw8bj+lSGJ3bsh
TqfXVs6hucThNr27cxQjsoixOoUqB2LqpMyTxza2wZluNm9hfHbb4MmgpDx3dTlch2AeaJWOrb5W
YIt2oeRWbVu9XJytSS+zNdEljJrwG0LWjD4hkceDoFbPTMf8uoCej60+RCQ7vuOxqM4tacwzj4o8
MK3MXMAMotu1XJntLi6xEIKatd7SB6UxCZ5BZ1p5dPyV+1srBXtSgbMVu0w+s1hvU0mh9CD1wSm5
p/LSnIa/tlgYbZnhI5S/bd7o4SnVXYUuz9OsrPhKJWubN0ANwQSx0CB4BETayG9I1sa8pz2Ghs6e
lAXAmc2TYdVL2TW3pqn2qgMcWuwUY5iOl350w5rGqkq86bRC1fEHcOI8l2DJWwWZfseGLn3qQX9z
vSZouZtKP3q59fSxQlhWSkO7wlmpgRHjM+UH1XGrRUvrRq4PczDhOxrt+tISftwLTUsGmSBtH9em
JtfCYzcwcTYUlMOg0Fk4cPFgXxwPxzX02if6OJO9j8BJzRiN11fdeHnm4uulJrwXeDcjRHPJwtgC
Y+dgAiBh4+AkE4G9qSzBObJ+L0YUYB8I1x6hp3cuOrGVyCIxpNgKRqCTG+uvq8Caw917JAB8xA2D
wXmLKx7fsu77PVhMKrN05WEKlBBdUUHGKFyptI/5PGPZTrhleEGauWwQztaZ3WPt1+hk0s3FH4Li
8pQ2kfwVajy5uw3k/cUbDYaYzsQ92EzURDQWP/8VkCv6EdQtjV6UgiRXEmb9UYbjcKAmL62+rOP6
b6EXlhsOAbYUPwZBT6wZAvdGY/NJ2bUlqHroouwfKHyVzR8xjtEzdbuiObdEgJ195wvMwKqev291
lFlA6PGlW1UNQ39l6UjlFL4GJVq1H9jQXgaWuc9Vvepna/0mfy3Zij6pkf0LdoaIWarGcISQ31GM
6oEWozaF8a/flS72WeP0DIBz18IQn7s1/911fX7PNoGnrOvA5TGEFBFhbCSus61wrcGvxXb6RMG4
rQi9Y4UQ68LKkNOgepeD01XnMXeig8tOiMvP6NFa1S/IZZijIRzlb0HoMgBbolkYwdql/DdrY50d
rVRkjBu/4FAlvCKyZCRkKAd/dY4evoG3NV8x1yKoObQk6aTg2OwpjdMELb4TsREHc6YETvhgnqh6
gc9c9Bwb+6ESHSoIV44HEsZKZyiY+ePC3eXHPDh8g5ENJT+gfLbYpVG4vI77hrYNBOWonl4ZemXy
EFtbXNpe+/eJp5fqmpKlSOlAYHe/iyZFOsmhYWT4yZqEcp7blk5fFl8v3ZHgUIuNl/VqUmXYVjEr
kAhwHnI+H8MZ58H4Gx9Bc2diyoR2HW2nZLvBnWVefmsFiIYyRieogke8HjCkZTCgphVLb86zrbrf
vd/W8w7ZfL3wr/1H4NF4ZvktCu8aI0C7D4q42uOcuvIqfNOeBd0Xn8yunb1fh3RZL7Oa6JLHkos2
voPJNJPWiunfONCL41/tbVht+4GsV2+cqbqYhe6s0Hfqf6XpmC7UEup/Gw5VGFkuH9hb+TFJrR11
D941d7lWvM+xdbgoBHDrokOr8pJcQM1mq50GvBBYJ6tzk+j6WQR9UJza9pa2nAFsIr+SrBs+jFy3
0tnB6Y1wl7WrG6o/hKagCo8sSvfEMLFMGnDWsBCwrDYHPNzcRhxvsvR4152KdyAHai6D7WjO7O9S
MjXAQjLe2vMTl1dNTQxaM8ZBjDX9hWLYPDlvAR1S2yqWX5FBLl6V0+ISSvNPujx8+3ITkefPIY5W
0mhsefv9mHv1V0V/Gh0lcbl9uDhq+ESz48W9mDOPPXqydZ2sJs6ASS7yy7NuYy85Br2d7vgWoS8w
Ieh/YA7zD29zDXrygOOvakovYNHjwiTAhAlMMag9G59idiJ5A1pAFeQ0sM4UxBDxF035za4m5+2L
w7Fkh8NUDtybHrJNsnBn43kuFhLTJzqQZ5n58AAf5mRzoE2YJvBNkA0jQYjT5pX6Py8a1YvFk7Dt
1iZAdOSjwOa/wWT6UiduBKbe5HuCgmNmu9U9CDWpA+dLla1eglfX4iRbIPBjxwi3ipIUQafba9I5
hbyTsZQKIjVHB6or8KnLHILwOBQrmd+M9RJ9Zi1bKkE25n8knddy4zi7RZ+IVcwAb5UlW7ZlOd+w
HKaZI0iA5NOfpf/cTvV02xIJfGHvtY+Nl9oY3kQDJ3ohrGeMGP96il8MusT4GCO1OyUMxn8tEDIf
fQqIgEtLE0wzS1Q2FV6jnQ26m2MzheVAw+E3bHwyaxeqQIWHKfch8eG8AB0MnKsiNpsAvz0IGPwx
ys5GdL8jn12DXWLm7+W9D/ilG9YLmzEZJfEzsZxExagCxo6Fd56KaY9eY/4WsTKHvtNABShn4dv4
Nx8UWWLmP17EOsW9nwwPtJWE2I/SL58jdJF/xpkCnicGreRwlHq/NHo4o2hhuatMvIDBz9vHhRnM
MZhdve8mwhEpjBsGfInL8nLL52JdhyHAM50uqFVzycaf0c7QbPUQ8rmWdAJbG3fCh53wbv6b7VbZ
X9aMZNIdFoTezpxRleNLJghcECaP6UiSaGgzRCr0QJZ2mNhQ2bIkUqhjl4mZTW3WA1rua09Pc1DQ
Delm0jrfZ0yEEfMHM6LQtu8t61AKh7qiC/Dr7yxscMNm6ZiJY68O+WYDJQPKp2LhKeM/425Rho+v
jKqHXtfqHPOF36MbwmBWkvfOc9djKCZMHHNal2A1gXNXnWg3/S2WEPmnxgBHaq9I8EaF08dbo2y2
pAA3IlyAyiDgxGnwQv4skQEg131WSlKYVcFkpTwEosWIW5DZwrkgMcqzLK7DPl8JL0t2reMDEKCt
McQIsgAoX5x+CCQLVb49VvFsGQ7ag0xNzmLtlOtx8NLoUDFKbrZEuiikL4KtOl5YHUadg5ybGHpx
ciGpsGwOymTfkpriPOEzJY9lxE/yWAEAh9hqGPI/2UKh4Eck6aNqYK+2d6wkY9jHN2+tJPbVDv7H
MAFQz5dHYmQVf0WIkQdD9fvEsuyFOhMxo+8TDHaHrDkz9/Y4Fwj0zOjm+6odpNw1MrDUfea0kXPf
k1Hjs610Ed3HQ9MdAoY374hV868pKnSLtlAijuUual97iz6KZPM4Q8eHLk/tTW2lkA+cYI9HluFj
wIYU72s7IUx087uCWOzPzJTiz5N+eCkTGLvnxalMdkc/gJCR2x34fMosgcErs+eHGtbMr/TK7FHx
dV6QsJMUWYiS/AnWhNOs1+HoO/ER9IvrXQRaZG/ruUMPn4GZ+ABlBhPDOjRoXlhelKyFbDoyEkkp
vV2xYt2gURgmlKZTHxOUpKNpF/MX/ldW8GvYmltRsoUgT0hm1DtYGfN0iORuzqj4cL0gMXkTE3L1
vYwRvGxha0bHecwlsQJp+9iMXTby0QAX2fDTEKXpI847qtrMpITMy/huiqX9F8puajblHGJlrkMq
tJUoxvkxaRAVrCd7AZfQoIC6FyFjp4cpWQyfjtegOBVNz0ZZpoJBNjE2bX5eZFJeLEHE7NlaPJQs
hPllYm8RZ3dyF2sG4e+Ep9KT8a89IXbgFA6VuIO16cF1T51q2cy2TTwq8t2yOaXlYD+WWd1vWFnG
l6aZSMBDUqygZiL5umuoLyTEpMVnRVcg9QuXHr/UOqos4iuWomJuljDTNl/jyAdU3oycMRL3oCN3
nC28eSTOk4hkZPrNdk6K9hCMdX5uJtc+QF2a3Q+W9RJddUHlkObokinqhm54tujo/TVdv5THOQ+W
A1utGRdcp/3r7I9x9Ig4go6ubbD5niP8FwujfqIgKo0fgTAgduGug7LuRFYYcTqWi6hqDVTVDT9L
Z/Lyl75W9cRetAZAhB0rcqmPG35ftuUAijFydanzgpuHgwGJg+veOWMkH4pYE3SWqbFiRh+yBcGW
F16R+EfjBXW+oEl3Uo4ByRSPTQX8s+4S+cHS3eEXLbRPj4M5gG+lL/7ZlHb+q1e1VoQeLwwM4Uja
lnfGJPB9mrRBUYEln5C6LpAxLWIGgOHP8bXakXRjB2erI0yJDIFEBXgECORijbViRmTLgAhL1lts
3T07W3VinM+8KN02CBSMonKKNqUbIX/P7HHcLxYTxRUBO1CEiMwoYlJ0VXDKZ+pxgI3hfYWxA1PF
7CUXfLst+gKHIiGk7zyXsRt+G5l3xCUMET6VJ9fCVHIAGIVjAPQBRuAGqi6EAsyUVVPqcwHilJQg
fFD9RjNnB/lAtll2P9JBpPvKGxh555rx16opSKvfe42FHzgfOnFf9I1tvrDJBN5rh//quwv4QdO+
qvNdO3IIYoJWENY649wuHBGSPRqOYscc116OPvOi1ewM5XByQhu3o4FJdz96CfJKQDs+e456moOv
cTKhc0gGQcON1okNR6pC7g07r8f5b5ZFe+1ZcM3go4xCTAhKs2BwP9dFIf6VQ93k7ywg7OSAsiGv
/rf4RivShROhj06Qk9vbenS7RUA41kaVYyVZr4vu6FNRsJEm/Khadj2CLl59H2eLtE0V3dEEL5rf
VS7fIa3sfTNm/XvMVip7EiYQDwyHlmLT61728HjYfrVr/BjWf5Xpewd9juhPLDE5ydgNWvelWKYt
Es8Sw6hA4eyAXe5VEZKIUTSwPxCw56hIG999tcYK7Zf2K/ENoODWuJk8T/JPFTkTS8kZbds4TRTU
Ia9GEjfsceDLcIS4Lj7mNzS1KL/AdHE07+A+oRLtGN+KbWSbZTxMgQtHqmSw/O4VNWMVBotkuaMR
jpE4Vct9weQHrFeHimrDL9/gw4XqSsxpzvK773n5sFw8E7Ga7ZVOKrKfuPtwkDrGao5a8Xuugi7R
ERwcLKmPYz27w8VyRIxIMgwzVKOKPxJmzk34MqgLr/J0gcXknHJdlU+BMYKoKjsOfpnwS8ItwmFT
TnKZcaFQWYJuQ959Q3mp8MPtxttEJLvtQdMFy9qJuXD26RH5HKyw1HsPbcC+nNHJVBXBDwt+RFIx
u7VV3vjFIzkbAtOK609fUEiIzyjQT24X7CY2Lk173k8+VcN+qqzYB9LSdsG2nHP7jdAkXCiN70Ps
S9ABDwdeNAEcrk0zGKQ1oonqtARG3Xd5qV96iXwYR0liyj0MHFNsAtJ7iRic8vp5oV9eByYtH3oW
3xO5LPKWLCIXcBFo0wSiwf2AWGdr0er/x+uPK8pSLtWXgxsUYNUo42M7jZM8jEXHlh3j10LuuDbT
nthTy38uejKugZeoolyTewyzADVXyDheglH4xF6+8MISaxVdVM4Ua01j3r5LfvAJ2IXNCVdRUpzC
MI3xxqYWA1B/Uo5ea6mWT0T1ZM8jJyYCbJihw5F5yqo0YISYIFcj7tAbrk5aLMwLWCzYuwGDWb6t
WKPeyEbIyeOd59iI40hCjWwWK+ktDyh1gt3AAdVe2kRkKM/sMN/dcLTnyeH6u2Bh0u45ckr/5Fd+
ZdONsys7InXvvTvLCeEtEVzvfuVQKqSDX7tusSRYQdXuUtHJ9KFEJ51/RF4THrsA4ScEq1EJCAyZ
Y5714FSvsqHmK6NkJGOxL1pY8M2Sb0QIx2YGLuXb7yZtpp+4aqzDpBqXxGJDAHJpBWJg2UxcRHCT
3a5N2ffuE8YCr9xRlFpoAksB4clPs3QmvtlqidgahjPkBHYGkeerjjkhEsmjrMZ4K2IGVuWOHpSS
a5Cmavf9QDOJIH/xmdZakX0pneXmzp29skVHZSb/QDxqdqpQ2ROUrNuM5mNajjoOQ28Xo0hEJlXx
rKPRjcCDJ/UUHbwmyp6CAO0RWC6nfmmQZP9GXizXLtqn+6xV/X9TUHgOWlsNYyOx7TMXqWZ92UXv
NlbLaZV2yJF4unxz1gjXTw0TyzXIEYWBk4Rm+4ldDQ5Bx7CTO0Up88mX2a8z1E0u3JPqa14sexdP
OCIp0WOyBF0bpNI2dVvWG/RDCDop2pv2fkpsuKWZwd/TMeNwtzKMlveyGKu/YjbWya5tFhxd5wco
zHpK0shKZo9NjImuGcuJ+7Zpi9dMjwiI+fChnAW8EDqM7X5TwWISL7myWIK2JvTwKwZIGW/+C4QD
wyCONdvo7tKhlkcnK/ryDzYCdonUnxiGera4HZQz2zFode3PEvXNZcnm5SfVwn+1wM6Le1iNtXVm
bJLxsrANJNWaNAazDWw0Nq/mf1mCmtnKDYumpzsW96LF0MOleKxIuj0mTADD3Zx3i0U8MJmVXKxp
wgmfj49cxR2b7CSqdrKsnHlVtE6+J3eW4MUccvp9oAvuB4s6CKQjTxRs/CmqfxgRQxwl0mxACKFu
M7B0UIdliRgl2sQt/eK3LI+8mAO6Ma879qg9/VUZzbG7jWsESaCreq5C+GZYZUjVIkFDQdpI2ct4
+a9tm3SL5F7ceegAqKMJIqJbdxP0cP1AOmzV3TKgs0WwLIsjTN0SUCqZ7ZEAZwPsqMZwi6mGwo1d
GmsiB6fUDrfItK59yfTSTJm+5nWX4mJrcedcynSgNI/nOd/ZIy73cLRH9xEMw+Lunb5S6XEhLwFd
ZxSmLy3TaNA4Tt+lZ2qN5KxTTC3gSCkiOO4Xe+W3UVQ/sTJe+kf4iiivIOIpSW6ZYL9Xz1XnnRq2
6jy7oBeRcFlJN2/9Abbz3TLPVYYexyIgDMsrhvmYXddMFLaHk3roAN/ip0JZuEE7PHhrkBkoJCM7
cet/3SLrh5Dr68vLlXyeLMLOfMtwLhUpQmbHdqea5W/Dmt5H2E8qWdm1O8Qy8nEInPptCfLCbFvd
mSvzRJE+R3hZRLYmA8rWn8niRA1wMRmxewidjsnGMGJZ1z5zh3+EtlX+l0+r8c+UM7bUPp/Ep2hc
Yt8RkEgs6b1gvVSO3sWridfltzbT8kKd7N1uLCY25PqEahGHkgarfSV9s+n/Si2T7IcOI8PeoJak
OMmlx3TOYoibV7DvWxDKltLflTIhp70TlfzXmiB6C5IUgAabbq591BY8F2xZlX5hGMibuR1wQTwE
lnbiRySHCBFXlT2zNJ4zGbyHsvQvk+UUzUF35Xz0/BoBhDs3Vz/TCKtsP8K+qAz0qC6K22FlZ/18
yttAfrUdAKrfGifGT91zjLLMDOv+1wRV1D7E6Cy8IyzDoEZZRhIEgBpuJsy2aMzbL9q6bv7DQtUU
G2zJ7n+d4wbVk7hRPmx2AR56yDoe6n2PWgiLuKShXHkilqeck/ccmFmFcECE+61dHR68yENkIlrS
2b045ClXY1uvbSGMg3LD67cABmjAminCNAMEYznmqKKmj270w+4T3oabU+fMif5SbmcMt3IWvqM1
MOqZJ8Xp34AIEma+nqJhkOuJKSAG7qZ44owAANObFOmHYmTf3QInlYiiu446fACA5gDEwu42+oeq
mKqUjD43+YekXdQbTmr3icJ1PJFxKG5z72j4Kbqq/WjzCdNFniTdAYfH8KwABexb2bffGujTQ4du
Ql2lnWSoVyw3OoeDe0uzTjObZTN6SGBVVD35D7N448S7MUeogpHWkzV/TTYTNlrbQQy2Fckf35pX
BSRDL5kHtJgsYDVuohy89icnN//kQsFErACBFQ9dSuc0Uzm5p95nqYL4abHZuhjbyexNAG/6rYDx
UTB8y0FXYDYRYs3H6HxS7AlILGnZ5bDEsBTzRE/WmG4ESGGzyxN0Kh+YGHJEgJb29cWuep7+lYuz
pr0fMQG2m1rNMGmCIVX7KBeagVmDZojgwSLLoHUpjFi+1LXzFGS6pCAfmAg2fUDbsGSltPDYqj4A
3Kpatzna3lIHaF/b6W+oKcfv81QyANZ9ntxP+CC+SUDq/GSbsLpDo2a77FA9cKYT8IkYcJoql/RC
n44SSvUF2zA1TZfYA55t1via7AMDVDYoNVaA70b2yXLNar+C+4quY+8Rco86OuXggeQW2xvjdnN3
SLl0ES7zRFfDV13U4TnHilKzNGyy4D/d5ZXNhRoXtG2ISnlmblDILr5gwmrK1yqD4rjtqdLy3ewW
ybZ04RPvkrid823dk4cHgqKIq18yCQPn3QsXBwmDD6HwdcS3ULxLNAisRdHMxukJZqV7ZelH/Dtm
UFRitohaohvhSfo+8awrp02bfe1x2Lb09NW9MBMW6wyl66VylFBrYazgiel3nG0LB4bt7+CmIw8I
JNFw2FPa4DeBuEjTq91jTGHjblg7odiTU59aGy8asSmgNsJ4GWRiZePy3BNc3h6pKq3lsLjSsl7q
AYz3Xo5pkt129k5yv3gWiD2vmvzuThnm++eBp4f0QaUi6kCf8ewmSbLhnud3eQO0pUruoBYxcjeg
OGkI+GAlQmbhTzr1Y7HqvDovsHGkOa+F9D29JwoDsfA8OgYGWj5jrvDo1CEX1fOxmex8glPmltsI
4TfDM0wdR8cLIKYLObJLIX8SNV/pxM2295rknqVIfq2CFkVI7vnVW1QCMaHDadJvtlnJD1RPGwqJ
0Uiz0XDy3cIiWaOK9IBMWUFSVWjYlqBUX0U7h/qQT3T7RcjscyvA7ewSdhZ4YEsB3SAKwPu93TBn
xE0zWy+3PbVOtPI8dqE8U43bb5GF6g2eLyhk+CzgLjFgui3jIUYC+WrqW6JnKOtHBvEY/LOyZhwt
UX6hCwrsjCmKizurZlYQYPyErbnyioXIHUtpJipxONtqu7jMLXmu+tmJNzJfjPxsOZDAtrbMMq4Q
Ba3sOcwYXlxZJFIRRA549gNVx5y+LpyDydZNUoxRNE3Hin0i9JlY74O0YZde+PMJKT7gNyijhxnP
b7vq/JylRulogXHm9ibbNrT6PZdhFtirBP1Bx+C9h8mCcGQyP5LPcL5nCLuAbHMcHG2o7WuS7u8G
nobrwmNbHAf0CLjgBtyy6GVD+SrLzHzDR/HadwtDBWaGmh8jYahzqkMh7nMmNP/oLGNUir0q2ccP
tfeWx27sHZhu5/cprTL9aeH1yRPiFBelxGxYTicmOTMvYl+WJyx2A3xgK8bXPgM+7fuXobZARQbO
hNvIZy6+5cQKPlDMWM8E86IM9ZUPaRfsyHkaIZ+k4FzZkRNo9d2A6LpTda92tF24lXy7cg8afcML
+Up9c5b4mzegI27hPiGROms0LuUjIZ7uggcb//C6cAyrf3Zf3pYt79xs+QX1daa5fUEIH9r7EMsj
H5MpWsbiUwH6PxDFSQWdsHZNG4vHUA+CpeacoEFEXuAOb2lUNb/GYQKNx7hvkOcRaX+XCbKRV6wf
3FePRXp9JN7H9GvLtVV2gHgQnxPF5Ycb7jY/I6AcF9HtbVPORyMgG35ThfrR44BktL8SG1KIOwmv
cnmRUZ+pzx5k6K5uI6C0kdMU/sZdqKseFya+G+n084fr4u28Lb/+wThEmGR3gGnrEIlVPPbtF3lC
1BltPapgnbV5cQ8lORwv3uQxMWkobkBeBTaaSjvoDxhrE/fY95QaowzYm3cNf3BVWnP/RQDk9GFZ
GM9BWnW4kQa9ByoShDwNXX3Ullszzgv4EdnCzbJ7EFKjt1m6Mj87EgrNMyQMN0YJFroH7oylShC8
omHZMnAIP22QFhf8mgWwkyZilLQol34RifWmol6Am2Nl4x5cAX09uOfivzSyJlbKukgezFBX03eX
S0R2UxjOAtLNqPa+M5Z6p0uQwOsRUT6JTlCUPrvQhbHaNjjGTRlIb8Wszn/khhDXku4V4YmX4vmo
ZfEDoLY7A/SeFO5t5T1BMc43VcY5TTrysFx9ERUbMmOseu/h5t+SFYypNHbmAo8JJBYOJntvU2y/
pga7+ioJtf85zPi/aYT5mib6+o1j0e/RO1rZm00ywRVnQ/uEG+YbTar5gWafHiZoMwzvi/JUIpU5
eMAEGcH7LXHZygRHIQSgn+xmYV5Je7D7Nbx1c+coEum3A2GfjHqqxL74vgy/VcdhjfIn7Q9lVQvg
F6P77jJMYEg0di7HwxCHh9ANWGz7N4wPMgV+SkbF6b8l84sXXKrzD5hJC7pFEJOihVoRpQZyajST
WfQ4Gbu+Kn7sT9i1/RMVKqWYDy4IV5qdXUptgu88d1sMAkJH58jW4XyXeGko9hhtsa1M1hTuTXaL
AnI9OFkCV86D79Q0X1QKWz9FS7+2O/C7MFdRjmpywF0k91SaEJ9ZpSMx01Fasbayk2Xj254ON2iK
svcm7dK3kq6fQ15FD2lbqmvbZmCzqGeK91EMH1lfBnxcBYIGpbz67MSx/9kAcnlNPYKZczHk2SGc
2Okv/vzXptLs82QJLmVLlNVB8uJtPW69YdUHrnjs6h7ZTYjp7n60acS3ZghHnFthd5w7j09VtMMH
9ce87XHG7Ah3iqafoK/scGfBXNk1MAPyWyw761Fk36hkLURyim+LIJNIxwdrqiN3Yw32VUa+ebBv
TRa6EZ7f1IChRGAc3blVHj/bTBJWXFLlxmfrxW6DBJOTar3syJR+O/uF2VWpoM7CYt7nrPpaedK6
G0Ga+Bc9pQDg/Lk5WWOWvM06vGK1snYufL6zjer5UNeOfBKYyfdL2cz66BDBuuEsaukXkErXG8fz
3FPG9wPBiO2BsyJqz2cTMzqUGX5Zv80cwydwd3y3bJpSdjx9Jt8b9pjLwUemcfG5rA55GtvvyB+I
rkD0zFJVgP0I+2UsNsbzJeHe2fCNNFO9RHmDFKgM83eEmO6xJjByW46u9lDhg4ZE4p3+silKtxnZ
rKsMTOYqVPxc9QTLKh8ddNM0VZvG86BgFcKQZS8N42By5IpHjA3jRqcyek5ZNtHSkwqGLMwK2djn
fpmS0wO9C0FFZR/QZJk/PbXTt5c7FeXs8IXecNqS9j2hVa3i6M2SMWq1xLost98UEWQzE4XBO3Ij
wGC7qETIYgEEN6BeOtgRPcDQ60NBxM4aXJ17h5yCRlSKabztPHN7VU5EYAqMNvyoC7TcKkPGYbuU
OmBP10oz0fYBU68cEjSeWFABi2buk08UTL1beByHSU8igmqPoA8UOS/joJ6iZDnwWUfbtluQAwqL
9R+W2m8XacCmd7R1mjJzwlLNtLINh/yfdFK1sgaXy0/xqS7QlYvrMkdSbsbQkHsC8UBhZerWtJ8l
FxpAro+EfvdWsI19f1sJUR6iknoiR0N+Wio4p0Gn78AFJO4pShwOVQeE9YM9IuMfoD6tccdDMEVV
c6ZYKs/BdDOfh0gtfuLW4fMOShxIUSHDHUkhpJOl6LbeLMf6L+/Ag7nZDGgRn8GOuYtm5YgUrOw8
ApABiHIRS1Fdi0YUcC6L0j1Kps2fUnTN3US2/d5QDv9Qude/VdU8ljeHJa9uLPifCTta2Y7lfJm2
fGxUl3xIOOargY3oYyzDagcZ3UlXJgHrus6DiDjWNm641DP/p7ac8sKFNZ0CKq12ZcDyrMaebJ9D
RzApFeSNJOcJcCHE7tyu0JIb681LbAC6zHL5BKPhwJTCZgDJj7l0zC66OZtPKHtQW6c57gVEId0m
LQXTA2rbFSV99N5NCVaCsREHZEAAOPISiy1ptC9kw9FsEgikEB8FN2TqYrJtEwYZh8z/vxGVLv9Y
TkX11p8T56HTS+JiaGBmNCQDtPnOg81lsvoH4srgrXj8boLXbkhfizh2H8hxyZ991uabUk0S8jj1
/7TuUIeIraeWNN+U1ZjSsiYt61mYDSs2/P2tskh/p9gdrvT6n23sxXuVgz3GUU+FwIqUCIKq+2IR
T/jvYrfdnVa59NcpW2zYAAzovmYoO+k6DNpa39mKlr8b+z+mw/FGSc8As5rG9jkLbQl1KspuwvMK
BZDIb2jREeQ77nD3JfAMITtB35ZfXe6k+wX1/TrvfQbbsM2a/QzJ7CnpdftMl8JZEupW/5HooVft
uCAl0HXFqKUNgnTNuSCI2wHws1VLmA67m1xhTVdp1toCFtTMXbyxKgt9x5RgRXQLeh+0rGTDlqF9
cmNmuz1mrQ1iYrVtdNZhaKiwqtq57tfhNJIIkTeyG7bZ0lLKNqirSORqNyPASo6T+Q3YHPpHz1jD
WpkIa6t5b9MkYI9/A3WgdoJ9k3xog68Uil6EyRelcjpNGp45e/aQ4wxPhWO9uDNrG8/Txb0tPPeD
GU36qYXdHqMhCvXeKYs9hMib/Kjg+8Ee7qZPcc0wbCdc+It9h3NnTdoY0pi4J4fHYMDOs+4I1o3E
QBaPzd4aGA/6WoTXElf2VXhBuonwv5HLFcFAE8p9Lztlf1jg2ggQzez8Z9Q+khtureq3CJQ5Z6ix
IuDuxHStXeb9N784xT4JHBUnx5g91ENY3vlG9utOkyxdwH3A0AF8Jx5C2uUGu1CGNt6/6dghlWZj
e8hyUtBJOgg3lUh8lH7Tf8mEMAq35Cm3MZY3VMcoqvIPBi/8Y2N0qQY2p1FRnTAJENwojXrPodHj
UZlmRutLkahXXcwvSXyrEcjXrPcGLTdCYD/YzDCFtuEgyyPGs+SpY+XwmcfeLXWjEoy1b7sGd0o5
PvE4UXIBXd+zZGCqQWQ2+Tp2+9BLyJ/5XHQvBj7Fuii0168RJjg3nWL6ctP6vWF5mKsT0dqSaipJ
GwKBQLzeL2DUtwShqB8M2JFmmZXUHHBRhhIsEN5M7+Za3rYdpum36XJ2lyO/xW9gMp6srIrXVusA
+nfw6ny1ujB3FdMZb08JJMFzswnHi8YDjuA2q0j/TtGVwOX+hT4xvTM/sfeyjIKOoCvlXUbZ9Omx
cFhn79Ti+xh5MMLplYNN65/r+FxFE2LSzZjawx+Pr1PvKzb2r26emfrL1rp+XPqlfRIwH54MshN6
uy5ycPZLU9ww/SBsjqjZfFKlIhtYbw6L02wUNHasPKHbh9UzjaPfM+1oucERuebuQXj1jaIXV+ZO
T2aKvkb6PIFQSuHeQLVkXRdkt/Nfl/EKLEJAmmXahExkXFLAhovO67tslty8fIF5Xl2EGTUQjqUt
TpkrUph5TfYzu6nDrYq2OtgBpAnKJzwArtkacGLvpNFRa2kMcLs0rOsD3SEa6XysxaNjQO/Jwc9p
bMtFXtOkCADKacR+V5vRb8axAc+GamL09LhF9kAE6uBY0T0KGDdcD2UVbLM8sLemo+9GLwi/sMiI
/NvRuLJaGrzi2eXlQ2S2lEdbVd0NnenQO87SJzJJ4NnWd609qfTiNBB1DxaxAzs4Jeo3Q6D5yNyG
9J4q8n0UwrGHGhOGAytHiZVIb3SvmfnY0AkY5GDsX48+Y/RdIMXyicom0CvhL+GrVuVcbxK7DrtH
M2AXJZauR387rMohABAY9Fl+Y8G59HbpBnNrRz4hP+Bw9kDh1S+srqwZPc7N7/tFNHTUfKQ+egJE
BS3rE5wUdPr88dbFaBpMVkWRRWaTWruKOVSHdjdR85HugB8TO1R+hV/CBGrNdsPhp2MDiq8r9YsQ
chRw1TUOnzq+eEmREkaKnCqdOopZRs7ZgcPAShxmol7iPUeoKDAJo4hMXyEn5vFbXI06+jTY4oeT
Ngj4caw0lkaareHPNYb7h2RCd48eYDCHlLczr9jqpNoCx9HEdnZ249izwVFDcoLfJkl9KI5FkomJ
DKtlsQdSlbp+qgjJGrKSoo3/lKMzDx0M7BQYSYzxi8ZDZ//YP9rhf6aEfGJAK2S536LgKEPTPafE
iscoKuiIiwAAHrSXfscwGfA3V83yjBAkujlWyL58jnLbUocuBhZEbAoXyIq2y8Fk19rRpgo7cpAS
lA0rrLFMwtIpYWSMLFp9Fsl020SVrj7T08ZA1GFdUHPhKfFXQx90xWGszDLsdORXn8Rn2NXRKsgm
cHAAjRs3t4v8QP9MWmI4myV/gGyXi/3cCU8eJ8hqMSLOmioThIx70t5IVwKXh1VTQL96BcYD63Fl
+e0w3FVDzMwGNX5TQ9WS2fSMkwmtcK1DmmaXu3x8KIZJBIeqryOzk1a2dFjqGv3puiNE3hUl0uTf
06+Yg8IPiQC/7EV/7W98jsa5hTOicnVolW/aX6IW4wxbPDoGtcbZkQw7B3rXV5ONyEF8gNbcLlXg
Pok0mG+UrAFBkwrJSjkiB5PzsW+9MN05rimre/7JsCNEtEOCywEQEmJqDW+9NYsLkidtXkglUo+h
0D6/FMEzoEk8r9vXqvLA2EXMYByXxGI3QFBGCVvahtM8bV4pD+rxd4Ty80skHf4nl3W4xECGZf+M
KKF/b8u0BWbLeP1SW+PwL/JxhBxwuSJiLRGRPjA59PJHv3MpdTw5bXns0m/8FEIdLeapq7BN8sec
46Dca1Omxa4m7O4nDEnG2WS4Dgm2YFiZHApIbinGz4yfE+JwdQciLCScynIzf7MUrTv/YwI/PvdJ
14z7aO7lD4w4Gxc1mYkMFr2BqjkEp2Fv0iRsjo2fN38KnAiTJNsijU4txr6z2at94SCdnueptd54
bcl7Qh9Eppkc81EcVRA7D4Y+xd/Vji6ISYf2Sz3Wcrjzzef+zu8KdsI9IwJMGhj9WVl0eXQuYa9Z
mwQjBs0hJ5BzZ8qlecOTEzLmpzVCR+24GR6WSTh0am7o0RaRydY/kH2QC0KbWqQiZeh23zGxG/dB
EManMcA8zhVtCkg3ToOBMFRsKjeitsKXJcHIwd+B74Nw0KQBqDQ64p4EBdxRoQUr8ObJSTVDuzKs
NujZguKtgoRuDtU4Vj9WOSFHG5nG8sxmk4NhCCTRj5/jSsU578TiBWp5ceUbrdkC9KU6EfQhPpyA
ru3A2M9FdaQ0cuOsluOur9vA2km63ma/eIzVN3hR6Dc92/enXY/oTeNstbH0KVzen9li4vauDOAB
n5C9pslf36dVvrUGMyRby3RdeYz/j6Mza46Vx5boLyICMQh4rXnyVJ79Qtj+jplBCBDDr+9V/dZx
I7qvj10lbeXOXAmOMYMNS+0a4YpJPIM2h7Yt2e7dGjwZzQZif0+BHlokEBGLYl2WDIGrkV8mcFAF
WPxU8JJ4ynFsnW0Ym9le+LxPKE3klczGVl6ZQ0CYmvL2E/eDjUJRWzUFOH5ekoMfh4h9RWgzK7hl
PuEmrgTntlmUE+xJtsBq5qQkT9xx8j6RHag+ROPTcsunlwhBYqAibegGg73GlUghRMtBdDRJliUv
ekZs3g4As4Y1goH7mIEKazYt/4aXxMDj2kyul6yBxYo7q89s0ijJUlyavmbY6pBZq0/tW1q/IqDW
F6tfxoTE1qiyEw89b9uSzej3aGl89liA1RPQT8iQHgb8CxqcfRIJp4ZIY/MtqrAkOlMuqJ2C1Bz7
nxni5e0zl9THlg0hfhkKzQSmSfK8+aYeHf0KIkzO/zlxRQXIqhKIdt+5azAmMGy68sAIaOSq07bA
JQ19Ob32Rc1vo5jFSN+RJ6cI/k6EdjRNTdRt55EM/0rAOR3XpVWZeW+PVpzvTRaG7r63EMCcls/O
So1t/xMKNto7WarxIrDhqG+FglxgYUh0f0QPt5KLokJU7l2TS8nMVIKNGZETruXkhviZNEM2YdIc
Dp8kJ0SVCXs26CaosIJftTTJaB9YBPTZFzvdob3zJAnzg+N4jX/NkZftla0HtRzKpqNVzG3G2j/M
ts7DI7fFiASe3TCmfcILGPqMw4bUtYGor22lgpeaICQNU2Cgku/eDLU6Jdz+f1SzsJnhj62fLY1f
c9PBBVnuvaS2//AiTw9DMoKRVhksF6IOwn6cW/gFm2mEE3PSjRP84VxgLyc9OwvWAUbH8ES/yBJ8
tfBCN0OI6amHW8j0UJXZfaA9Y28NN7HFS4j4m8DIu57LNDgtYUT7MaMVmluuUzB+UN43FYWSHAaU
IotdbrPhfHZBrB1LIDiMD2P9OwXYoFdG97hGjA/BeSuSGjGg9waQiHXZ9g8aUggTZWUYgrM281/4
N8XPk28DguPOjuh7lzH1TXkYNsNThjnwmC/s9W/YNPuewHt6aVrxYbcsdzc9xMaHZZwgrdB+1658
sC3btrEXAviWewrBCiYc1BJvex3G4p0Eap8/zYPtg6RC+V47nLssPiznIYAnZJN1riTSV2M9Clzn
lxwFtVhXSHs7ZeVUEN6aHnSNTWtbIowfMUiksEWmKtpjFGOT70Z59bFUhkRr5VIStR/NZBUXPbtY
k4yAEda3Eb8LE8eL2MJHaxWbrXgpC7ywCwGkJnf+FS0pqLSauJGapr5NU+HnjQ5zz8/Q3gNlY3vq
sltVmJvKwlllYwO9rK7mL+lWGtTuQjbFJo5y8hz3JUHc3sZVeONUGXHCKwWnoamiD4gx/0E38gCv
mvERhyHf/3xY+BKg1PoPE8+mK6DgiQMPDXWHzTF5663e2xchH8NinFOaLapMQM1PeQb4yi3v4Bbg
bpqj/p/y++JUK1uyaC0wZ26jrKgukRMXh67M5VsTltyBrK5JGmnYwKuxJSOOPzBM8xV3QrDNfIzI
oIbiaNX2kQMmjcjQPh3ooMb7TVKuXzTF38XYBHeZINUMRAO7miEew+4ELonrLVs/9rhJwRfcZ0Uq
H1KsbpdQUC6EHg2vKEAkxV2p2p+BaWPYMLfNL2ZxAR8xiUfed4Og6jLy8g9bT66DGNVwWSCNqX3J
R8De4VWPG357LXfH3LUwd2pVTHrbO0M2HVng2vHGlFUPapbJguQL341nvtYULCImF2pngnSwN4HX
quK7mA2bA9+aOHJzUFsgBCpKCV8yvFA4bJSBRoYbWqbgOqh4AzqAX+wIltdHlp5sUAw7Ifj6bXh8
VPNHZ6u0XoulC/XDZCX9eEFdIcohyeh5fPYjvAyrJCaEuk+sG9mSkwBOlUI6cdelM+IBQOaJME7a
XrT3lClv1Fp6fbheEv8eHsVtcdan/6KEDBm0ADXfKn84Qeg9xCYP6MOJ6R/ZsTCn2haHRAWaLKL5
jFf2wJHs1rahHw+ZjP66rsIVY2YZ8I8XvD5vyjEGpXWWVu3MbVSJAcEKxhmecizSm9pJgmf4WezO
+H+fv7d1w3E2h5H6cmMWe2tIRxE3CKldde1I1vLnnSjj3E64dUl4EUAmiEpCFlhIGHTDDoOl9wx/
LGIZh1cjwdmXq2yfFow8W85slpJ5n0YhjNwYL33AfcTXnAZmOJ6pGaEvpsCCNl7tePOBNNBo1rqe
endPKtWJ9i5Qo2MTgXTBypEag1jStvmFPETb7vuCrcpWdIr+iUh2CjBKaHUP3nBrxAjpm3+rLIV3
rycocm29AposEEGMwLkJs5mTRNn2nuIYtEM+SbTMZnQQu2dNm6JDeKvW6S9wDsDLdTjHXzbgMgwm
fZu1mzwqS/ZNbqxfbGoIf5e5A5lNkxP3PRbdhgd+4Inbz2bC4G1JetI+TJ0lGToN9/bUzl1GbyCV
e+6umRcagniKeLyYHCY3vq400O1AS/bLBg8sT0QMyYyB9PmaZQOp24HI5+bjdFCgLP4c/rBfNUJv
eFfPuTWdOTQJRNMD5xGx44H1xNebBGsw6ZAtVUTBCxNBlFlU08gbEQCvwlOEuxneXMwmh8+TXRzH
FgDW2nRz9GnFjuWsg/yWEsK7WvvQTGftsFzo1CeGUtBsTAj2buBJQfWNg/+AMmsd9TsPVxMWTzec
GzwXQxeiMPGe2faNB6HJKYFDrYawhJphWictzh3iiI/U3fjZgR2bZR99R+LZM7GqwBgaE4bbSfV8
hCCQyGHNUqtx2dRU3dXPMcXf8qKjDR6Pw48zxcVGXOc1z1vBjB9uWGBx4pRCUJuTkGyUEKdpwN3y
e2gKWDSx8o7YVdzk2Qsx0z2wXO+o1PAbf/r0hdu0O/CezrAvytCJ1thFpM8mFgMWdVth951ykdBF
U4zBTWSlWm+d4jR+nrKSKkhSe72/T6Q1+luGcO2+ZgD57RfBk8uCCR1kEXEFPp8brCdlcRkw/gFA
YhA+FdLSv5Pb3+Dl1VTvGQST5yEgIrJVjSBJDotmCi+2FFlYQaE2JWQG39TzVk4NhNkAByDr+P7m
S2UilX9QhlnfMTn44WmunPhv8oecFqrSzX7nVKhLRV01UgpcF/7ui1fGNIZioMQEFOH+0exRWatA
FvvEeNd0CLcOlCPCrRjU0sSyYGME2TeagTFoswpnUtzKU5VgxiJCoeZn/m/BU4TVVm0XF+/cLkV6
dtbE6LsfVq+TtWFUaf3NYKXd8IBQW6Tszvsa7KoYfV6THT6kOycJK//DiontHOciR+DxtKHSHf7j
UKynOB8uZiTTv5kxmtRbJCbVrhOyfVdcELx+cw2Tz0p9762c/fmsceV3gGNV8AibmTIa2jba/jgz
m3LQatYrwLMwEsKZHNID/QTdnz00+Y/VZczCY4dx8ugQKRYHn9v6ZQZW+QeYKG4fa4do7Eo51XI/
MMQ86C737+tEsYCIOUzB14yN9ZTMqrEuVdeW3yld8P+8PqHyq1XYYREGFEUMNH56G4j9EhOe6aiQ
jLQFR83Y7s/NLsjX1crye8kK8T9IRuIXV3r9GCYzdrSceN8efxOcWjtx6QxjRQX7TdMuQtovu6G0
okAOLM7cgnnNE4Jhltyn+05VS5+vGZ29p7IFab4taolHTVkey0ytgHo9Q8t01EZjL/xRNu9yqids
9SaoGQvW1GFk3U6HHeubXKMC3Vxm0ZXkNf1cvsgTwuEkVOGOZLjpiAcbO9gEc5qySCV/0Ksq+o7b
TKOhQFJa3JmRruUnbFnO7DIl5b20Ou8VKua1aOYX0IuPZZZPj9Y0U9egJ3HBTQbdR6fJAwnZ+V7z
kcqAWU/FscR6e5SOwWSBPzk9dqaTO26Z4oD9un2m02e+sr9ftrzwKKacAusLy6J9ppaX8xnezVZ1
tHTloKZ2Iuzm90T2L2PtjTgV8nztpm5wnggL3cm6w+lchNapDid7Y3f+58IHZRv7/XMLomZTg9rD
jUCXHd6dmnUsyiMb2JbYTBSk5oNowjsr+vC3JNz0ZPWwCZjvs0OKd5Km5zL6UhI4UiIMqzKFeLuK
m7LkVB263Rx58ssHo/RupfWNVzU41WMtAvvOHdN4jYHrKw6powEQGShMqgrmA1JIeyHg9LJw4696
8gDwtCy9IZ6R02M4Zb+NDU9ungfrVEQJiPAcJoNd6vkRuyB9GNqiQygM9RnndXUuiiH/USoB95FX
+UHTAvhgmWF5l3wpNzxjAzJB/vLFk30+cn8SZkgBjb5PGVlFlHz/X6Ds/gxF6Ya31PFvziS/ScJF
n6M2bC8O+SMi8l19wLY1vA2Ywljldu1D1Aa8rjV8SMsO+hdNORzgDDImwHRm/l31T54G0brXlfNq
Y5Nch750jlC33YNnevctzhP5byDVttcOfUCYDsSjI7ri1ffz9sP1Q973TkPe2GFtrbRVPtMM1u6X
1ibCQC56awFBkarN96JS/6hbqbeAIxDxSiSJszGQwOMGL7RvXA+1F9PWPoaUQODF6yjkodBoP5fY
YRlVcIO5GM82pijEXdma7A0KUIk9msERF8mwG4TsD76sxzsgrlB8B4kAQPsQQmKEukieD78asskR
3sGM1SUfQ5Y6U7hiXI4euVlkBcl6Du5HL3weyJLcFSnpV07lbjw6tlV+48C9khhRn+5A8iZKB4yx
zXSkkSl+a4poZyGiffo8h85zVzn7BgsEkVLUWhJz3YEP0CP54I+s43IWpTX8EfwjpcqbsfSm7pEz
7jOol+y98L1xA44WKcqB+lRTqgiXuUNdR+N6mzJY9WlN3ofp3987Xsu5AFOQfKrbBe46pi/pWgKO
MqAzqq1oovIALLh9pG2M7Gc1BseFNNCuFP2ReJ2NT0RF+Yaebx5tfee/zrhAPvlTjHQsWM+KMN6n
VfBkwC5RX6iCo5fGw0UDtm8gPlRT7nxQTuodfOBrFHrDJmStXCPbJOPyW4l0xuzfm90iWoJT4/Au
LBufOP2xkv1rAgshHgd0Sh4CXG9jNj9LysApvbWSd6nbeD1T0vdSmJQK0MVvgx+4J+ND4bJ3XNV6
IZRACg5FHmeo85N0nb+REJzEyld9Dt8/cdXXoqqnVPmABDp5acGLYq6p6MTgf6MgJdbaaypZ+/c8
rc0zfxO54r4O9oKcOwKzb/6zPTv6CEasj+kE375t/crbLgn2/QRuGKRfbDKbeknEizu3xDZ8h1in
U1N0SvX1VeQNvuscatyCdTPIX3mDqH3oVNOmXEpoeFjL1VEmIMpLhT/Ba1BgJb6FFhzmQ+nbLEC7
Zvm0J5o/phgLPutB58xCtt96Iz2EwsFiEcBXP7Zx9DH6YPx7Xk/XLAmzP0RPHBMq4/1vF02+CzIZ
bMgUkO5gJozRXFX/4wSI1ky8NNqgzNPZ0wbA/RoXc1HHoEocQBANpVEI24NaIPa27SlMcdoUMuLt
h/K91nHUHpKx+v+DlBQGb6L3bLDNB8E+ZncWVs2J0zj9KhPpnLU2/2yDHwEi2lfmCffcOpRhj1QB
7GIwc2vROwamR53cs8Ii/OmyJd/gzyLJX9rzzu77+p50CsCJQrNI6VISok0u65ZwNKs5gHrtd5/n
3l0emvhB+FOOKdBK1/bgvwF/Td4QYFg643F7sKwy+xyRFp4mockOVlDhW+iTdxQNPNBT4D6WJhB7
PU/Zo2sJ8+6U2G/7QvQ3EOkN7mqp8NyGud5HEZheBkGXhBcQiXuiJGR95WDWaDzNS+PZ+F+Lsd02
UeysITmZHXqbfMz4TjAtpxQfYtImL7cE3V8Rg/3C2DO6V7YzMdFxIw4twuDGKfv4upQhcIaEPjyc
ifGdCSgU5jlNHxLWLveb1BdBmmnqGBO9gdOKPOYZrgqcG3wZ0xvwtCbZyIgX58q3WbX1ietd5jlT
d+QV2d6LxNksiO73VqLEBa5kd56msD2RnmjfA80DUoqg3aIEz186SZ/AQuKdTcJHgLhftucrnKeI
davKIZQj09q5xoAudr0/d2fXUdw+XIM7KQf3KObyeosDb6mugklfOBa7k37czxG/kDEoh3atxoSX
Weh30crg+XrICFCeDI6G58DvxWvfawkn3gZquI3Jd/arWvIAPsvcl4ewq+0jo7s4TLNuacbgeX/k
zWQzdjTOp1zc+FiQ7T+1C0+fiDXDRsfSbAcsHAJjstZPc1P1hzqbpncy+vUh7GswbvxiA5iCLESf
p1Ytd5FmiW5PVnrWUeO+5E7ITxt2eYSsxB/4htAYHixdWOvCSl+mDLohRQGgQCWEJG892lRCGANV
diKihdE1TFjje0iRwFi99Lvt4mYjxjj+MHZ/DzDMf3KyG7msCuL47HYyfSiboXolp4bxtQRfGg00
zrKyHZqvOkekYdto/xYOdSp13wwbHbQlDOiGZgtriK+UeLBRhHP8Q9G29w3DZT/ycCW3A2HjIkQ1
72vIJDwUMUXXaI+Du+lmittOecee6gbZ32Rx5qYb9keUNWLOxLJoNTPG69jxMrbQ1bK1yz7ZxxNC
KJ+cfF3nwp1xWnKrxC1zgbvI5jdNTb/3pz546yeT/WIIxlEBxGvjEx3/m2uBDYAzQ696CoL3WeC+
9yNx1lU0++O4IV9eXpFJCgjhvm09O2RPPofaGDwRvhXvZOPH99koU5zdPBO21Bm/pX3bU5IhvUcc
TbDGOMELJr6pphfAI32RU6pBEIcNzUdMdcILT1Lcb26fbPAjhjtd+dY+qYT4i/IRsMcNsQ77P2U2
j/0Xj0J3Yj9O+4xhWcMTjGcQFnRwZ9XU0/9LKw9rw3Jgch31lXjM8gQ+zeJ1Pwcoe2VpjhmsISa6
OaC9QYUbugRjPJvJ8O27lb1rXFVfm0xGGTeInW4SIVj8JiEFB03cMB7oLIXDHMkjxdbRfZv3+rvn
KrqMZRC8EroaNnPSsxTg4e3T6eTyQWj1UkQrxORmHaNefxeKvnhWUdNFICYfMhIl1zylFXHjunb9
mbNW/SVHme6ovGTNVtj9Y6cALzhFmv0qx8X3ZA23uqzYO2PQy++XaKKmcra8txq366bpq2GXRCK4
Gf5U+I6hQ7+ymoyPrlvFb3M73DfN0p/6HGx/Tc3NT8LDeUu2g2Nj7pxVCibjhkYRwHVCep9FYfUn
zJDdv6Azw47/XvxihTbP4danaG6Apn+CquzvHN765LmC+SJjMR3rhHt7rFjbIEE6/X3GXKSoi73x
t0z13zjXw30Ns+/O98mLYe+Eo25PhArLKv9l48/pnqXWjZxr2u9hojYWQe80gcdaAXlO/qFkFQ88
A9TnPBm6aFoj6tfFOG/E51AvOtoG16pn2I5UMDxE8I2LWxa8Rhzy/Hdj4awjhh+MlCv48qQXtE0T
c8/WQ5VcHWXa+7ztDUj6qa1WNK6NT0ATzY6vqE3VghWeUNajfh+gNGFm+H+CrXWW7jqFiTn1QEa6
E72Iw4FGmepOQ/5cyZFn1goUbg93rKwtzt0s+Sz8gQpkomdyVSZTucvGhBcmkvCb3+mayGzOnhYu
67UA1rmnZCyEBWXTOEoMZMJuCunIELAgJbJygM39v22C7IZraL7FzEqCjMmBRzn+oSqN4wO+wmi6
0nAyyAsWomJDj0T8DFdDMOnDSGoA79+ayPS6BCO909LVFEGEtwqWMKcBWjjdf2A3sweasfzsy8wh
H7eJdwLf/9fOyfiRtNt/sA4pNiW/rHLtLaHc5j7XYoLM/B6CMqUSdEqa1WhJRt0eIzey0ugpNAXh
HiZZq/0Uie4n5VL//+4k/MIV6FGZDi6SI2TYLsRaquNitTpDrY1YWrGfofCR+UYVW82+8SkmW/Qb
a+inRRtLKHiV95f4g0aQQRK/cOpE1srnm0NGpWuPAal6udNT8AWoFLZ8M7vUCwGRObgU6vGJShnb
2DUQh1OzbS3AVGFLSvDH/8ClKHGXK+ISa5A/+rzQjvM89oAgSJil5yib2n+p1t01juqCEG6rPzNO
pRP5WbNJqGZ9pvAjP0bEeC+sUPu9JZmHssrHejl7Vr0NnT47lLbW1TbylL4KSy5vVpXI81xYfogV
D68g5oYKPx5SiuRP0tk7yPDppp/87OQ6lbu1pqm/4gO1jxFK9EfR5s6W+FyBsl13/n2ZWz1WTiYz
+ahcq/3IWFRyaCGhqNibCZAsKjtMmC0/uySZf6RTLo9t2BcPs1p8zgSaLMLWFg+ikzRDm6p+9yhQ
3fSx9x9Eq44mCiCmXdVZ39ZI3c3kmuwQQA+72fTrz25y0O9vrRRxlUqkKz/9KTB+sAmonbOkwnE1
GjcjfU/GDEJHEgAxA1jxGKc4plaAIuUxMdIF4FPnTzfk1sqkFEnJkU92LhRADYJVHbOmU4aPJKb7
FwLK+q7mjUeDZ7FTI8bdwT0AgnH3C14HRCNvvqNz0nwvXW5Bi1hQ+/PIELLAYVrXHaMUImNCtHwK
66PNZUbCP4pT925QWKJsxH+Mm6V8M7yaohUAtXdiEOSnLfIln3GszD0J5fFpSZP+WHO11eRfqQnx
JDlyF3oGnl5ADixdxnBLI8OyGypZ7rMoHl/BpvRnaq6rq7g1jgDf8DC5stxlkwg6Ck2tE9HV8nF3
QGqG15WTC7j6FflkSmV4eROwNnm/o+TU/2KQGqddPfS0A+JAFmeJw1vsHIt1O0QDRmnNIm8/KLjI
3NneB1JtTuQ5MyMQ0HCmZsJzwss8TgHojCnzUd+7bPgFmSEcrGEy5feOF2+rmwwXTzRJKi9uqZGd
h0vqvb7x7Z8QnIXcAoRzTvjN2AEhQ1c+RX++b0fbjBHphV0jylNfBWz/spx6th9iiuMTCngidmkz
tmo94j6Zzm7a4eKlpC7JH3HeOHQm8b75daWw3XVVski5w+XfNaCG0/wTJRLPE/Wj6bIi4IOFWRST
X60rxS8DwU2WjybThCzmvHKJqRUjBESEcUz3fI9xIlMqhDM54nHYL5N1Z8obUAZfLAYzzc1G81JQ
PBeRd2vEFlnFbqYweUoLT4qPoYp08jTiRrpCTcIgkRYW4WeILFtYgQz9gevWB4W1gwmlrMMOf57Q
rPciwEjHyhI3YmYQLf+IKpAUCpd+PGmziOUEvVK9gF4GAadZVoNLaG6TWB6IOHwE68rml9wUt6WX
QhcCS1ZY/LX9kcRkxOsK7asmvXh2iLbyZcj6itKiMOnLgwEDBvB+AgNG5lMBeoPJbu9H2RFJyevi
Y8SkylhITE6ucCHTAmcaFZ2XTPNXyWxnAcsH6XcNe89BOmN7j2eWJ3BQRew8jZfC9mgtaBbbaQ7t
f0VnUX5COso+Z0AAeGs2Chwl/0iyNV02C4h4le+fxnEIgnuyOYrvvRJUJ9tWYJ1nYap460hRVxsN
DEWdKxEFB0rY7PY4FiXcu2DKxPeNZ8r0a3Tz5/pjsKsk5RernP3CC6vXbqF8Bk7CrqU0bTxnwvb+
bDPwdCnTUN2BffAeaGUJ3hMOc56w6KAvXcwjaSswG1PkC55s71cN+JqI2xVWp/UJ3tQ+QqQ1CK1O
1YQ7TJci3AYVC9UNsheODJqN9mNbjs8Oeuuv1RevFAMDbEkitFTS62QYPFgpZv4GJnzCdIsLOy6c
GVttOz3DVgnPPGkYPBKe5u/Y5alsoBAVVQ2wfFyYbQR+c1U67jsvRwQGU1l7Ju3oLdPT3+zm2Y62
FB57ckBb96ro0GKsZ5Qg2ID63adP+C4oW8WBkP5zB3wdfBlAVcufmeP6HYzTySc4upoo127c8ZEO
h3XtkwkHB/dILPIa3gKKEUMkSdt32fl4F6dR02IOCXdb4bPaiEES1INySMFi4uxwUBFrlSo/OF1X
YgkJh71DDSIgStnek2IJHlWPBL+O6eECVjCPO5IlHxgcxzt0a/ucJyo42n4oPry+j0+Q8ei0Cq2o
+VxUG90V5uaVir2XcsDKPthR9t/Mw35vk6omSQtcpMFgU0YspD2zcorwEk7OdCdgDK7LxpawQsms
4WlIX1oWZv7K6/GHQj28Ii+LNwTB8A69rvlNYmEew+Y2pMR3gIZAVuLgCM9BKdQDE0Cob6PUcuhv
3vyCqXRyRPiUwnsFDAUpoRIB1hWtKoL0iwefogRvBRb6vQr1X8RefQfKJv6aASf9i2nf5mVsvEcf
jOGuiNW0ckPrwDYM2bsKubBt4jiXQQpCZrLj4snq5jWx/KeBEfMooKnsNM2Q92AcCtapHFHsuQ5J
QY6ki2JrVzupWuUI1nozgZG/q41fnXnMosGFV3aEGd6KVp7hAsfEX1M7ZS4cn8VSzt4q1BCLy5Hq
0poTZ4uizM4Bp94egwnPRXZX6B0DjsTZ/9TkIFb94L6F7Ja2rHWqFYH1h0BF8b01OXc5MbnVQMp6
BxqJX1VX9pt5CcxuniK1QQmut4sFOXTwO/UDtK/fYWftd53nvaczAUhq2NfM8aAkARYzwbJYiOwg
vOAtlSffYD/WgtIsHeO3M5qcs2OilzKBEkdxMAwY+bMQeATjaGr3HGCkPtZpKt9ZiZ/9BaO40FlG
J7KPpjqIz3k2/zltcddBPeha47hIqHZ7duMq37uBPOJW9TYy9Bs0nTg9YE0ut4lOUREbf941vXYe
kfzDs5/NZzB6aM3x+AJCx2MWWrYm9eYzPsuvVAwBQRsNDhu38g7P0zfYRxZsCQ2S2DgBRFDrdbMX
JkRBFycZHwcbLaWk5J1Twj7Rv4GrZ1LBRk+eIFXnzl67CtK6/RR4jndj28ADbkdcw2eKOQO5NgF3
A98MMKxCrKYQCy8LHn8PBcl5am/eBsZXxtm59LadATUx3sh4HE+4qHUj71u8n/jRRbqxacBFVqOZ
nGl1I8g944Z3+gPxMKxpozCr1JT/KpePTx8u1lUzBZ5CW3cH8C3jWodZc4nd/jVi9/icaBepKcfi
aGga7WJ3rwJ3+hG2z3PCCy8BChhvMCBBQC30DsoaGC3ieQc4R8V9Bydmr3rrx4ArXlGk1WMSJmsR
StnRjcFRdAgyHfxQKIhLpCjHhvJ5gq62Yf9URsLcYyC7I6JMs7hvs8UJ57rZut4cH8vA4rXL5Jyd
0npA3gAJsB8DW7DCIMRQgf2HFZm3NNbSTeCRrKUsOxcUHFrykxx332NMK30IGoEYeIxjx1xB8+qJ
jIrsvoUxtAMl1W7aSGWvqbB+wLMP4ynMLGCZ5KH/sBvbAGQgVe/x/Df4pjNqva168neLpq4W4XSc
jszV3IONO5zh11iHPBjUI+0r+ScPevxRQPz5XaK3ZWpuHil/CC6Oa3bR/Os1mYdGpEnE3pBioCcW
0oYNwUQpHXk0EbpFbg/FY1i6/ioKHevKdYNxZfxuMd7k+wmB8NNze/mfGUK8MyKZ57XJk845sv7l
WZ99Dp0XP0hupTO64g4zQXhHyuHiuwHtqnntJcOGncF7bTDic8MCpOp5JmS0/FRTiQ27GQiN8tln
SfZf1gU4yqO22PAfopOdLmo+i6VO3jOLpuowdoI1Al1IE5D8nt35Xzsa89SmFJd74EeQDMofO4zx
faTLJaSz4KFVeL3spLq0VavZijoF5uXC3lYU9KwXnB/lyvdDtZvHIXxlLUyaoxx4Ug50luxzR3Mr
tUF0CW9L9iFDfaRPCQxHktjirCbNBaj86oX9Ci2zfK0nz24gdaTFK88rDiQ2boTXOP69Bjkg99kx
ARqVVfDADv8huY2NAOHKu2IZ2pNb984OU37zTBl3TLU1RUwbx6auXSZEKivGtS/8VPSTD/2rtjDF
VXUoafNrICSpgFnKZsvcRje+CNvn6yTMyR6m97BNdlGPxaomXLNM7gRpvVZsoZ3qv8SdlaLNw4Kx
EjASomLf9VkevBULVS3TnD/YvuTKarV/qsd4V+rip7NKoDZw/SPggXLmj0mujGBT8l9nLcOZRA+k
pZHzGpKLufeiyEWmz/R+Tvvbz9AlD9JJb5efdP2LFSbdPhFZ98JVOm/tsQH94VV9+RFIKX/tSeS/
+MtgqKRZs6WVrvmLg/gxywjDbIeh/+jc5cHIHHFhYou17qkCSBfZXaWj9kMPqSTQPwle5DWrqpzA
1GQfRr82F5Zjt8roG8KlYF0zpmbrY2Vcc4X8MMGdgJBOx2bhoPEIYh8dPZMZmfokW3Wa2rXBqGqL
BFvv/cEOt1Y33PYd6pUt0LPURUwiJOnOhV0Xr93CHmYIDJWdqKSGzWFTvDYu52pgJYRbYf0ehjDa
A2D/h9a9AK/utiWUsXNW4K/MwHkf+Zp4d42V7qeZ9Nfo1nG+6RDBN7p2YFhnw2ixBmav4atXjRdn
xd4ckIpg6J3sCiynT1NP4d3a08vFvydTN9o8m+FAx91npMwB8EbFdqVqgMtEj0VOHCuIcWAQ5qGJ
K5izI115+ZnxK9lPmCYupv7AyoMNe3ixKCeT8EQUqSMsCqjoCzSTfRI0IYN33Rm62WCKWjD29sOI
3bAei4PdtWLXBl71ZEgIbpvsphXmFZ1PXckwXMmHxMsPwpD2IUfSfePfb/euZ807+v0Yvp0AOt8w
qDuzpNcQHg0jCQznCoKzusngjvCbH1LJ2W9XdM98gQQ9neX0UnsY3tmy+r880+lkcAlSXwtV6juH
9CG9okjHTjh8ad8n7LIyIrumo4OLWkb/o+jMltxEtij6RUQwJQmvktCsUpVqdL0QbrvMDJnM8PW9
eOm+EX3bdqtEkufsvdeO1+0ml6gcxCY8bRY1XqquQTfc8RC+KAvT80xP4QZKyX/BUNUXwDN12M0J
t8Vh7RnPEY4vjaH0qfPSYDfFFBLLintbGv83lw0vR3dy9xg13hKruivV8CplNTqB3YjlceQ69OhR
M8kJTbiQ0aGKMfUP7SCN14RoDstbdGobg+767FsfzgqkywKuOVg0i6MhkpcFeQcnTl7vYrzTL0bU
PRc5XF0uFWbIrsYMla+zvyY+Ao4ZHtxOBPlhYoEVcoI0MJqwKIUUWwo6543+Je37gWIfUhsbTL9Z
jJNorelLvfRLCTIrlHatNd76Es9ImQT/9wN/TqVcuSdQwqQXA95lAAa3vWtStzo2WQKzKYIq4/n/
oja5unipYZ2iz+T+b8YB77TAGznYoyNukqP9YGRkfie+F1XEyxFmiRXi2WWkZVnajXsV+eObL+J6
lwo/e6Pt4KxRc26O1M4PuRqkuj6LvhzCuStcD+qb6v0QTe0j9s2eXC1DkU/2Zp5w69QLG/VgnEfk
L9zAO3O9dOyMiFsrUXzKs+MgPgMdfgoMd2TLDv0ldyhHOC8koW8FxPyzXIAl8s1V8jsoZftoDOdJ
wS9A4mI1f8Lxjz8xCbr0kvgw+G0uHBs87dl9ydFN+p4egYyn4z1qynQ7Kav9WpDoWH9QuQ2HJj2n
fRx7p1LgUq3Zh3CXZycGMBo0H7Qexk27SJwDyapix7NWH0AbNCRaIPm5lMsBZJaYlbl30pEEdpQP
ZZqMO9Q6PhlRGF/cQsHfEx3bYpN8WjmRKLF2eVZ4IkmXzLwaL7acyld3irv3QQv9VOexuW+TZXyz
4P+zv2NddG499hSinC/FQIVObZfcDWkE/ge2OuA6Oa6ZKkmV0w5bIMirMk77Yk+zknrSqnX2fWv9
zoPqLPxu/DMww10IAFqcvYRfJtQup/2X8EEXh7x0PXyFWkMCSLMl6g70OYyoq1H0jH27v8RD7GWP
gmWNux8F26CTZ7Uc+4qRmYAnW4hNotrWQpqp5YcmPRG6FEQ/y5SFtLF0OL0xPFYu74C8fZHS/2P1
acKuqnEOBQStcPJmPMm5HQhIzN4Uuoxe+4WLxKH2eW7KXsJMmggRxbT94F/Xq15nTuBvSN1iWHfz
5e/Qpfr3XMq/c9V6h2Jo8hD9O8nxEZY8y2zbjguwmJdMlMa3r+qI0qg1sY59mIipb9PAC99YM5gW
/Qac7F9oveQrbd42K09tm9O5eWBw6ra6oz6GPzz8i2Sd65nl63Nbx4o0PVFyN6aVDQt1Z2+XIDuJ
KsUsp5sBS+ysrxyZ0Adwi2PFNvv5s+3tGqQQKSoOS4oti7feQao8y3HMsG00FV9TeFaYFbsETZAF
A40wKZ/IHsOOJw+wAtpTUWER2noYyA441xpkzbRsPuiBIdoLRcYV5xLWQT0+SexZaL5GPyTrfQzj
xEDktU4x4pn9dcG+DGrFkyJcyugXt+3l4ZKjNjfE0u0jK6rh1ANUeCO0LMGJYAr80HKAzI8VsXyY
wzge8iTActnxr5tmG/+DONmHAeWXZ0Lw3yQ3quOCgX0109EBW65N7MYMP3QPM0VXoSNr98Htvbvk
E6wxzFcs8ILBiu+R13hhGvC9xOqOQUON7Grt7ItmmPacDAj4DLgNoFKJHEasvj+bEEYR09lDIvwj
L6CUJ9gQKeCjHwMJ+z8yZGRlncS3N8ClKMiirdEnxcJyjY3Jhp1DfkB4cLKwsDBuYOZPrHc7Hz6y
uWINOc9QbQj6O5j2hP7XJiVgT7CkbN3tcJTzPadZd9Mn2Ix4fnZT1ftPeG28W4NTF2wxWEbtIvzO
ghYl3gd/U6e39lE5Jyhg40dsO8BbIcvBjmGGO+ll6bGAqDxiKzfI8Uwb/bJJl6FY+T6WdenNRN5a
LsJHoiEObTywSAHUU56jQX5hXhvPk5WS00IMCguq2BenXtgiHE2NClAFSXLsfE3aOoXp7RZtsGvY
w2Az5eT95naFmT3q3PcosT/5VNcNON7cTWxk1yWSy2flQiys2xFLW2NToLmk1bOVm0PoDzN+6kw/
aB5FtI8AOa8dF9a/mP0H9L9VzmG/ZxGMhz3Bb7IKDCzNeVOB8YTCIjl9+fbMzc5vsPAos+amlNFQ
RsdbQB+fri70jvTUUEY+wlKbh9l6E43gE1KGMflsWrDZ70jGbmon4xYZjPREwQa/q0z+mxf/pyPI
T6AGFkln0HKFQ6nAbdm5mEAXCtnDTkib2Ung/YRICH0zzeq97Verc2ap+AUX8U4GjeJ2T3rpL14k
L4Q8aVSwCLGDJ+fCT43Xgo5B33T0mKGAkFiYu+mJ969+mUhmzici5w5RKv424zGYOTXYAXaUxLjP
mW2dO5yvR5aq5THLOkpBbGr5UPCCHfpAjcxpYdW14+wyYc94+MG0SyAJH6TpIH8X5n9LbBwG3dBb
WcBV1GPBfiuxg5d5pElBTtSMFLM6+Yr2KUxgxlec1Q6Qx8aMeJq8BVagtr6rtk/Unj5RQCEjbNDK
E92BS2hzLhesXpRhqrvfzPaxSceV4kA9XGAPxAicAI0nyy6oU8FzFhiP0bHrnQv3Fn+swQ63GO2J
yh+Nzb0ZW4AxHR2a/gpYnb8VTWtA9qmsv3QlfJU1EuF/184g5nDK5qW8mFDOXyWr2vqMWYB9xdC0
p6GsR/CljR89DR2P7R1Bty7Cqc4hPSRz2Y974S3EYnfoflVL7Ka0L1OzHt560K9TPj0y2xQ7Ww//
ESqa1HYecFuyH+LmpxaaH8GcE4ptYig7eKRijGwC9MBuYjI8lmnAD3Ayxd+pC9Q5Yk+HrZHVX+MX
74ZB8jCe2aOb2MESYOmbhsB7TCR3QtGeppjdZIG5Jzdz7BZmAY0oIg7Mtqaxiou/0Ogq5mK85m4B
582Ssd4Wyi9522ajaW8xK1C/PY/2B8d6/cMtYPlUDJdT2CxyemXXOry6C7zxjBj20WIjeS4M82Nl
YocUSrRhbNrBG/bnjqhPMmIOd7oWidJUZ8/U/onLBMiLfJIhdnMWdja1LM8QFeaCTLLOyEPH0VXw
VsrvhjNY4wUNeD7DUvGwbvmqO2KzGAOkDgxMGXPqUQ5jdLOsBY50J/OvuSy834r6oIe7FM4HXa6o
Aroc/I0NDJqnaKAsaItYFZMRiWi+LlkJBAAOwEsqt3nP+IU/dVGrfT+4IdsK+hEXgrp7/og217JB
EILmFI+Wsyej9JGCX7uNPtgydmKws4BCZtM+nScCK+Uo8u0sh/avX6PKt1KzfuKk2vseQ3bNd9co
0zkJwU2Aetfk0Y5A6zTfQUY8mmpxNFMkm6U7cFFYoVN/3pnERI5pGcinesl/wROPw4U4MdE4qc+J
1zyV7fJWA6eyByQjMEwU0hhL89PFbA8DWePF9kb43p4r0RfLwth4XqlBQiSiX3+vt6hKiz8lVpAw
0L3Gh5UGCyFWI9/3TeQeTYjOeDaL+nPxsoObls9ekv7LPQ4BAviksbuMcAIyBO8vNeq1CENISsFT
I9vGCZSkrAe0G0MADauWBRoBv7b8GDovRysDuM0elgO2wcu0Nxj7T+bg5LdlIG3fsn1mc4NQpKLg
2GIhO+ZMCZKE2/za0+/+TFFyzZdmZgvc62GfBp24sL5hdJZlf6hJM19jkEI/KUwB8MFgnlgnB4wf
hV3f5TwHR1RpGwcWIfRl0nLfSv9HUvF9ofaHKwdM9QNHDkxWkfEh8Bjv5cQdAUfrQgrMq78USoJP
8ehC4Uw3iK1oeutY+/a7FUxFTaal0L8m7Dnkd2FHJfsilfYLzvIXahucc7viEiLbf/KVIZ7wCKJm
IizTTGvlYOqT6CVBpdxRZWnLHU76ju6P3glC6I/zu+4767/YwwRs++Sj+qy27qq3uN9oOM7msQoa
byeauryXQTbtHJJNDxCGItjP/ONq0zrOABkbk9MFkVN9OELqZj8MyfiaD4X9tGQRX1cnzY4kI4sz
d0EUEs8mIA6uctXVudwiHdHoPBp4EjxddMNjlEL97prY/cU9pjvn8Wwc1GBllyDpOo99h+EewGpZ
f1jiJz/mbGF4Z0lezG11k1NxG93hXiMkEaUPiIyPRVo8lqrP9zR4rO0qhJ62weg50HcN6qqppzqV
TLz8xa0ATdMdjapAFUetf9IUHJDdcKyziOWFR1welbBinbNZqgos7Gg9Gj3xi/DM0tdefFlZq/cj
00q2NU3a7YUro/04VRSH0dkBmyOgyxDl85Ro6J9sr+plhmWEIH2sJiuOiHR0jnEyOM3JgNV6fLS2
NiZ2MFZ01bqy+2PW8bN4XQAXAeLMPSZjF8Q0FT3UZA6wNna0jeJQiSSKuwtN5iDARR6sNsK2uwjO
BT1CLBPUkLEVH0iG0hPsWX8SVMs7gATqvRUfxb9ELsWpL0ZpoO1w3FUmjSDhSBLu7uMiu8CnCvZ8
A4vnuRR/B1J/YWRBP04E4EJSBc1m5GnLRsLTszfQoQ5+ovgJBGEyMiPI8B07pH+ZilmId1YxHlph
HG1RFsT3qheH2QInPJEGFjpUNMQqwfMCHAxJwEIEsTzDPjhK86GQnHoFrk5ml5YgtqNqAj6FsLnH
sgdIY6pweHuDN90W8rrsgrSIWOCy8sOUyMbU8QPYWJVXH+Ma+QDftBMsb6JrEy9sGtl+D8osC9oZ
yjndRRMm2C2JOB46zBH98AFMCbONW/fmVdKbfQ6y3Ahe6V/zQmlpAKwV+JSQhmj7n0UY+MVz42jY
TFiXdgPGgq+khbK3yRPXuelo7uhaw/S9z4J0iQ443KuGHVA5rC2DqPT51LE/mey2S18ZACcnBITJ
OrvSfrlrjSn7Eomd7x2mCO+beXzsT8agxmzvmi3lo/C0cKh5nNoXe071S92ApwLBFclviPeyfE5Y
YLqvrXDRlYA81MnLwMugDoMoUNUdvLZg7KM5ulfngfDntB9EZoh1iZZc25TyRjWmmfOKrkm0xTFj
v91AQqF1cMscEu/TiMAyaxqqo1mM2VRCq6W4khN1qK+uDJ87/iTmYWSZQaUvShULjFPpypyNB65I
7L31AEUrpYXZV+5AJLtgBttItUzNZfZsq3idQLcYhy6VoxltrEHX7ENwadGMtfxuSvroLi7wot9E
VO19UYl4ueO7zJqwidp4fueqRoCfPXta/fHdVrxw6SvloXD9iGhjzwKpLUX7ZBRmbtHtno/eF7nm
Wt0dZYnlgByAu2WzWOwGt3MCa0VtWDb1sA5zYJ+REREGS22XN15N75faGpNbTDx+Hatqxi2TuxeG
3YA+89o5EVUUv103o8gcG5vY8Yqg6TXKrP4pRUgsrjGAWpw0GMNOS9aU7pNVA+C90Y5QPRj+cnFk
ABo5dvOJ3HBkARbdJAl/9k3uw62CHNNDexx5XcysE3hbBkFZ8LS6NsUCvayVtePUSb+4HjqUKJqq
fJ+bvNefIO1kxk8QezxYguHQRBnCu6ZuNjrTGmZapzLp4umK0D4LGn4Zt7bg9JPPumxquRujngjL
wAd/LVPhjmc8Z1ULO87xj1jAWvuDeC8tpi5loQePu/GfjE6OD8QQLf6kk5teR9FxQxVoqCHwlvwM
w6a7F6NVHc01TFKb9E9tDMWKnYWGt1r7geR8sFHLqZ6sZBx919xYxxcP9zFnGH3STmm4lLfUbbWO
u2VPhslro3T8NxF4rneVSKTeY8CZuv8KYwji/zJ6zcezaY92fi062Z8Gj40p3UFNsWbRxwZPshFH
Z4XjyHxgzZ4eBBLB/zXtQCO2Vy5g7Km+SZh+njAv2djfUo6LyUmxfy3C7dNrRQYuezJLm8bGeLaz
s4NlXEGnSVxUMmbloWCBSGvDsTIzjL6WjnNcMk78iIeALgJRNOTt+7KgF7LL5quBibtDcBbpp7FU
bNrdij7ku3YiAwOsA0TLo99b3rJp8T/7Hu/wxpioiY9YwX9opcSumiLz4deqOonU637HduBJ+Ca2
sDBXkgu7BAtc2TSFaAv1bh6qng5XNh7si7M6PbAUo5BvHGIzOdgOAQcOduIGnDh0uXRNhGcbP3P9
7Xhx73BTyAZCfxNa/UnF5viHSqj+a8nZaCZE3op+CmGFsw9tYrg3q+3CitQparWNpatoFxzhpjbr
cwaWA6RqHvcs26h2KSdkFyjSIIOIyjuLvfxn9aIbP+ibiNt9NtXZavNIUlo79JT62aEZTffWMIov
D8fCBpdDOJLVhtyNIPdPEw9lRoPSz8lM+wI+Mmr6NlZv0PVTVSyBwgGtlh0su/3u0hpd77LQjKX/
ZMLhjwBLpPavmmEGtiI8O+uQ0KV11uy0JzymtvEOVA0WAfUcvQ/hdSUoJ9vGQq5mjGttsLFnP8ek
r1khZVRoF1mMrcCM6rXO2qrg4DlQgrEp8Oqeuka/5Rq+glgNvh+qb5zg30A4uL+TN60hyIuBsIuB
uIkV5smaW5N1Zm3KQpx92lv3dYRrctv00Kuu6djbAy0KTpWclM8N4dij84c4Frt3p0kBo6m4Znhd
jTYn6UJswLEL4IfqKvmH638b0vaGqSgGp/kc2EiXF2Vh3Xt03uow7ObahkTaIG3i7aP756m3Cp/M
dUoCnH4syqVoDZhK26lJ3w0B7uWi0qfBWo2B5uqk2WcqSP7RiWH5T6wrvfIJu6WLCzSwfE0Y2GLz
zioyE5IwVzby6pGJ2Vl7B81T3p0gTlBWkCt2zgJddcclNZ+vU8cL9tmsG7ZeGI30RZZj/UG+Y+Kq
VBntZ2HaOszTUllf3NvKU8rtBOVZxB7QF8za7bsiWp4gvDjezmxQJA92HEHh8hL/lJVN9FcC52eH
3qsLYOzoTE3zeJWpVULK4U/g0mHcOg32zo7YR4a+BxtUYCdoGcQQu/gbUDwnKeAFyAF7PKNjssdM
3047NxGAAfFQudjHHBcBlrRiEsYWQeFLVQbJ2nHR9Yt/8VwbBtfYk13p+C4QfqtFXxxa6AOIRJU0
3/1qRTUDwWK1aC9pGeaolOU20DOAfBKXzHEFp8o2G7Qs6KdrnG3C3fkj7WVw5z8TXQ/nbr/aTOfk
LhG37I3dO11y4OLdYiKmZkPcG3y6J8NHmCVoPuE5BHKK1y3WwkSycOYPx3K9DzsZrJe8z5HNx7WD
4OY3TtPdTNpNqlvHCib6U6LwcXLYkvMUHh1VVkdGTDaO7JroZYplWhjpLiBGGRe8Jvj+Ho0xdXjl
YEp5i6dSXqXsRiPbUFdjFLfZZOaBTpWAgp8499WmLQ35xc3UMl5ME5n0y4QoesDqVHz0BOrGP5hy
IZ/xPneSL9lxPTngY1fjo8rmhMKXSeLl8WY17xpF/Qc9t9IloyPrFwc07Uyymtl159GZw4+tJl5x
WcpswP+1Ulo/e6PJQoZi9eA7EQ1Xknr2G20jdI6bDA2nFHVVommL+IvYVDfvcMgFPFr8yKNLBEeS
JKfSIRiQniqk0ZBbp50qF5XJFon3JAYGpDMYxlIsG3AqM34oHacrQMIh+//OYiPGru2wj5+jgACs
mZR/Pcvnl7UxQYboWaOD54sr9DGa7eAE7L5D4ucxCc251/HFmZintzk++/KeaQ/2A6ss7r7FqD1w
h52NjGebOZyPWnqtgcNLCEmmzrfJ4MoWTy70y8ALaW7wpu8APOmTYfHTs3dsjsePvuoMp9rRddV+
QcemJVwrLiIOmYr2EndanlkQJNkWJ8S6LPBcvnBu5jYkEi2Yk/7G8l07PQnXs4JTlaUy39oGb4wN
O1jsiIn0xpB413JlBbx8xa1lNod+1h6rl2am/qdfKK8imzZuMe+51wpgHpw/kVTZLqcpdCHAG7XG
B27P6OTLRnIYgq1yHrVd6eklJe9ZZ9sCOhE5sVzHvthbnaWalzKZR6QLSKiECAQWVL4EegBD4gwn
9rHDFUOWTUnyDFvEEOIq4b8EO6zKAkJFVrfWtwYm7+36hlvzNoNNMmNXsdKgAEElq/FsBatGVSe2
UHpXQxcJGKPlKOZ+l418J1G/aJou6N3mcWD+2hMKjHfx1Iv/MlL3N59v6ZEqbtlR5bfU08M1TPbB
eoxAn3ckUEAIF5lLvL5hIe85wdTsxAxXrmg0nlpc1eN/iERJ8sdXNAzfSEkXBE9t+gD3NovMCBdm
1ubdS+L2iOlO51fFAfaPJR7syOHVj9KpDomODHYCOiqJxlFapwbC8kfPJF0aZnVWXzAQFOGgTXmM
J2ynu7Jm/9RPAuaUrBK5MidjPualuVE9zF06FmPbhhjrnD2r9BHPFUqghouT9eVbN/l5fs1Nf6wx
uC/m3yDR1l8WNRB9a8MJLP514IPfmgdG7JYGkE08dQDCN6lXIi13hftOktPdEZnowYlVxsUk8Myl
jt1gbexU4VsVTLiigAQSgVzAx2NX0e9lasdwgNLRu+DI4gVyZ1cZ9lnHrrnmFNG3e+Jo715hKO+3
2SbNDUP4AnRJ1QfsCfSdICNlDr6fud9DGZsQ++uevQ20QDfh88jsPgQx2DDVqLbbC41Fna2lPz64
wWX1O+w2XAe8ZQdJdrDjVqPEzFtAD77nbysX7+ZcT/jKYfzH25q+TDzMypjzF6qiF/8w9FzVTm3n
RuLo17Gl3oo1WcTqHYTM72mYJ5iAFaSpbHVOK3VeQJQRB5em3TMTLHH6giu8cV8AaI3kwdzBZxgP
EgNWDRXWahzPcBWThj6+imvPG+w45qid7a0gzDowRCi8tEdrXXg7tow1Kkue/Y7awU0/4CXMsVjn
Nbk5EwmKchBKKNtQybH7cYtVB89Yz5wb6cO5YSSl6Mru9HudxsEhFZaj97FtJT5GLuG+lVMbvHZ9
3r1ZTZD8TEAVzG8BnGGFu/vWX2yHIy7zXAzPXNoTkCTJhCEhF3rkRZ6A92n4VdqgZnFqdHHyZvSz
8Ysl0fwI4syNqJbw4duC7YP8dY3gyb1EDOs/2gxYFnEWeG/gsOk/KvKxn+8FKPSbCjr+44EmOHSs
ukMZh67Srk37qYba3XtJ3YSlRTB061rFfDEy5EV6R63hbUqa5HeAA8va43FPymdfmQRKooBUVsju
mFPNnLhHxLiP38BTGuI8u34/ce8pAHPDtRJ1Beo7pxIF5QOtzuyD4EbWRSmqXDU1QaXHquxSYsEt
KFOlWJPUSeJaYU9Tx8VWCNAA3GjVRsvjvRdiB4ymZ0JBwRdJkOIdSXocwgb1+iRLD6o/QKDHYiO9
nBlJvfIco3z+l5jN8OGbg38j0WDMrDD8mfZrG0hoEFtj902PpR7VZdHshGpMVLyrntIB5Y/yekMN
v6i1waCCiWdBMgMzGBG5DEzMY2BuFxZkHOsQzn0MMW5t6MtEX269RZhHCkr6dkQXpJqKAl/hew20
Yfx509NgBcN90J18stO6fPVgGUZ3Y8pppLWjYaInWckusHaVpVrufZEK6tCGepkA19fpMe2V+Ehc
2ulOiPSyfWu5vRA6L+zE2gW0xkhGaQU9d0MOcgQxYwDntygTPEaNm/4nEku/C7cBcJMN5p8iK4Iz
Nhj9r0vN7pqlvntRRRwXBzsYqEQKCEewrhvL9G85tyu21VnigYodw3uSEeLWU5tEScBsyJX4Mguz
sa94nlt9dAb+i3FsQTYKkoqQVj35qYaGbHvOtzt0xomQfTt+kEkLTNbuDKRA3BtSxz+1z8v/Xrol
u15UiaUO/gq3dbNbMfYZGyYbvBfVAbxSMNpFzsT7xeLdv6soDLY2AeCx4zAs6XBj7MBNTT6eEWHK
MhCGVJeqharghZvmyfMyPLHjrAKazechfjQEzfqwn60clPiSOM4ds4vRY0nlyn+eKMng95gzwjKR
449PA6+HF1su853CYE890zBU/KqqmJXqGMQexIdUpQTQ1p8dgFqcShVJ5l1L/MV4uDbAi+poxVSF
gHafm0C9GG4ABtnIBOC8zcCZY9drEXAGfl4kAUgPGYkaV6ocmRI2CKejAb1DiQm2F3/ecwTplMIG
ofpy+DRQBBNnKzpFPIx1VDrFR3bN4KJtZ1mVX5da06upOX2wMLKQY400Jx8xUDlFurxemh26Ohlw
VimTfHcpQYMIjnUku7pBK7sUXiDQGbXhlRU0V4Hk9OlF4P+/OxgRBZuSOmbIL2eKUTOYDmAjJrcm
4wwAnslSiJx+kI44pvVZlk0HtmUekti8MUZ2WPcK0pqI6E7t5mQkCI5glfPdxWAbTzIW3Yrd0In7
7sSH19besbQqkhpxMxlU4Pni5Hgyb8GHcCuBBgv4xHtdY8fqB1RueYhHoQ6OZuT+kWL9kvRUcpxk
YKNMDiot/0yZY2cM99ayGyg3lzuau/k2jr1m0Zr0FK79t4wkWI9FzfjxlBpS1XfbNnq9b7CGxVtr
qNziZLST6RG/ditxy+McwyT9ewRPaOk5Tnz/wWI6o2f+uFjyiwNJNo7NjNH+4o0xFN00L/QdbDWv
8ihX061GMTCDTdPF2nsrCFy6r6QXyiLeYH4yQqxt2AgVJCsMf8H4iRIIiyENTGzybIxivBzKsG8F
V+93iztI+bJkVfrqsbFldmNv/IdqDq52vhs3L1bbZPWObgX/UvFc/yLuuMBMJr8bMpCxLELLtKZ8
Ixg9Jkjqdeld0jrmH0C5hy1I64IPqLM1GvWEvJbCPk0WR3sfniXnI2gCl7RsRS0hyzxn08sMwm+V
61PrqNy4t8xAWDgsR0z3mvMURRRJoVx2UytjD9dL4LyloABxRKVBVZxTtPNtgDG5V7uxzOzmhps2
LX9VCe7Zb9fzhp7aQkzvWy9qu3Gbp6YRPScGASGUdZcbAnnY2va+apAe0tjE8MfsT0JAiGSYuoL8
hPlI3ezJBWqD1iB+B3TCRUSS6Dqm1ofTyDsYC8uLkimH5f3NsKI8+glq9lawyjiUwep+K36i3pHH
quloLihNS9+clu7jj0GwAN9nva0sQpimlCFyFMm5uBuXkBQCbcMSHQrcS+cu8urPkA/AUyzyVtGq
IpGBZlYfQViwz0G/AWz5xr4rwb+GDsolxCeSTxLKYYiqCUHIvD9nPpahEwfa4j0o8NYxcBQjarkz
K3TEgqI+514sTrVVkYWlkQtjUvnvLVsqJnVVyukv63NsrEyeM64F1o0qZw1JCdY0/DgB/4Vby03Z
UQRT377lRVK525Jt0NfMWYwcanhJyQ1snt5aLtfPxTIYPFmJ/oSj4x61svrlqsXAWJqCe917YBfi
d9cyJ5YZi5V7f5kxXMJryFv2a5Fo/3OhIiKO97a9APGYOP3Bfkgrh4vlRtlbVddxdO/J6O+pzACY
3ubLa29B31tbmYe4f3enwkrCYJhhp1JSpqvuhddOhuG5LKv609YxjycpmOQXR4z/1c6jZOFSLJTP
0jzuPluGCEzCCHoY2KgVC4aJ0nVfZuYD89RRjfFd+72ffmIwgmA2iSanM9qPnMdQRzY5IZ0zEiWj
+2VTTX8mh0ymlvuqiN86eF3+C3WkTFs8OcHveZiGQ+BYhJQnVV4aa7XcsyQtPrnAzkfWv6Qofcfr
QuqZQSUC9u8ggWEbmG+lmJtPghLp9Jr7xTg3m3qw+X+uG1KWjlxt/3Ro2atz36PnCkYN5KReEayr
ykaGCxMzgZeYWXC7dIGT/kQAJ6/TTDfj2cqCGq0u7zx1sPuFCyhUPnVI0j5DlGk0fBebSysxWlQv
mnsnz91WY+s/UQjNlZsECMpuXpf+LyRn9dK79gBhQ5RDO4R8/IZ5rQI5Nr8s+D7G+0hI3NguJL62
ikPaPVnSauB/1dIY6GNwhuSv5H5anJoBXoRNH4a8sswemqNDQHnYAZkr8UYFba7ufuCPpOGYtAzx
j/2TINhtQFpQjwLPdB1aUpJHBIsJIZt48Yi8KowifnYM6G5mOtH1EBpLq/1HnDVESrnDRFskTsAf
oLvAVqVk5oyQP59UNzWaNf5jn5OZPgXohHXEWL+LFuH/WZCUKGfmKXiPwW7gs8jhLpOnMKjK5FZo
F9t2Kcdgx0xkO/8FFQHeLexkVGK4P+bMZRhvPloTBAPgQiQBWRcgkb06nUFNhUYFhfvoIVOOdhkK
MF09mpJkDgDGhefETlZGrTQ7oihsduP96BDSHgCYOlsHNe4Nj7yZ7zNuJ6tCbs7+7wrgLFirxNbV
HlE6IsBK+et5GuvqveyaBsEj6+cYZ+WK7WS6xdG3T7igkvDtgaqA1IuL754TbLr7eWDnFyvr067d
m7OSxqcCuyV/qT6Ay9jFvHfOULdw52mL/80Sj/XpG4SDgosxl+e7PfVmvmxcBxvXj2l6GZ8bB0sA
kBgu20Lzpe58QCz8iL8UAOzlk7SAF0PSycqkf63pCXxFu51iKhT8+B+A7T5/0dp3wXvjVDgUBp8h
t2KJ34n6ThF80/Bk0UHgpPPvuaPROCliVFZioc7Gn2M82NKMGSEQKFZuUhxnN9XH9U8R+QELAEvw
V+IG3t7zB3ZNq/w9n7F3i+azSafoBwnPr3+PvCioicTXzfXIiJrmrQLNADmeHeAjEprVQA4giPeH
7S+/cyNRhOK42BHso4WczhrFoSN6bKk3bzLHY7GY6tIkY9S9YfaZnMcKCWgOnd2BLNipXs+0ifQR
54ibkJh/pa6oTF6RmGx+TzMnc+oYtNUcKKvwfmgmYhDN/C5BWsr6vQ78/zk7rya3kTRd/5WJuV7E
JpAAEjhx9lyQLBqUSqbkdYNQS93w3uPXnweamyLIIKN2pmMmYtQ9yUyk+cxr1LvK7JOToZLqodJj
8ZeC1geXHmQ+cDR8bao39mzgTEVZDIDWzJHcw1MQAhBVNB/0IicJ6jgbzig1yjumT0mFghOCGsKa
P9QaMKudmVnDtzzIRveQYFU5od3ku3gmyJhqxBZJ9hzzQS4P5BlQ8feNcf6W0wQDKKrnczxBg+Bt
39KTshfxSyKMTW9YTvmJBp0znwIIoAlJz+Qguca9WB1Dq69pHU3lE+3IvIaSY+XyVxfa5WdH63QT
4Z5psGaANxr/YJtP/Xs7r7s3gHjUEcccDe5OYgC4yAekCCZXuUvJP0fi1c37+atsywgRKzEOXwV8
aIsKE/RQ0Wds4Yh1NY8ESwE2hLn7kQYTa5xpTqxxkbkW9M4c83M4uVmsFx8Dt8yw2OOKAyrZFcTX
PtooHghUqosBCtnpA+HWDA7DNUu5TUDh5oeiowsagEE20UcHX3jM7NFKOPd9bX0HXVnELdWGuKIu
MM8AJ+XRhG7ACPEkQucDCNjoaW6ytEDYwOm19/3sDFiYVa4t3o2V3gqPuwwSIVlY/aPG++Z9IrTS
/6LKTrMWyQmjPoW+YewriBgeprrTW9Oc6Mlqkf00kVo133qbHuyWSpzxmypLEX3GjWH+XGmKqI1c
UG0Lh2X9gB9i9Lmhi7MFB1tav+k9zKWHW6b7mHX46mzRPHXpQ8UYEUElxtngEcn95D3vAtQkUgKp
PUSqculexxm8xn2TqRkKyxBxREevQjIPEWCTyi9ed7ig4h2t25g7IIXqDvFWT4keDIAuPQzKY9IK
W8W7gPNJqJtZnfoYD2SWu6abB7J7OWnvS2fS4BlnS0H7zQycPDgMMUwdbJRcq/+hI7uYfJqaMQmQ
oBMNZQlrcKHJQLSimhygNTXutR53TbGV2Blk2qYzS/owlYMXCGL2peFP/TNkgGCu/lGi7npoi305
QaOEFtWO1C0LcGv5tOurMG/FR/RyYxy/fY3WfvMpkkjlfWmdoh+fAOpoZfDbJdiO/T39Mw4YmO8R
uPzB6cAb47CWQel9S643Y8NhKuEGKUIWCEEc8ROB+mBNZJ9vqek7864rjOJHVOtFf4hNraKBpFfS
7A4xD1kHXW+EIJRvVQaEUx5pF4Xh97A3ubGOE26hU7nXc/BxVvvPv//13//v//4a/0/wd/G+SCes
jP6F/NV7QCBt8z//1vV//4trffmfT7//59+kIahUWgpFF6I216LCxZ//+vkc4fHG3/1fMgmyFvZV
+dO326rakfkMh1Sk+lfbIJ+A7QdPG+I8NtyNcCeyl9qhcz8m9LUi4Em3f406/zGGosiNV4QLp9N2
lw7q+Y+hezfZA+/+90QH7rHTzdL9psNpaR+MPpuyA0Yq0IGrJCSkeOXIkPItyxBK2hLVfmmej2yY
9IC0UBu+EismhzqbsGWxAccpZQdvIEf+0n0Erm6Pqbvn05UIzklHN6mZowGnsHM/HxTYFKUkBd4b
A5CheXJkZyMc2ZpWtqEfS+tpM3BsuJrLxtLfWwa8U4TwLTfldZaKslBJN3WHz2shjjZl2pgiVt0R
FGCpueATNQyukzEu+4+D3vmOF2QkNm9uT2L1yaRwJZLCjuWahgnSynXO52CwQLMV9OJ5UnoPPKkc
f6Ce1z80hkCqSxLUfJsMIzjdHnX5f32xa6VuCB2DFaqYbBRLN5dd/WLXFnOThJZvFx+ResTEosyd
7E2fwCyERjy3W8rBiv4yHrOn0MGd4842ta6MLk1lslsN/ksY56N3YGXrphHFR78Y2uckk9bHoFlg
uugj3hlq2fHriUrHMiTAPNs1zWULvZhoY0iNhoBZfGxaMssc4McWMlG97xJ33NdKOJ9vL+z6c+qG
yYYEb+hY7EtDrD6nhWBPNUJ/eMZ1Et5C6C5tFuoYCMtF+ZGCP30jm/D49qiXC8qoFgV8UzcIwi1x
PktqHEyU5ttzkRCib2bN/itsqGDTNdPmX68ei21KZcyxdHRP13cMe7MSlNj8Z1rn8jOBIrol0NGi
pRoFm+72YFeW05SmrhxDN2m0qtVOMSGB25SuF2Oghc6Pet3PaWHjIAVkwF8jWcdWMo306eH2uPrl
vjEZ2LH5ityjrlx+2It9Y2mARw039Z9BX3mlJut0X0u0eANqLZhqN0jUR8Nc/8xs/au5ePRsk6bF
Z8BHsaLmtrUhPgzkcy76L++RLPnkur155xBf+Y02CSdVaJuioxCr31iFZTA0iFc8TybOJJswsynL
wZc2H/MG38coLaqvt5dlfeGyu5XBPcU+Y0m4Qs5XJSRbnp1QM58NzjbAQPgDLUUB8NE2Cs4SFamj
aWt076GftPsIS9zt7R9wZaNzX+r8Dqpbui1XGz3pdWgiXaCe7W40TqnZUEkqUx8wbt/dGWr9snNH
mgskiHsWQBtyGfJ8skE8+p2TlfYzgnburoRXuwd+T05IO/+Qx+VjSeS3gf8qd7ruo7JRFIAD6jk7
3p7z5V1tubpr8WMEMxfW6pVrMXMBxz9az9rgGujdjo5+KtP0G2x6Iv0CKdY+FdMOjmx0Z+TLz82z
5DCo4/CkswznK+DOQ+1apWk+A/mgA6pZo9qN1J/2zpxYb2hKvUvBGu39zl7AIU75eHvilx/b4nni
adR1QgrQFufD80I5cAYa/dmIiWT1eChGRJ/CeSejpv/r9liXZ8lWSmBUZxoce1pt52NhMY3vRuP4
zwI441407pLQhdYBiHS7zcUYH26Ppy+H8+xhUmArpeKSgZEskJI6HzADcdE7IqPLF2h6+Yi5YSyP
PR1PSsORb9V7ux3EKcPmBhGpKcDmTs22PE2Y2s3vGyQn/yoA28sNwFb1vZWGVnL0Yx9F9TKM37qh
5b67/YtXK2Tb4Nk5C8oW/KfU3dU27JupQzBWzx+NOZ+P6IXVx0LL9B3NuPQ5CMW983c5nhSGzSdB
ttelYrsaTwA5wgA9qehOujjU5gPEdUREfXT+aVigLu7sb0/wz+314pMwQ/BKwlGoeTmcfnd1n/bg
JQoATNUjfeT2s2tq2cE0jXxrh2I8RXKW37TBTPCBG4GDlFmbHGY61ztB/vJgGcZ451FfX0D/+T2K
iIENia6huzp+eoqeSmcgpwReJs9CPD1r+XuISz/8xy9pwZ3qcFw0fkQaH3IAM4gMo4z60cSgyPEk
bqef7yzQKtf584OAIDlSch3SVVkdSFp1OnDJlk8SZGm/RRAakIKJTxOb04rFO+wjARFTmEXMCKfG
Se6tThP/pKURhbs+M+k03v5FV/aIrlzXtRxhOMt2OT9ErtAGgv6xBQxgp3s31qePaEtNB+oO8m+h
UzC6Pd7qKl4WgPdAd20bpLMhjNWeTDrsbzrKHI8VitHIBqPiNDwZiU1zu5Jg8o9OVdvj25rK9ifc
Nfv6zhY1llthtUWJY3n1WX+dGGwVtzddimNMEzaP4ZhOpxaLOoRBxfjFjeq3BPsmMlrhu8W39ne2
9GpIfyXvUkW53MY49YhVEuLi9HXGjQIDhSiw7vwT9AgsBfYQb/zQjj5OUqljJFOQIBkVRiCzP28v
4vqjOaTMfDDEIE2eF0qr5x+tMdEyJGtPTyU/Hbcb20K8RkXveP7UVseu4Pn2eKtnxHYc23QtqNHC
oBnu/rmJX4RyoVGHCi1w7eQ4bi8geVJ8HukzVgFct02aTTzed/bl6nJnSLJRnmzJPHWh26uTa8NN
oNbvtJ7ZivKoqHhj+TGhV9Sazda2qvEBrcXizuZYvdYM6iiLPEC3DWtRclxtTtzypgy4J34EjnLo
HGaw06x3dkq75FiJsp72CH5p2mls9LKlYQ+uYRt3dH7uTF5e/hBXIDli8JZaDlHD6gPnAmhPDefL
w9lHDG/os4XtcwacPOPltrvmm9npNrTejoLfTgaI9GTorLXj9En1kdW8aWm4ii9Udi0KJKgIi+j7
IBe3HMC8KG6+jQH5Jc8Vihz+TtBXc381JsKbDzqQfS6esKvFc4loa0gGWwGVQ9ACEXtg0W1IhFZO
EUbR0VDq4tQgDYSxT2aO9EynuNCWHDQSkTd0Wdfj3xiBrt/Ck9KCT3JAmPlzDLY+fU9ojRzhOIxj
Z2zwj0CW+/aevTgj5OauJSVSNaRzhr0s8Ys9awDXww4BiJLd5DRHE3+wN3QXUcMx5vI3NRXnzkdb
NsfLi4W9T0NNGDp/OXy55eJ5MWDSQN3GiizzxDC2H9DKLT/iiRrcGeXiSfvPMKTVBoeCl3Y1rxL1
lhi8eeaB1cDGmaLhqTYlRi1mL3F7Lo2TlqGxiP93CO0Ju5K0zJqtCqfkTmy5vsn5IaSUFvAYneqL
a67e+jGR6F3iDuAFrjl8Nqs02ufYUns5Rnw9AvOLBGRUlB7ZbnVnEa4cD4OqlE2lQJFXrJdaR5iv
KCMdyxCYhVs7z6N3GTJGD8OyC0c4HSfgPgqfSPyHU6ox729vrStfmnxGsq+I6E3554l58aXDrDHm
KQNIGeQ6iFfgoNlvLcqi1+9gA0yb4JkEwivsVazQD0WnMCLnS88wE1E2He0n6fiTtQ/iIfgKkh/x
/9szu3Jo+KIKmURiJnRjVpsrbsKxDLMw9BoTRxyzbx4hD4Ko7wCWWQZ2GLeHu7aZkV/WBQBw/mI7
n5+ZWiRTSzcs9AY75Rkdk5r7zefyGMdkj8oDLilpicTGFJdvAp/uwOS0+jtRV79u/5CLqIDNTHWc
kpOylwrwOizpzRHwQB1kHgqqBtbqoxodD57OmHwz8SqdNxWWVfLH2ADa25I8GdHOLigWb2bH0oLf
iRpF+c7vDNRWUWqpZ1vb0Nmw5K7W3cCQm4JYMvbiaB7KtzOIpP5dpSuY/q5A46jZZn7nymORmzUA
HBC1aHPenuDFC85jKqmyE3oSCktzlfUjEol/tEEhxgGs/vciFnto+x51V3BDeP/dHmxd+uEdZTX5
ywJCTFFlnXgAasidiEcC0bxU5vsQWaFfUDxRyU6cyT5yqSmyUfw3570BbKBajLn6TyVuPOkb/tH8
owEWxt8qp4meMMzWyz0evsavmBhWv7MFr+x4cjJK7ooTZlMBXO3AqRBwepvIQwpzluC0sao1A9V8
tmbDKZ5amhr/3F6dK/emzaqwLKSA0ljv+dGODUrtWuINk9vvsBWyQMSqyIu5xvalNJo3jQywOSyD
+PPtkS82AX7gEhlVrm0eKJou53NtUh1TpipiH9q4zMLiMYIM4GcXPWagvJ9uD3blkiTAt0i+YPhJ
Kqvng0kLMoBeVrjoSWc8tfArt/qU/C8eIe4pOkfKNGwSq1U0P2Dw0EcQnr1mTqhmAnAGOyp0DQ9P
NJUQUugwHJrAwflp9nB7gte+I6GZsAX35VKsPp/gDC7Hbc0i9jATSinfGcWhRXJ4FzoMnzWQVqFH
mdvAmIfD7ZEvY2NaDss9zYblfdBXhxkMuxw6N0m81jEL9S7UKP88YIoSfjQCg6buiFMj1hbF6L9+
6y6x1PLek+XD2zmfcl2acqo1P/ZK7F0ekqHUNhNo9jfjGNt/j1jQ4YQRFHBaqLWWd978i827FMop
zgsahRTU5PI5Xjy6QMeDyOlmw7Mh0W0L/q4Ps+EjBRiL7E56dbG+ZDh0I3XagEySI3o+lAWmI6c+
ZHjYORsw8PB0UkDON4HdjA8T0nu0fEX22ouIRV1G5RUC30/cej5onQLXn4RUXop2xyNpFipWeAJt
8rmNDi29jzvrefn28iSQ6NgO9TNh8zScD2ioDO+cJLN48qAOwIzEPDyO/6lsbAhwL5k2eZQx+zJH
vD2E6QHT0dgXI5o1r9zNy9OkK2oPNAnYVqtNZdpxYvqBb3pNW7mHpgXZiSxFvjNrJTcgdcWnHH7a
ndlfHN5lUN6p5fwwpLta7chHEnMUvvTSJrZDwLvdDFhmIF7fuITuHgKHqFErK1PHGujqayM7RqdV
SaRhEP5wF58vvSn0mts9tlBcohH/tVaYB6D+URRvwWQlaGQEDVyD1y8z/R+bO5ImHvW58zFnDQvH
LOgJ5nANg5BSxQ++VrjvHMxODsEi9QYgNovv7Oorp9ZdIkk6Xaah83VXo+o0OIagNb1JZFKgRtU0
CDsFPsVYPQRHe3uOy1Y5S8GWdUUOkiPEY87zcz5alqou1rTc9MySm6ENVb6laa/vo3D6KREz9G4P
d21y5AGEiwQePOirndvBZIsQf5IIRkzZtjUifPIEeJYcdYI7Kce1/brUVqVBuEykvArMK70aZpMG
i5d2uEQI2blHDbXufa5yeWqBvH9uI13fUb4sxJ2No1+dpsPtRM5FwrnuYdRIH6AfG7qeRHg9c0A3
z2WxRRlnrDcVtBL/wY2AoT1gtSHw1sW718QlInAnl/pXK200+n0Y+xv+2RiNTGT2JrGfczQnPoOu
8I07cIBrm0Cho8DtRo2Va/x8E/it7wd1BBl4dgAh9oA/UcpQ2TGPSWmmMNHurM9FoMOmW5ATbDjS
JletcpgZEH5ZTQHi4lnb/sbPsT5ASM3evn6vObbQHRuYIjthtbXN1hkrIWrTa4uq/YjBUvbYtqg7
Rc1s3rkbL7831QtdUqQkhCfAWU0IZwJLQ5VCEaD2YuuHrfHQVSZaz1Ev71yEy7Y9P7BLoUTAOnZ0
+xLzkgRWU8MGVED3HeBWATLIyojaLwDE+71PBP4Akt7fTbKEHyMQZbm9qJcPPcMreuPAjkAl/9n5
L2IKidgSmhO5602hM79JS/MpKRG6pcTm40QP7NAIURC4PeblSWZMkEWKPUpk7KzCRsQY8QOcFr0K
SnXPYh6RMVODxJ9R5W+tApvlZughYBfar9sDX+7TJXZi5yzNyAVndH4uGmcoqwo0kGfHmW0+lWaD
QDpyyVXy5fZA1/bPks0vSRVlhDWUotesvpok90WIPoSHdXf5JrLDz7VgaW+PdG37sIzmUrXlA67z
zCRsRTQZgeOVYa2BYLNb3CijOn7UhwHJuCSv+g9JqrLvQyfivy3exg+3f8C1NV2CCAo0tkESsHoB
yF1LTcsm20M5an7nIw+IkRH5/uvvGPI1wkOHk0K3Zg026mNlagrNBM8K47hH2bStnENCefHVtwzj
8H4Cx6PoTJPkfI9Qvp2duVQYWwIz/aHMOX+ESlSTw4nft1fuyjEg2HVsA+Df8q9lE704esoMTfDT
ruWN5aQ9+ELP9tS4x23fV5hrgz0jxsZ12aJVeuebXRuZ0I8rx1aSj7f8+YuR6fMs8HDuHCjj2Xck
k+Kdm7ewPHhPkayNVXZA1q/bgSm713y6cjKoTdL+oiEJ+GJ9Moqoh08adsoL3RwalkZ3a2rTZNcN
TnS4vb6XryDhlgvJk8tGUFBZvRdhrPV/eJce3GHaWP4UDcfMpKhCnRitFQ2nwNsDXrlLmZZDg4h3
l3+vl1UrB1WWMdeLHqCl3FunznLRNokkDopDUe8Ush+3h7w2R8Ulo7NV2UWWPP+S5A1DhS6b9Nwe
je0AAO2jacBdEKow0ZhJ3DvXzbXPB8SBMqVNDgp85nw8FLFnMclKetI0QBfwixAhmzEkGZzX39V0
ZUl2JRWpy7JG1E5jVYpeenNhuV/1Pux3jjUWd077tZOA1IdFUYgrRa17bEajIwKI+opXVqgnV26m
fcELIN8FfQG43WqMZosS449I+a+EbHKxUIeQynHA+Zkg/VYxGvL1CQZ9BOo6uN98Aw3W/tIU7ldD
B2NtjvAi6iUte/V2MQgHkctckgRpL5f5y4NftCos+4QaKAWrQxskwc50C/9ThyjJroKbGd2JDK/s
TwM1RCr3Lh8S3NH5gKgTQOAeSDL7tjHxt476k5Eb/gljIlrtVvP59vwu0BfLqiL0SkKJEDBov9V5
EHE9WZHbSQ9Rn3ZrBTESN0ANd9EwQEsYiQ02fSQR3OhNRarQ10/FQvIZ6P0i7RA2w50Fv/I8GxQY
aBLxeHE8V195xGhxKuxBeljaNnTNHbzdN2BSoKja+EIe68Et9w08hmMFEuvZseN0f3tJrpxYcs4F
iYJuDoC65Qu9+OSmPzt+1NUGVjiDf4jopntjVTcPYVUEdyZ75f6TOsBVWo4OwBdj9XQiHygRKO0M
L84c8QjJBEXUrrO/FPEc/T2peHpqZS/u3PJXVhjQOAAAMoLl1l1duq1rqV6NlunlAiFfFMXdbsYX
Ag2XTVrhKLvpkRR8G7TI3mzRZlePyhzC7s7Ml3OzCuJ5T8HxWPTDOMurz4z0ZIxoHwnQhNvi96gZ
/A9zHxrz608TuBmLcuvSpkdk5vxbFumAAl+hS0/3FX2XDj3TomwMmPkw8mROp/f1e8fl9gWpwtfk
qjofD4fiAfNYul+1pme/R820PfzjtbcF1IM7b+eVbbo0+o0luyeUXINCUe8LtNpMTU9Qud0i9jpi
XNminxwYIdrlt+d15VYi+ACCs6QggOeXz/niTLhJPPey5NXMAKp/cnuyug38P1yWJB4O2Ly6jn9n
yCvzY3OSY3EIedPW2xRGTMxz5hge3C3xpi6skmJfg3qfjbzp7dldORGUMi2q0/9pPax2SRNh6ubH
PjZP+oLRsVDeGDYBruA7mHNQvGU/ftfkYO8HNA1IMSfr+fYPuHIPwJFzaLZxGkBfri7hKUpVHvkl
1MpwmDXo8XKBviF6g+yGMeroE4HcSbYQs5zqzgm5UtLltoXiBOiapIiM9vzTwmGumqoIU8IgS03Q
BH2E5oSN+9KMdzbmXZqDPl8UJm8HQ4+3vYOVtzOHzt9mq+yH2+tw5VaglUqKC8qZjf2HefJimyWj
JsiqRfI4a4n+Nzsj25ZpbL0+mH85yrqS2qNE1KGOnzxaIvZ3hjua2H6gCt06WfFFWe7zHJW110X5
PRz3tc/Mw6I4SXS4oIGcL7WZA+R0Ia0/DlDCzMepRsbhkxtY+kealumPdhTIACo9VeOdoO3KWVqa
P5RLSOTR2lq9M3GrGTbClPEjEhD10ckb4xDHOp4VQXTv/f7TSFrd7I7zJ9J1FPSgdQDTDvyZxOni
UdWpiZkKqFZce6Isw9+iK7u2POHe1/n7AJtIfH3HHJj3saogHM9YR8MouvOcX15d4Cbp/iw1e4Nr
cvWcE/Qksz9l2WNM3F9hEVpP0VYQ832YSmt417X5PZbP5WovqG0uS4gaC5R9dZ3AigosocVY0oZj
dshTET1UVtbslGHei1Uud5S0XMozCw8LCLW7+rBYtLa4DEFri+2q+RnqUY6SJ0cURZ+8hXMeGtlO
TC6qibcP6pUpLkBCXnDwPDBnVpdGb5ddjI+s740I0tW8pHX21EVhXmzLJKFlf3u0y5yDSg3tYPau
DrF2PZqEs4rtCOhahG2dtylSaA9+2eEVg8k36rlT17Vbo1xw6pS7/V+3B7/cP7TzFjIC81VUF1Z3
cwGzQw34T3pWlFHhS7tpU1tlD8fedjdpEFV3QojLO3DJbuj0U2LkNbhgNsoM+TpMebzWryiiWqlx
GECxPNye1eUH5Gm1KQwvcSDkpdWpGJSBhC8e5t5EUP2+aJz5rQaH3Evb3L2X0lwbi2dNULah1E1k
f37tqUilJXinyUNjaAF2ZMhQo/4NTzm5V5y9MhSJ0wKZ5zCB9VrFXzFO9u2Anrg3dSr6iddW+j6P
tXSnzXN8Z1NeHwo1PTqB4E7X9xyOHKVA7KqHglGM71EUyY9GYeYPyIrfwz9f2YJQJBbICUHs0vQ8
X0Cn6fHqc7PB61H7Ojg16tlZNID5KBAInIe2uzO1PyyI8zvcom2+AHIUTXtUH88HhEkswsH2ew8/
wQyzTceKTlM4+h8Ls7K+Yz8hDnXhoNVXZ5RO7IB3bFdmxnA0UsxmuMpLrGgx3b29Zy8vO4sLh8wF
MBI1uHUlLKvxhjNiHK/QOkBVw5iCB9X5iReiJYMQx3hAG/SVZC+KDnAHQS9TKF6u83VA32XmkKcI
c3oSAd9vGojmL2MVopyJGsRebzCruz3HK7tqCQ0AEEDzsrl2VivvjkjrZFHnNehEezl6yCdq/PNR
qUY//C+GggsDcIFcmy7d+VCR3o19mOqth05XSrod+CepBeY+JDG70167NiuuGXMpoyy1xdV+woG7
Q/gqbr2xj5r3jqa7BwJe/ROFDufOAl7ZJIpCNIUTciJlrZueESIbpahU64lqRHFeq93joHBUVWE8
PNXVhFbVXLw+pabgxtcihgblQsZ5vpSB29SOykTtFcMM3GSH3IkPFC3FtjHDnjpEbBkDtDE80LpH
C6twZer/RpilbO60fK/cFMRevMs6oEQqE6t4oOtSbI7rAgw4Ar/Thxa7g/CU1xVidCQ5Ghqonemn
21dvJEdyMS2gJsZdP8+qmSg0zGbjKZmNhwnbrX2ECMzR1BBOuj3UtfktS0wa6hJduqtnC1euMcE3
iuh8Edzxhfs7nyP/AdzdhISB1u9vD3cZeFh0vXgdaUrRQV+jaY2uJ20MrdpzOfmo8cNwn/DLOJZ5
8QF/oejYLFZdyPs0d87m1XkSBpAAU0S4AF4gVphPGua83thY0SeUPdJvg20FO9QXFlnFsn64PdEr
WSAV6uXUEPkCCVg/MTFhRlm1Ze9ZsLAAoMUJRuUpbmLbaWiRmWlqHEqCKXKQlszmkYQpC/5Kai35
MepJc7r9ay6vC84S1KKl3gpSbX1dhBOC5sjRzNTdqiHYYcI2v3X7pJoOotGLe3vq8iMvJxcBh4VZ
u+yt88Pbh3U8mWklPL0qsDKLE3TgdzjVyc8TGuKfXBvJbVyn4mRXd0l5B/F4eV3RFvjTzeZe5L1d
HVigRvqEtJLw6JFUW9XE5Q99qKO/i1xDVcZdrIKtNnZ+vnqBgaITUFNagU+1xlnGaLWa1oArb6Aj
KmfGrfMuz4xm5wRNdmcnX/mWFDgBLlGqIgJcQ4icxqpC06I4NRSJ/JGrcTohmoL4oEB87/aslrU6
j1qgqi8cLZP6ueBjnn/IgDdy0dSfvADE9J62qoV0c24dU9B/RzxvAQY0GhiYuBxRmSjzO2foykwV
8Hc+J28B2cLqEXCQ480WUqlHyFQcGlKRzYAvyQZVuXsB2pWhQA/RDQEgBQ1v3VRqhCaJPZPKKwHD
P+julH7MsEfCAbWO7lyBVzYoRSH6ghSnSBnW/bKa8g/O0COzQhkVeP+oNR6Y9wz3elSiv2YlB/mx
5rgUr37K6LeiqqCTX8Jrd5Y1eFELAh8bTWGI+aPEHgT4UqAmRXCt5nnXopX3q3TrIX0l2RasM3gZ
W5qE9AuRajVmiyehwBE79zJ3KLPDXAk321dhgqpjZneYoBRUfe9cdtcWGHzW0nRdpB3WGE7qgmUP
nzvz5gS7VL+yfkbIRW+cDj6gYZe/cw2Hu9sH5fJ1YZoISQB/WF7SdSdNHxf3IdfPvLqSzZM9N+W+
HY0MElaVHQatuScfsB4PuPFS1VtYVRT1nHVUonfI6dqjY54mPS0C1OklLpb424ZB9zZuRdrlm6VF
Je7soPV9sAxLa2Fpmy9aQescVxRFHsKXlid8rpr+WE4I1W4zWduIYXfIxuaBDhEus5xdSAP/YXDG
4eH2Ql88q2x+dB4pQIE14UpYo4LrChfeOQuME95BLcXcasyHT7UFfmnvzlEl3o84dtp7X3N9f18i
G4J1VlomwdNQUmN/CBGnj+7E4hcFOn4TBRu5wGfhQkGXPD9YYWAHgFjL6ZSWlbUpgqB+HOmsbi1o
M0ApQoxuYLhuHSylqOElwaHEYu21Ke3yI3hqlxAOphIYlfMfofPCaxFsktMATOdBOQyImfjoKdX+
EpgZ3wlR12/8MhyFdVKPhU9PmHo+XGhO+BtlRn8K7WGs3yeZm8JOCiecwPcN2yRWG8RrE4ybcX2L
JlqeuCLc2Y7LlF4+T/wGYGOUJjjkAuTf6nlCsT7CRMPsT1jkGf/Y85R+SeswfVs3YX9nussnXA1F
AZKdB8qBAueakzrj9CeaweoQycsVZhNV82CTgN15Gi6PNaUW+odLHMEFto4Z3czK6cQP/anvy+mp
TqH1IlWBK006io2Dut3m9mm68hEX2RUe2SUVp+55/hHdGH5mrs/dSfL1hk99UhCPd5mcxgy3w8xO
PShuho9DIsbFmyBtTXGnc7C+q2nJEy0RykBsBgwnVtvILhOF6njQnNhkMR4FsZlP6R56HWSSpFIo
X+Va1GFBmUk8vO+JKl0QzpbhmTpPFOUZAp1lgV48iV3u9gpT9vmEEVdguMe+JrFPNg7+T+keOe3a
eXTo/YnPuYlUHuV0py3dYVvPone+dzit6G+H2XHkIbWNSPuuIbBX7mWP/PmDJpAvODQQzIJ6G4yU
C36Ffh2n7/UuVnhzFAsR6ofj4sT83GBdjo5mFKLC+dovDKqEZ0KnP8MxWYdQZuRG4H0Del9R9SkP
O6ygW0xtGi2FTdH3+WOnjHYv9Ui7E6VeHhgJHneB43FDLFn8+comEtPq0Z78kxAgSWNyr21oT9mX
V0+PUegMmyR17J7V96txDS4Ms/NPeNYZ8SZoukUryuwHqoadVToHxwYc/qDGxDDBkmbBx9eOD6AE
/gZhBrhZ7E/OZxmqIh+hWLmnWflwQ7mp6k3X03Oaw8T/iT1gsEuCtHPR6rLbe/z0y9sCRRvSGUp3
UAkJJ88HR5GvRNlmdk9jr+MPJKzsTVw52fteR/Cxchj19mSvjEchBj2+hfcDe2H58xeHxUXktg/j
UZ2apMLTuJCyx+y0hlzWlBoJQBNUd6LHKy8rejkEHKQhC6Zh/ajZtk8AXuXqFMztQgXB7XwuSD/E
RI9cVb5EvbIKCxoZgGmiiOB5imCrDnqYPSWNm+Z3jtO1JQBbToGa07nIKp0vQZ2iB0CTniXAgsLT
gvETauHVg9+L5CkrtehOtHNlODokNsQxgK0L5eB8uCGPVYv7k3UKxjjbhC3EkCKY7Ac90MfNJOgu
3P7Cl/EdQDeKFqTvxlJdXL0Ho8la4koTeF2BlcFmLg3sSFEQ0X/ahZ+/qXrLxuNrMvvPKMDjSuRi
V5Ifb/+GyxeB14DxISyicnFxcWQ2jWRfNuCzRr04dg1u7UkUppg0UCTJAxQOU667V7ZzqaHSzkX4
kf9e0s3lNnuxtTOaXBQJhsBDTc/dZfRMD26h8j3E/nvqFpdBC0Mt6cmSn9ADW31TKag74xkTeJiJ
a8YeEcqgeLAEPM2HPm3c14JdmRl1yyWBR3Fk6eOcz0wvkxIvIwNvZqU1J7wutU2e2cl3bI3vFSau
nVZAQZSXqHexY63V6Sh9iX+o3mHZZlnzXiYYeOY2VmWljnx4PQzmNh5RRkVODj9zmEg48Lrh/vb2
ubK8vDik1SQICwx2NV8/1QJR9q57aruu2A+D9cGZ5viNDwLl9XcBEQPBCxc/q7su+USpa80WMjan
nvU4OFkuyk0t8UbY5n1ab9Mgi16pN8mtg24PjyrVX5J4ss3zjxnNJtr8g4Zs2qgbTyAeLJj5enWE
Udbe0ZW48jGXAh5lJnrgy2Fc7VMjGDI9wEfhNJcNdYKqasTfflnp3+w+wRqlgjftmVM74vE8deJp
NrX4K06A5p0r6fIK/EMhYxMDzSK9Wa6sFyezLOZWQluuTmOpORRqW3Sz6iR5coq6Pulk+Ifb++eP
wOt5pA9ljZCFRIpWMVn2+YBFi8khFiblycW5BskSO820wkOTXNmfZuwomLD0MwTKF22aQ+ualfY8
YohSvbEGkVT/+JU2WZ4dTZr9PGCOindN3WTyp4o7O8CZZ5BhtDX9LspOozGV3d7VhxyB5qjGx2gT
GwY+nhgPYuy7GWnnimgzBYErv4auwrznoNdVE+4tM+nB68OlML4LHON+obGFxaKDTLh6SIc4SN47
eZF1m8ivc+3h9hJd3tAoGLMreCogXBBenq9QLguDheD3R03pH9xxfqZjOh5pjGT7ZgLPK0Z/vBN7
XB5rQvVFvo+a59KFWo2paSZG13aCjCtGjruoxr5Z5JaNvRVFyNdOD7gUYRXECzI9mt+r6cVTloda
lp7GajK+mLhXBLs2cZpx6yujGw9lP4JRnmvu0zsjX6Zj9PQh7NCp5GyDXz0f+f9zdmY7bhvRun4i
ApyLvBU1q9We7dg3hBPHnOeZT7+/6hycbVENEb1z4QQI4BJrWLVqrX/I3CCr6QJ3JxsFoBHOeqCC
PlECDFwohiR7x4zwjax6vFtnYtxK5LxfVl6AUBUo7FA4owp6Ozqsr6rm2hpPVp8ZKHPDJaSSMO56
KjvXPHXmD7kkYj+e7FfW1aUlQWeN4iuM0cWV0QGVpueOD7XQx7A69jm0waOqFyHi2M3b70Ik1oSB
8KbsetPvuv3CKMD9YdKa/qRWqrWzG/zCSXDczRwba3Wqu8l8AYXpaAMIngU0u26HEog2T2MRtqcS
rCVOmmm1w+dveB4DVTvncZrgppqsYUrvJlNiT6j90N0CJUZbfzEo70pzKKLm1PoBsveUw6xnUU1u
iX5aGXx5vHJyO9zESRSWyMhBKwEoZfkWXxhNMZabGLOcumZwdyP9redsKN1NgETZboK5uJ0Ssken
y6VJd2Wu3L7395N8eEkkhSzZYxywuJ+SCFgUdkfVqTAgrKOI7x7MfEgRnJ7r8B2Cxqk30Xcy+QUY
im/xIq50bEXeDG4nOQf/RzWf/gE7ealZk7gFDsqOVp+y2UCFou0snA8wAt+kqNl+fjznd5ehHEuq
hxh0hqm5LaJgZ+nIayLCe7ImAyRrjmlmvMlbREz3RBRrb4aVr62c0NfGBFNOpkNTDd3pZVgwUdio
bb86VY1Vhscy08Lxi10rGFoXlIU+Cmjzb238yDk1aVUSiWSreCmY6ot0VJLOqijsdcW/Nhwqz54D
+8vUofHxeErvC8qMRXLBRia3IvNezGkZR75tZV19UljhuKM7W+Zp4KV121CyVfxJO5IQuNnOKUv3
C4l6ae3CJNKbjwoGpn68aYyqaFdi8SuTTmIJ5ArUu6yyLn4UqiJti6t1dorxdfsGJLH/wfs+VDbA
9voDdamgefsyU8TmoSl1ieS5vo0dZT5bQimM7NSlWdXQnR61aBtizjb/8M3E/Gq0uEau5Ji6PKO3
MQS2C+VHSBMGW3r5OFGTwYgsymSnGWBHJjYzBycqPQvDwgkRE1km08O0nMKzYWBV9MG283jYVxi0
Wc9TpSNm01rTUPyjYbJjeKWltcGL0WKMuU9nUwVxo0B1u90Qui6ac1iADdYmLHEs+6yKcayP1WyX
7eHxjnpl7aQWLjmEYwM6WnYowsJoRD5WKajcIjrmiqUfE6Ued3ppfSmdMF7pPsin6WIOKRfzZJUy
3zwoF3GwzLJCK6O4Oan0987J2DaXXExrdcQXSdTFMND7AE9wpXFTL2vtdeiisDVXwwnXlV6ceOHm
SLGouIvsK0fQ5PYVsPz2dlQwSfhcoZeqnQNyNZSkjTRPviczTiPvMYke/K+UZ9zwXWxi/zZtLTc3
9B1eggFWfwmZsrRsHUs82fDNtE/WMBLT4YM6iMJPVWrsrCjx2wMo+0g5Qhml4pbXeQUTEMiBfoxK
s9fwgS6FtUnmdBIfkLVVUcjxU3f+0RaY1GKCiavX37miqeEu83WzfA5dLYp2KYIdgxc1mAJtU6ea
x6+paSL5Eul6/xv7iWx6nnOt7S7pFCoGMrVGOGvk52GeK+farZAb2mg6shrJBlyH5T4jeeg71CMn
XIgeb7L7q57GB7milF2GML0EdIBl4TfwCDi1iOmOx6bUR0y6gzBKPSgzzb+PR7tLTAEJAzkgF0Yd
jm2wSCxgkAeTS9P6NNqpqMItcuJm9R6reiEO+TRGyb9tFcSdtnXwLBO7aMRb5ePjn/DKBwPLhvAJ
U5nKwjI+KUOdAkeeKmoLY/7NgFLxrcZzBtdTnFX+D0PJk0THBybH8sZz80xMdpTXpxZZaO3bDGFi
+K4kZKi/R3S6zA+Ph7tPFZlauImUFF/0BRc17KGr4hIggH3CDa65ZjVmcDBcT6lWd1c8V9MN6EFr
JfK+MqYsHPOsJ+5C5loEDTMGo4opFa6w9ZR3W71r9dqzFTP70geN4iFO030KXVxvHn/q3SJK6hjY
B0nJwTVm+ZgnrbFpHAsbIFtuXgV+1+eIbjV+lu3avX4XhV+GQkcQYq3k5i22bB2HfoOAhn1sQqX6
aTbuXO+w2Uze64ihnDJj7ldO5KsDEvSlxjvF+CVM0ijChjq9Yh9tc/7bR+36OuDWtdWc+Vemq9GX
xzN5n/4iIUjAhxHCGgIFkNfCH3URjGlm7CWFeSxUJfmgdZb63exIJnZxktsh8sl5gU9yPLT+SVdE
q21UH9GoLdaz+u7xT7l7CBi0dyi1AQ+FhMNVfvtLVMdvAqcR+nHoMdr9V5nCqRG7zHGGuH0qRysO
pB5Zqj7PMSAXz64A/e3jxMiGb49/yP3ucnk0o6ohe10C3s/tD3G7hgZmhN3qMDfBJjBC9aBbTX7o
wdKc3jwUz0dp2sN2VkHH3g6F9S029iVOoBjeOgVlmzA17E96HdjjN9I0x/38eLy7AIyKkpT+AaFJ
/4U9djteTM94GlWlO9ixPeyazA7/nlrMpCj91IfQLKFrO21wMc0y2j4e+b5FyhHCSgCoBUoi2l3L
I81np0bipj2EosG3DVGRjxFuvxfF8MsdU1Ru4bii8KOJFqCzJpBMLOanplGjk90VGMmZ6IcCTMi2
6NMh5pWVxSlF2ZmHmVvhdtp31gerHIKTOmBymPq1/mxqsVgJeHenU34FzlYQwGG70wq9ncAIuEpg
4nd4YJ7sS1hV1Skt1NiLcYDY42i2php7B/gnAQITgqgqb3GgCctQRzJg50MZA+oyzbDco+Ye0kI3
/C5FbnKeKz34NKI02p1r4SfBuw6kfUqmAJznycGhQ/3sjqGjHPDVpNS2URBTMtdedi+Z6E1Ox28k
fCClwDMLqPEiRipoBFvt2NWHBnuGs9ZM+qauw3rTVFHhhYMS/W1nurFT58G4joXPIxOdh21bxVjb
lnF80DrV2WpmgBlVGMYfcOA2941lVdtmLpITav7JE/aDuICilfzFbUt979aR5aUEx1MZNvbGwld1
D2REOeIXPK3s3Lu4JL+O69sBs4Tg2lKGDKE/BIQKpT5kgci30KvSpxfD8KKs9a2fdO11RDNqq7Zd
+0QzLHxriJDDU25CfEc24JcXUFJryBKPYXPIignIaRU5h7CuZq+3jbV31H10AFxKV8AgZeEpsCSc
anD8xtI24lOVqW7db7UkFv5+sOox3htz4RfPjm7Hxg8/CPP551xT/lNXJvsuoYCFxOky6P2QyIDR
WpwvKxnUtM75CUk6XsKgaDyMQ5urNWTVubE56Eo7z8fHsenVQflgSF0y4C/FxQcEXGvHDpKTW+tt
H3l1i9I4yuJ2IY4q9iLzP4muZ3Hi5YlZN2tK43fXDUJA7C7ZHgH1S654+8nTUJd6oan+URnQAuss
Ab67F8mOOlOyMrv3Q1FJpIdHEccmoCwlQkIeM3aUTe6xaOz0SAlR/4CChvBmnHhXbvO7QMklQ+Gb
h56s71OLvv2qYMIAWRW+exyTKNirGSJxTq/bF/gAX+tET97a3mE4as300EiOZD/0drhkLPBZwoL3
mEKU36moqXspYmpHJcQlSykRKH68ZYzFVNJDB1FAxvvSvuB9ssi2qWOqvmkMypMJTCQDHVpUw1MW
1VGyD7veqSgfZgJBXsppQb2phVrmf2H3O6iHBINI++IMpoq6LP4kCM3CWFT35NHd/L3kUfqbJyUu
rfFsgVmeeb7GO9NO7OlgAQ2Ymy2eU8nTOCSqvdfGMgk3Lsr/lee34zhheDX7o/Lswl5+jyqJ2R3j
Cb6ihxA3HQ/TB9lwFHFpjdu5rPzgELW+yHiCZ9psrCE9FgEFhi34Dml5IJE78rl/uyq9hes8lZ/g
SU0N/1DX9de+tezPhj8KT5idvY17AZ5n6tfqXosTzcA8MMnfoKWSaZjmYmCNV+xLXRmpsgAhDVX7
CcdG2VVJq5+00ByOUsxj/3hLvDImgpzEaENufMRbbj8Wr+SotGanehoDxz4GEXoFeVc6lzo2J0TG
g2QL/G6NZvySFf9x9yIBjtAqQ0rAJuKVywd80HO9W7U1XyjgmOqu751Zx5anTQt6aNoU/ipqf/ir
ShQDP+WiSU3PQY/8Y4C7MQIOMTx7r6rsptlM6IU+m1WV13s/C4W4BmXgfLXmWg++FXGmpC2RGDAf
8t5paOBQnoVThZMbU1Fu3ABn5Wd0stp420+tcD6rlebk20ot2vKD4ZSz9rUeij57EjiGJZRU/Ckp
vDwFQ50hiut27EQpGB8gD1jjWoGxwwDq9COVPfQ6PLWySyA6onTHaqsFTV5vO/yGLk0Dd23PPZJ8
60tk6jb0zYcTMvSzuou4Nt+NUOl+Jfja/etCUHQ2DW7Yb4t0rAC9mRcZN1puhLrFlVW44eDOSFpf
Mler0RnTfk6THz2bsHOOUxQbKxno3TZjOJJCkgGUiHiSLoarwcH5I5BGBCOt+NL4vUlzFktwn7LV
fu6sX7kbvJFrKT8ROAZHCcw7oIGlMp9LP6gZ4dpeyq6ePlrlXPzV6l19sQ36ta4U63t8lO6CKxqA
0igBnDj+LbzGbo+ShfBoFJAaPlehNR0QVouf5jksDoCe58Mbh+K+J1Dga4gpjmTD3A41J36VQw72
nyre25/Uepw22Be139NxXCNsvOgT/XlWgbOwaqiJvAj8ALa7HSvJnErjadlciJUFbzDDbLOzpQ/K
D0OJTfzKEqf+t6nr7ifwqqHzFLR43EOdieGLk+pBAnkPG5Rj61DIhgCF5kc1ddq3dmq1NVj24vqW
YUWKLBG7JRyS3OT2p85BQV276o1LVZjT9xxmzj/kFcbHSc9/KnFdrpTK5Jf/OTOUj2CSkOdacNwo
DS9iZ540djbk5nwBjdNfBhyKr0NrV2+N0CBs6DICBKG0AhFIHq0/ah1FV+JQmZTDRYuL6mucDFj/
lml21EqrfR90UbQ3h1GsDHo/kwxKbkKfmPoRV9LtoPHUAxCZ9f5iDvOEiEipuR4LbR3QzA32eV3Y
axK/9xGC2YQ3x1uMKAHa5XbEccrnQslJn0VYqapXGoidR74RZd6YtdM7NcB3qJ/cZOVD7w4tJscy
hyYuyU71MjApGmr1sNS0S2PN/VZJbHvDq+p3O7trwtCvjERHRJ5WuvDw5BbnqIV5meRp114sH/Wj
zdTDw7FMnokbzQ7rlQDxgpZY7E0ZAOlYsoh0xRfTqcKxsts0aC9+rPjbTueK95QagNpfnSHaeqPj
cNlunGEKv/et2Reb1u1MF11W3Tc2MlnQPgf0wvpj1bV9tTU7K8G3Q1e+cRW6xS5rre48uy3OZbYW
BWiq1bVmPgmM0+la0ROIdyLru7/N3FYTDxWe4gMaqHqyV81pKhFD7mqaJqIZ187k/SxD5OdZgisj
mH5IPrfbCBrfaGkIClws7NsOGVqim174/TPti2Elm74/IwQ0iuRI+CDbgCbM7VB102vWRAPgUoj+
d17x3vcHLjHJr483VqkW/7wx6POeBySCjJGUniG83Y7ng+wb7HBAVjLVzd8j9kO7vtWrcT+JYFpT
e13UD+Te4Q6TpqFgMAl0i6gjJsOP6sI1LxZiz9syNxEO4NhfrCIQyPD3U7zH2bMGbqyn88EowzXd
kvvZpWpB0/lFeIN7Ti70H2EvozFdTFj2XszAGc9115ml5yb6/Muxa+udmdeRv7Ke91uHu4PeCnhR
xAuhRNyO6CZZnGLubl/8qpt3IX44p6AbnF0wRvNK1LkPdlhWoXCrk3oLFfHe26ECq3fMQONBZfiJ
tlORDT125sjNWKJ8oeKH88NRMKR9vH+WZqXke+i/SLYA+Z5KBiGn/I8pjevCDxzXLy8kzWkMiFEM
mdcj9TzvakOZyydE38RfkMR8FQCwX82HUg1000PtOyu20WSWyaaeC8d4jsNB7EsVQv6Gip7Q93GV
R+oh9fW63z3+1ct9IH807DIcS4FDSATo7Y/WM0QI7AlSWUSKGH/Iu8TRtg0Msr/LMCzL90MwWG9s
n0hDV2qCUPx4l0sI+iKIzM5o9b09VZco6dO/SXucbKvUbXl147hr9q7fTz/e+pXcQRKDQTkdQscS
TySgwabT6DeXuq+Kq97M6pE6eP0tDtQODUdjTUFj+cblC0F+ELNQywXMvxSNZj17vciw3AyAugc8
wrWo3QaOkfmnosYMa2MjEvrFnkvFG/Ru/vbmrwVjiBABQo1UPZZ6MI6VU6AatOqSDqNt7nqztBzP
7Uo3vI5Doe7i1OKHvHlMSXIC+Ua3hnLKIqBJy+vMFxZuYlNafI1GvUKWu3XUjaU12YfIUZqPjwdc
hhPuSNmGkVVYcuK7l3Vj2lyLujJdJCv2mNKA39cuaMoubdaeA/dnhLcAiCgiCWWDO2hf6bt6g1zI
eBlKzdhVpll4xeSqhyAP/pkpTK485l77MlIYRgNnJ5m/t0dSQjwGA3r6JUf3MvRqWPHddgjN9odV
Rm/V3MQTXaYbEostm2yYcd6O1rtTZDpgrw/pOA87oWffBshl2x5Vvaek78yVTubLUfszc2I8aE0k
OLROJfNmkTk5pAsDqNPqUGhDCJM4Ntzsue0ct90AwEphUulReRhLTCU3QZ4b9L8UFH2OGVygTzhq
uiGKj2WebKoycyCqNPrwwdES51ul1I2+8VE//aQ2rpJ7eaaMNJ6hNzoeltHpLojR+QQwrXS7IIc4
TqWpzkNvChDX80JRZl8eb9HlJf/yqbJkLlEU0AAXcY7EDvPWvqoPQ6fUz0ETh+CY1WpPJyynOYT/
zmhT4tVyMz0I159WLtzb4ZGVkQKRSGdTY6MTQ3i/XdlcS1vdoRG1n0Y7Ofp6pp8nZYh3BkWXdjso
mGErU5QDsrDK70GirsmFL9Bv//0A0COwNgj48CAXG1lYlRskAP/2RoOvaq7DWo61Wf0YAv3d4oc8
X0fdsd61etafaq0JdhVwz21sK+XK1Xwbjv/7IbjwUBCTXDp+ze1MZFXYKe7sqNiF+4ABqFyhIRmg
oNtVTXf2YUy/rzoR7KF3mIfHe0D+1f+73QkYsspJEiIJt1JMbTEHMzbcIC5C/ZAIO/ic+LP/1JDF
ryz1bch4GYWOIFccBXyqQMsyYxoVs9qZs3FwTJ7nOFZqH7VJr7du7K8VLG6D4f8bik48qTkNYx5c
t3Ppg6gqRGgah0h0+rtIabnCam387gejs59nfy2tuvs0Svc8N5C9osuG2NZiAh2lb92aStQhynuY
MCq8F4xIlf1A8cB7vFYv4pI3i4XcJ1cmSQKrBdV+cWKsgLscp0D9UFtt+37uOn+rKY6zgWqqHdQ2
/pVkYXnilTx+wQBx3gRW6FxVJ0o+2zmOS+R4zYF9CELCKJztRNJ1nmx8z3URR89RmCkfZzsBwjQg
51xDMzz0gZNBg5Ymk+gZ7HK7qz48/qZFr5j1kt8kJTIIRPJpvPgmzWomis2dfqgQTP3EHR2jFSDm
o5EYNWVoUNSqmfdHva8VL0xncUxzu6YZq9Q7x5gQNXBQV338m+62ED9JohhpbcmXwHKa1TLUjJ4+
08ExEusdCswf2qmZjnWOtGtRzL8fj7Y8/HICyBK42iiNMgmLw1/Y80gL1TAO0HLcz4mLkBl7gIq1
2qiHcja1TQV77HtcEhrfPDINKNJAFOkoBi8fy0lIlgaxxDiUHM1zqAGaiY3Q3whRTp9UI1IuYTPr
J19p1jpR998M6YFyCFxH4h1tj9tDalh+TbF0Co4p9eKt1nb93oix8ivMlOelUxe7NM3w7e2MNXHm
+7Ulw+ZzpZy2xdNiMdt9aeU1CLfkOLvwm8pCFLvCMsJr4pClIc61xhdajEdLTfonyOyFxwTRbzFe
OpqozgQlDCGjhD+/HxKFzCzjeee4CB+PM3KnlFj74+OlvR+WshYMNu51NhVswNsJrkWEurJda8fM
NxRcIHHswjz9l1kN4z6agzX81+Iq5ytlydthUS2Iq9QMb4eD7NAFJtLSR+zI6m3jim6XFL3xzcij
8IeluO0xGR17y0yrm4zVXknuF9vpZXg045z/DMv5j9vhbUyiugmxhmPKfX7uQCtu2kgZDlUZv4uy
Vt2lUfIdGqOxfzzLt+94aj6UCgC5kJ9yAxDJFuMGuRq5TWBqx7Tyo28O9pCemQzBe7TP9MNskN3R
/s1WMtRXB6VACvhK2v0so5MeoYjnuJl+HGvL2CuZ7SDJQMA0mxAWPs+5bdVqa06jryww0jMcF16p
sCHuxLDA/NpzZurHEHjZAXtCfxNrWnUwYnQpbB5Xnut3zdEvCmsLQ0f//Xii77czJXbN4IEMNwyp
qsUlMaD5qkezsI6IQI+7tLMyTxdDfHBCK97Mavg2z0C5sPxI+IOk/9QQ72DsU6QbyVAl9jF2Rsez
C8d5DgFzQPesEJ5cudZf+zhUjLjVMQ2Uz/Hb3Yv+Ra7MfWcfE/bwEV/n+lkfJHpyMIevGQdnJeVb
MA/++zoofpAsiLyUvRentSrmEU2USBxn2AWbKjbmp3IYsk964cvKsGYc6tDOD3pq4vAGaPIwcQdu
Yl6uhz5r56fY1/uPTYy7Om+E4r1R5tn7VsAVKTUt9MAEZcBRVFKiwQ+G7G2ppFwa3mc8zPg3II0l
0JESa28UfoyFszZk760uszxDQ5i3qrs13Zv7sELYli4mKqIHZOn67cLMva/ljejtY1U48dHVYcZo
wFHeD40NBAFqrFekkbOPKlQbH+/3RVL58pGQ2biieDBKq9rbke2GGzJ0QPLgoGL9Nbv8gE1lVIjv
5Jr2+fFYr2w/88+xFmerRLUV2/FWHEWgYRkuoKtPorPPNlwCrzZ7cXw83sIjhu0nKepgwoCIcb4o
WNx+XDSXne3Tgj9yNXUflbJ/n2tdstWbsP081G74q3Lji96V1qlHPWSDRNu4J1GRRFSl2j7+MXcT
DfAcMDh5O7cl0gSLsyd6nKFVyNXHUSi2h8KzdYaveQ3dxvj01pFIcqWELHhsjOmWUrxA0EyhkN2S
nqNzoMSzshtKoZ+iRLffGFBonzEEHAsmlwbQ8qM6p52LKne1k25X2SVvw5+KU/6K0jH7qGXqtHvb
h8lmHSmsZCNSM70TWcDopxJBapiQj2zTqxs3fnJzXBvTPltzFFtefQzFI4ErT6LB6BUu7tu+nupe
jGyMSG2mTTm1ttwTs5e1vrYLJ+PvOjPFygNleTxexuQlJF0EYYapix1iTTF9SbOxTiFC/Hu9KbQt
5qK5F9l1tGtnam2Pp3MZdOR4ktJETQQkEMHy9nQ0KVr/Oa+SE7jyattppeGpIyDC7USx9J9eQZZe
HTN3hqTXc1QfDy7/8j8emIgeyMEZG9AzV8Cy2az6uej60bIAU1bqd6Ms1W3n19hjPR7mtXWk6sCj
A5Yf/yxCTpGVVuc6g3XCsU3Z29P0xVCg8MQCfWrEVYJrFYhq5dZ7bR3pflDsQQ7qnkNjI4Fbtklk
n2LDCS6oyPcfYttNCOFT4enZoP79+BuXkUVO5R/jLesQZl7qdkIl6VSMxRe1Hvon5Aqnf/tIOGu4
h9eG4pnBx8kIxra53TLUlGDc1QOElopKVdoW2bPgotpKVsZKFHttFuGsAxgDtiilXG6HitUh9x2A
ACfH75N449uB41VRmpA3oHK16e08X0l3X/s47npYdxSqpEra7YhZ0JhGqob2CVeI+kCgUa6d7lun
BIDqm4dC2El2XxyCtMar+HaoaTI6K65DcdKi7FeaGtOzGuOhVfrluDKN9x9FZ0DmFbTjeC69EFz+
aMV1/eA0hejEiR5C+A6+vIFnySAVGqu3ASt448KgpcMDuFBWOnlx335U0sXF5AeGOBl6d7ZTaZvs
DC1INQfUmoCfb4T2/OXx3r/fJXR34ErCh5FojqXxztTNuBM6s39qg1rf2PBaz2qtSRWAxjyA4nyb
3trLN0o1GgpwsBxwPlvcC5nfj2NDhnDmLrW3U14H74WZGCtloRf5nNvo6MoOEqkzPVRKNothDC1I
rckcAywD3ewg0rTxmjntP0bKNG2GOOufy4rGgYj98GNlRrFHijqEHjLm0S7mj03T9PoRRk5HB1Pv
xUpUfQHt3f0+cke6lhI0tMQTm/2IRFeqKafY7oNNA0zgFz5Q/VPdDV/TAgUkJbWNPexqY2u0pfCs
LHcPlpU328kP9XM/jO0xHxPzqMeNIfVl3lfjDDS0SgNU9h3Do0NZ/2VhW+jhpkfgTlHTUxQ72NlW
bP9K4sG+opqV7ErTHK6KOYhTPmbjsS8bd2vVoKmHWAQr9+UrR4mWPYhkWVHi2C4ObWFnDYl6p5yA
jI7nNEQ1cYpz69zySlyZ4NeHknB3mgI0wBZXc5HUjWkVk3KyuKCfIaKjOw2i5xz0eb0y1N0NaUvs
A61KOgIgxN3FVktRfEsQQ4nOom/CbRQr+skNG3UjwkY5GQ58PtNESOrxsb37PgYFmkTLjQGl59Bt
qIAgSBgxxviMBFlziDqrORhO1B9yM167jV8bipKnFA2mtUdJ+3YooUB8CW0/PittgSPNaI/XQR9b
b2yyfIUjfheM+Ko/h1rcjl3aW5M1OjHyZk63qUMt302hEW6Z/7+DgDbm40lcACYJRnI8R+KuuEbI
Fxcb0p3gzYoKYcC+KywvV4piGyRhudPHGa8fkQdPgwXWw8qF2E+K0YH+V2YAxOgo6LGWv3MR3fk8
BX2JIAwPk6JMg7emtPxCgQce4BN2F4twO/m+yEstNpBhIfxn7+LO+jbqWvA9Zcy9a6bF24QM/5sR
uhUAJWmtssGM2/FwegkGNPETnFb6fB/nc/0c5x1iJblQNggZVMpm0MPKm0nd8s1oNvHFxhJuJQFc
sEZffgYsHaBacFZA/S2xfrpTqXneqMnZNWYUHBUVodyxHGfzedaTCPeltHZ/2k0ftVR8svmfRvdp
sLiQ8Ku3xiwJNnxRBKf6DddksSXB1SP4WjrJuVNBHc4BOlew+LO9xeleGWpZuGM34ntAGgG3g9fn
EmtRt0UfF/jxncsk1Z+DLBUbC/z5LtTEcB39yvYcbBHeh3aoXvwAw6/Hp+GVw/fCyrIA4714Xd8u
/YiyYNGiJXbOtX7cO40anotYbXblVEyfLJqaK+O9usgUiLgSgJxLOfvFgMPsz2XWp+feHg02eDKA
YJnbajO4dpjyZ2h5M2SAwJvTTveKEf0cDuWaD+Jr0w4gWvY4SIGsZUrul7XbI0qYnsUoxk8jULB9
gH3a2Uy7r/yf4ZuhuKlnT03k2S0OPSvXxyvhVWaVIBh4MPPekcvyR37ZzlUw+eWcns0u9SkaNc5z
Y5fRGQjFmkPf/QqzhXn5UykFS0sd5XaosofB349udlaqcNoUgxgoD7vKT0Q7P+tdlKzJNt+VjyQQ
Hbg16ESSMcibi+gF6wzsrOY257EQjqfGqC02qAnDXQqLjZLnKKlk0AHVzk13vWF0h8aonA+0H61v
ojfXerJ3G47Ug3okW45Dxk22nOoqb+10UsbxmIi0dTcVQJFjSlPdY6uViITM2XPEPJymsje/0+av
DlGk/PO2U0YpVNYpEYdgOiAu6bdrgHWWVQwFzLHOcMdnDQeAjSWK8IImx3gZRbVWHl9mJ5TGuTyo
EHB58CxbJgo4GpNs5ZZ2ds3c2prg4LeGXncbDIp0RDn01EuC3F6J3zLl+SO7BaIitR+BgpJ9cZEs
dZHMym+LyUqUJ2cqjHM+ivC90qo9Wv8dbdm2t45jgVtHludrBfpXR5aCGJIwjOTfIlyPY0B5aII2
pyWWei4C1zlgFdic+gIN6Rq9xE2raiEPGyz8Hi/soh7DN6PMRAGPKp6MoMtid4ywSNjTzbk2oKO2
Sa/5+3io39ijlKNwqEAD8hzlmbjUd7ca0bRuPmfXcdS6Y6i2xiZox/BaN+rsJdqsnB5/1SI6vYxH
vcLgeShhsMvkNgPvMwTWlF1TR8Rb26qDYz22+IHP+lq795WhkCWjJgKpDzjeEmMEET3qs9TJrrxy
Waey8IXYZAPCpW4VO2sPRJm13m5R92a0xTkEJj0rTYZ5JY0QQ3hRDRm2G+yUNn7xiUTeeM8NXX0u
zdq9oixmbLB01lbyz0U8lpMr6wpcLgQmcE2L8Djg3JKkociuRW1mwTZDucqDsGl8qg3zYioZupiP
V3MZkP8bUQI5qM3KcsbirTK1fLKYmGMrmKdLYk1XDKfc33mnVOcOIz3gb2S5Zex+a13hq15gUelA
ETfnx5VrJMoFypnIJL+fJzrvQYRPuCJuY2EXNk2D93F+TWZLofNbp7bXV40JETsB0NbGrEamBwd9
EJmn+GkbbDS4pleAxc3OCk1Upg2qhEHp2F+7ArVJgUqAsfWzSdutTNxr20WjzsSp4zCwaLc/tR00
2uaKml/7HifLBEYtFgCB7QnfVJ8ihUylBR/3o3Ia80tTxMYucHqnX1m+RSx/mS/5xESeXZa81EXC
lMps2Ynt/Kqq1gwiYrB6mud2ebCqPtn4catshJ68sZ/836jQuYXU1OKptNilvpKJ3slYpSAxxDPw
1b/yUS8AuUzzrgdP6hVm+G9Rqc6Xue7nlXP6WlDgqvz/gy+yo8GvRmQmmvxa0sh7blHy28LRs8+R
Xn5/vMSvHUbSL53DAVUM7ZLbFXZKxQ+LcsqvU+XnP4AlJzuRdAM1IC7qTcZLaP94wPurCjUAkHb0
tND6uOtW1HZcdhR+8msdVeW7OsTvzI/s7jBM7XsEyyNUTZ3xc89Kr8T017YRWBd6eiqPKzo0t1+q
GsPUqLGbXxU8Zg6RWkVba4Atq2UivKgCyfw5ABXy+GtfHRQYskChkV72ksWKFDI9kCkormHUzZ9i
W5RPRoAhoagza++bQf0hKu01keQlbPRl7/K+kHqJgMO4N28/tUhVP0jGku0TpubPCUH+IzfXtGuq
uPnYaNZv7FXtZ6dRvlVw2a84eNQUkW1jjUb92tcj8AFNgcRI9uBuf4c/ajF6LlV+zVJX25uT3f1S
Q5fO9JBGP0bX8p+mrhtW1vllIRd3nCxJAeWkSIQk8WKhASU4yTRR5tdrdNwxVlc+VZ0Fwd+Jxy/G
pKqtF1Tq/DMzU2sP8Cg8iMidWJKiOPl+Ue5p9oZPLNxaneeV6UC0mvIvFz0vkWUiXto0Vjs7C6/0
clBa6pxpK6za2IkaecRJc/zDNKXD4Y07UF4ypKMcN5Aid81PXymDLMGK59r0YYDjFZDqjdoVuDWQ
DGTP/dChI2PV9soq3H0rw5J28wfII3L+xSKUgalYMMPDa9pq2u8UK+kTcJXknObDX5EMasY4reWi
izGBIcACpnrCZqO1gmbF7XYrxyYxhrTK35V4vESH2ncGJ92Aqi2swqOdJ9r3qt926d7V28l+W8mK
wWVtF6kRcE9wdpe26/EcZhSsRPeuqObiwjvuKxUuOExjo20QORlXLsVF3AYKyeOSJhC4j/9h70yS
40bSPX+VtNz0CmrMQ9urZ9ZARHAegqIkihsYJVGYR4fDAZyrb9AX6x+orEoylKXoXPTimfWiylJG
MoAA3P2b/sPKCLMO2pOyHV2nsZ3hjv+d9BKWpHIKdN9xujkFu2jd/noVBTy6V3uKywHFB4i5snFI
9IODaNg3nl0HlrLvdHzTosmkgqly1ABcpNpIFOdpq/Qe6/W0rC+LRmnvf335g6Dxx+VZUlTya5g6
WE1gCCB1W5l9J6wl3wbjNJ5pVa8Dh5yDTT6Z947y3Wii67z59YXXD/75e/954YPvbYnEGtKkte/8
vGg2Ag2sfW6a/v2vr3K4cH88XZgxbBRUHA/bjwluD3bXCvsuDwrtoR8hNGpUmrvZ95LTpiuDi6q3
xiNf7ecVxCtFAIkOBSpIoGzf7pY+EEWiJ4t9twyN2uEb527cAUQzXmhOWAXxMczHYVR6eYkvAt8I
arBTD4c/ZeZltbu49l03tjKqDbeLsEFDj95q5g2koWTn5n2+K1H3uG+Qto3MVO/3HQIuR1pwB9nV
eiMvFg0WGeXqn7C+9Fe9p0L4s1FkuXOXukm9dWSXnZsCNvfSNMekWv7iIeOgBX8F7hPQ8UOVKzcp
O9BgyrmbRnnbeaNxbiWO81iOBUgpb+qOUX7/YiUx+KGNStUK4vUQt1CbIoiXXjp3M9zq07qSwXcC
gLZRKHRsY3sO8AO0j3En/mJ3WmjRQIJczd44+94+T9zrrLwwpXuHjx6A0iAfzoJJIoDdDPbVEsOn
KJrmztan+Zix42GsX18l3XrSyLWptKLt3l46VniAydpw7toZImzpdoxwbcTVYxCTuznWcbAskmzr
ePgOMSqXuwYMUJiiUXsTD7m7TetWPxVJfwy4/vY9gBsh0JN6rZB1KjwKk7f3ZeRFmtKrcb+tRIng
gmZnaV7Emd53wSa2LAC/Yz3k48dKNonz91T7Xy7OZeFGg3uCZnIIX0uVRXcVG7NvU+tluwI7hnMe
YropXO8YCfptXPhxKeYUUFAxV/TAzL39nnZOxuJbk/9tBqZ2UnpGv1NmOZ8GrkSAQfPg9weFrn/w
sQILcwxM/1bUpSXKxYGrrc02sCUwpN5e3ymNSdLezp+bCcLIaYDMon4runR0PxVdaqg41NAOWI4c
nQcNhfWyNBeRqKNrS9RHTfrtZc2sq+fB7sznRVQaDLkgdYstilRud+aVfTuKDQAiXb63IB36t8BA
9fx6FlUqQtuMgbwjIxFvh5gK+kja9fa84Y5Wg2Pkuml3M+FDKOrtjZFxAdlzM/0ZlCT0GrsojF0e
18O4cUTVPfh1Ox4j4r89Teljw4CHQko3f8Vd/wSW9DVk/EbPSb/T7hBYZk/qA7aEU2hUVfrt78TJ
Py61JiKr9w3J7MHBnQ6SDYel/XfIepl1mQcSrBv0Jr+8N8zcu53HFC9C9prnHHnjh8+VlQ6IHpIE
DTqkOA7VBuhtYzoVTHkSFqMnLzK/tk5m5P2tMPNc7RThgfqY5PtPzxVYL6JA9D3wgORkPXiVY4wt
VBWk+MdqHmN2LRmcqE041aXeJCe/frBvT3AeLLI069FNr4OpH5vq7bLROMM8bej6JMwdNz5t6oq5
ftmocG6N7EYtnn2DdloRpt5Snf760j89WSC2a1uORbvqYRxeul9G+oQIRGI5bvvzdUPRGOHy1dJo
QgrJ7JgE/vqCPz3XFaMfwOaCQgUc53D6LTJNgmypY76rjPNHxA9bNwQyJi+rRQTiSJ7+89XclacP
O4qeH/9/cEAWRk7nfClUytQYrCFQo6IKRV4GQaiIVEeu9tN7pARiwIMHFecTepMHV9MXO1kSs3TT
UE9sXXE1tEPD3kljmyFI6RQrohdqQuDMzZU12/7Dr5/twayJhcST/SHiQMuQwe7BDlW0b0trtOI0
ZBRi6kgLW/m8aVXll+fNFODy1TdJjoW33vvfUh/J/7AYAv1hGMTw9xzAuJfV9XdV+mfOuPoiH9xL
Ssq8eIHy0lB6VnYizXK4GJp25JV7Nf5EyzFVhp+ePiNGWlrYuMHe4pA42EXmKJOJ7iSMhVoN4o5x
qtyhNaWFdlnGZ2nRyH3iWmrjkIkc2UWH+QZqx6tND1uYr02TdI3Tr1JaTE683q9GLj1ZefV5rto7
rJitD02tM0L2zPmsQHz+yKnxogj0Z3XEuInEi5QPUVF6pID3DsLgGGdEosbS09AmkRfv9U6JadNP
1VxH/Nu+t9x0ak6ncjI/u0OV7a3KlPWTWxrjpUCdUYVOU8wfHL3OjHDyqrm9zPLafgC551wZiO/c
9jKFv54ljtJOBKzL6ZEjUV0OOrzjaCCD6289JLzkjwrhv3+d/kfy3Nz++A7iP/+Df3+lu9lnSToc
/PM/r7KvfSOa78N/rH/2r197+0f/eTM+94Psn3+7emrFbztZf3sasqY+/Js3H8GV/riTzdPw9OYf
23rIhnkvnxF8exayHF4uxz2vv/l/+8Pfnl8+5X5un//x+9dG1sP6aQm39fsfPzr79o/fOYj/++tP
/+NH108Vf/U/yy9PdfZ08PvPT2L4x++m8Y7ignEAiZUFZmMdcKjn9SdG8I4snNzIJaAwhVwVauqm
H9J//G6b71wyXR9qFFyOVcjq999EI9cfWcE7kKYAFwmtwECwEPj9n/f15k39+eZ+q2V122T1IP7x
+9sDd2XE8vEETeoC+szA097uhI5qjol3jGQIg8l9UQ9lF3pswm1TtpjDvXoof1z89cWQg+Tj/twC
XG5lVqN7RuOJR0H+c3A5p2IgMhdpNPSNDQ9myL7oeDB0YSlkc+Vrthx2yq+zPmwqU30RUCmTsEzM
8XrOIbauqWC8hCDZ8pspnhMkFlIhgw1aI/nelvA1NulAPhfFiDxcCJTtmqiqW3U2SqBCURY4BTuH
g/ChiJMmDu05diZAzrQ+oyQ2EPj2zLz66KR91YZGn1v7wu2b20BVI/fS5RmGUADNI3vAz2Oj2X72
0Mdtgks5ChFhiiSJHwk7V0sYZ23rhHpfm0E0FLH5GFia10Xz7KUfBfbRRqSjdFyGU11Nfug4mqZH
CyTSasP4QfMiv2jH66Qvm09iiquLBvXtu6T2+vw0JxCNUYliuwxB4sg40kfb1FCVAfYzjuzvrTHM
xviM207nbgdjGR6TJnBu0jhdLLQZeufBxzwAF/O+NN0wQMHajbSl7j7qypiyUyae4xguRTLvvQLj
nk09m6CMmX10nwEaxp+yYCqbDQfcij2qcRJfUREd8qK6Uo+2ntHCM1PD/2TO42SF8zRUX6pqztQO
Fb8hWzUQRBIJ3feBayWBsUeeo7JO7cERzsZbDLnPleVqYadQ14wsiZZLOHj2qK+wQkkrRGFkzapt
cRHv5+AekDTAjKbyHQjydVuPoat57mM6EQAgp5r2k1YJzYxKnNFAthZz2qN4h2zorIbxC1WWtEOJ
T6sMG+RSnahCXr0LV+WuD0xjeybmC0oDY9ct6ckA8E2PUNCdPwytqmu+v523IXXPeDPG0NlDMSIc
EjElgjepBR6eoY0xnViD3T9naIjVW9sc1KZgWomCN/OcIAJZ7X5LcjQUwrmc9fs6MUVGb7Dvly0g
E4F0kN4LAF7lKB9s+pYvimwYRFscjuaWLqp6TFKEEsN4ci0R9k3/0rP3siS05Ww6q0YJ7kvVLOzy
DGOZOY1YJtoXpoReujE1TQzrqoudEHf7lDebMiXcFP4sGGgbIMxDie3Ee6t3OBysfkrrnWFNdrk1
CzjCEdm4f2tawqzRnwvsIgIrORRh65g9+tELhlJhp2VIpejtTFkrDXxxQozB1PdA5m0V0nVmN3Mb
9441qe7UzVIsF6Cs2lbYYFCcRkqfAy3Chm51kwyUvBdDbwHNyTqI5TS2iyvPaVocWLXJv66mWku3
6eJ03xZrlEtkxIZ0Q78LmnkLj3p4al3fy/hQ5CVRG1DlI8O0oQlhqMU907XMS7b2kljPynKq4YoR
pid2U9uL5mRJjcw5B96Z3KelahUYUOx6dk7WDV/LdHGHSI6Vbl0hL1B0YNFGX4Vln8oktMQCM9x2
S/dxcdGe2lh5b94Mrjd/9DKh37flWN8lQVqISO/L8dYJSsfYLp1vdhuHkWq1eTmK/1+E7Pa5fj/0
z88DMfu/QKAG0PMqKq2JwJtQHf3v/zU8//btvwHmyfrn1xH75Q9/xGzNfLfC0dDTJRmm7sEg9J9B
W/PfAcpC3oKIvTKeXpoof0RtQ38HQGMd4wC6fgnc/4ra9rt1qEefaU059RU5+bei9gtx689ACvaS
ETvCRo4OCNelLjvIJfPSmuKSM1dWcTLcA8gllEZyadx1c3g6Zczcss4+u3peZ4/4sxbmnUikOfdn
ZS7ppm3y1tIS/9vUaUUcY3bROs23RcbCFle6rLQPS9znCdKAXatdZvXUv++G3mtPawRZbkdz9L8k
AjE1vY7TT37qMaQFi+cHZzJTM2g1YmAaxWWfQOszlul7MPh4U3LLSDAJFHPajV34U3ZZ2JWaQp8Z
4j17Ne/CqsP+ZbOoarLDQDXFXrfS/gwVaOsZXO04b9Oe+n+zym4XN7Pe5tZ9Y2hG8YBbfSaviXTG
Ka2Q6tFJq86Nw2EI6LKmg5q/p6hN761ykU24+DJ9xOy2RtxFT8ZLX1NoXrowAucwLjid6VykrjNe
qiXHAsJw/ULfTCJzlv1cNZkTDiIpzMgbfGl8BA2IdlXWWnljhCDmrHRrNF7l71xzsmRkl4n6JLPc
Li7IfOx2qw+W/bHsPLfcNAZ4CRS3miWJgFCRqSwV1e8Z3WptuLJ8rRu+VIbIvQfLygwRtl2qtREp
eupunEbCF+zckckgOiSz5CisAU+6Cc5jkYFgzAyn30mqaK50ZLBHy+i+xR4Ssztple1l5cQqixZh
JNeBKwo7tEqrDCLNsIZ7TeHNHFmL2xVRO+jNcq3RvLz3bJKRTTxNuv3VM6fEjqx0hMoclEaSXOCD
1ruQUMwFlFSfZ2SSZodnBBp7yGctdp3PoTfInGeOpicyokMqb3jpqto2OGjHUQGctQ87XaKZVNuM
PLa5IevPPbrDdeQtre+GnjBbBLT1IvhY1zHZhGHEzEqTYNHChAYqoVxJHzlxpBr9sC8HuzgxDRZF
tGKxk5Dkyv+myoBFR/rVg+mqU4kNvC29LCxTZOgvbLuok53tLcEtOPflqZ2UENGMt6oRKih4A3lC
5oJKbe0JXUdzujN63XsS7aShwAo3KkND2YyTnZK6U+OrhuhMNCZj/JQbGDeFrkyDj0QMi4EO8cOJ
7ITP6Ij0D7lW1fvRKxNGz40onvPOLLtNU6nsC6qV9nu69kqFasQkrRwFpsorO5ftA1b/RBC3llOe
Tvtd5X3NN4O0/EFLyWf5Te+21bM+3XqjHN5T3FqXVZDX8F0M/CAjM6+RfhTYFtbYttiJ3IDuGj/n
FKRzuBh9O/FYmTSFKm3N70ZnNne1xeaGHWybKtSLpXPDuVDDp2R28yVyBLLgu9IokFeTc1deI4zW
kEbkg/haLJ5+U4rEBR/Y2WYRjeXiXiuahWqH5Jqun4lK1HaEhNkQxRjKPFXLREGCWVk/hx3i7hem
UZVtpE0iLkOqVcW7oPaOI5NeyTlefvNnXYnhizV5IgstQ0IIsIcRaz1/6fpIR+hUhWOtVx8WIwdE
KBwMgc+SpB8uC/LwLyV0ZzIf6XndRtebas9F7Rx+LtwPSnDDw5B1yj6Zse+w6IyhuxB0kb9g6JfX
ZLf8XTgU6fyRyiS9Fl3cvu+Cghqnmb36QzLqwx2AMOtiYlRphppJz7khLZG4CaXyIauUv4R1Mtfd
eVtnndhVQjify3yAao4dN2bUCQr4e1mgNsc3ruYmBA/dxZwNeneF/nPbbNBj1K47y2MImwSVfF9Z
2aQ2JhHxvazb3g9TZ6A+cohrG7rqqH1wKaqRPkDKK/LzDsij41XFZ9n79ceO4bERgT1W+iZQrq62
I4M6tXWMPLtsQbsXkVtwFkWJ21hlaDU6RolohyVfNNwS6XYIlPw3Xqz1X4u+yudLiJKaCoM+L5+n
KqUCc5c4vq70jrN0yeYxyqRUt1bSulQLDXcd4oKSL+GUpulX05vyMVTFiOpxChQLxWLZGW24JBLp
ITNoPW9rQWo9MUXcI32gchLQCuTmd7N15Wcr15IyjB2xFBHWRAFpGvj0e3DwnhsyvJYeTh2jeYV3
Y0eZ5dOXC3NSgQ9UcdYdKwUrDz1OrW9B3Kh+a+p1+pDAYr2vJl3hqm034mOZzcVZ4YlYhmYxQQbJ
iy7+UqnObEOTmvazgnfonRh2M+ehdFqW1ZS58mPPaxrDfPHcKhyoFG1edeF/HURan8igKJutj5pU
fIGdOhAN4kGVYFDVB/b63w5lpO+1VFaoHrCCRKXO4bYFmE9rmXkLKjnrNrG9Wj3anRPf1GhxNxHD
n1TbrJ7utBY1XZ0OdWFRUFsc5qGs9ESFmrWWmk5LHJycnoR64PwUkfJ9/JNiH8JV6w5NH/oLOqtc
d+F+YH2lSzhMpe5RVDSu2ixj6T546MqflzJ2vhuw7Wn8GWWcn7Y2lWlo2XHTbX2DmnZX6VTcDOCG
ZTrxa9L+kwECgbiSoAjjsA5a64ORd9qzQJr5Xrk4y4dLUPLNBnNCZY9DCSdLPrBWkTFYNQp1JbZJ
IcAIMz2BM6TdV9XINsCphKKxRgbS2qg2nTnmND1+1JAuHEOcPJ2nuFiWliqSD9g0c2F+SdreU5EJ
JgtGJk5y+9jujO+1l+d3xpB5z5Drp2FTibj4njYKHnWOnPQYtuUyXbSG7L97rSW/+jruKaFq3fwW
roVpEJeMJQ6XJe8XHvvASAzc63KZCLP46oNCTqLREs7WkCa7Db/IPtgF1KIyYtaUA3mUg+Jp+iyc
MfbLr0hT4AIuTXdYaxTbIzBBIH8SQk3pRllD8FU5srgcsCD9SNTzclyOZEwhXy3DFQiOoT0pG4ce
SiB9W570RT3tlR8s3wKjF/djG1TZJqtL98YycTsLm7oXdZT0IOYizxH2cxv0thv2VjrdGHZLl9Ph
3PNZ1MCrQjevqzRMjVnNoXRz/T1qnE5zLlOjDU4abRguMl1PqJ/nsr8p+x6B8Yw1ZHHKJAZMM3Zn
my0wy2TlCTJG11hMrNd8g2iQqq6L0sUbPpuxie1Jk48fstZTfoSOd35SVwuWBjUrhjR09NrbviB1
2HDg1aCKPVT5hTTlZ40zsuO8TNSFSU7hkWXVAZFbBT4IyIxweZLQ1PtUqZmtIQOpXQKrQbgCNfTm
qQ/4Uud9bbRnU6FbT97Q9zRvptjcoM1OVS50ePydMydZmDamoNlla6nLvupnWhhTa++UpznOBe9a
fTB6O/gewIGucdhhaLgFClZg/WbLMYnq2BsfnVy2ZbgMGhLabTyY53QN1edknnuaKFj+3HecM+9R
GFwyPE1tP1KI8c9bCtj8tARS7WmoRISzq7ln+mCWz7gT5/eyiDX9tLAG7dOEpd4n3HuCC1eMbR8N
UJIZOA1CFgxOXKWHQ7koDHJR8Q4bmVQXxpR7ZJKJrz3nrUtu0HZlHdBS6B3U6NIyTXeJnWH2RzdG
i6ZapMkuUIZTEF49eYf1q1eENQpVl77qkwlx2FjomzQfzSIM5AJJpHTjuNoxpO13VtoN7s4ReFmH
bW4Wt70pTUDgCv3G0DEz0v2gw5STWWTialHV+cSMv19N3/wXq5PXSd6/72hvO/nEoZ09lb+dyKx+
ftvb5k9/FMqG8Q7haQphgHUgAqHz/LNOdt6hvs5cjbEHUF6gNca/mtvWu5ff5kceQoXg+vjRH81t
jc9zfZ0/W83hIecwkv8b3e3DfvM6VQJXuVbeq24O47a3/WaKZKGpeo7GOtaDrdbHHZKl1sIIM62y
+gG75rzftFNgXbWzjmf3JPH7OanwRe6vyjbx1KaCi+KEpqMWnZmLk3rbeHSLB3SkoPo5Sp9K9r8m
v2ZYlz45uHmXF7aeCvIRS2/EZjEd1H97WsX3ej2DEgt0ZQ+7PEv7G6zIA5MVCovZi+tFbrXSaFNw
zul0ZreWWV+SJ1m0ImWljsF+3w7feFH0wpFfA9nlw6WGuvr2wST2MhHR/RAZYHWuZ418MAxZnU3l
kl6WuWac5EGObHhcNcmnV+voL4YAa4v/z87Fjyu/0Hbh1zEWeaFbv5q9paTjmKHjYZ3AjJBuO1zP
k9EeUf54oTy/vsqqU8EknJVp+gDnD02eZ9XNvXSLSMjcSCLL66ibsqVw9vo6mbfOnFzUI1QQpyv2
2qiP+1yrU8ZqKZ5cxVaohfxkM8m2aCpKjFY1oViS/tLWRBaERT6T4WplQtIkSxOWdTXbgxcanKN2
mCoGD5HtdN4HIxgbuvQ9cTZc4BTakT05Y7khWg/ObkhQw/TG2X5ftI39bW7Lbm2+ghtRd1RJ5Z2k
H/+577z0GnyU+b1vJjfbtIk+L+dQ+fQnXAGaIkrps5MhQ3rZICtGT3qeu/ZLsIjymWZ4u0TURlZ3
XlkJXBhtnrR825eLnl/RLSb22ZSX5IHgt9FDtvXuM7IPdrddhN8/+zQX4PAXi29uiyWmom9y4ZUh
+lDxgCY5qKVTxHHFvI9Z7bdBUqZzVJpQlLd2axoPphjjOIo1aeCNmozNc4VzCfoRqpveL/WA+HHV
BmYXiSwnC3VyIws2id7GxUURu9kUqaUcm43n9wZtJLtJTAq9JJxip/tiO0k5RyYiCsd8nw4VbAHo
oIvIwkSZbgWkHcptaUuTFaX41vhpc+50vbYfp8Fpw9Q3po0qGY10bRdKvvBnlYJUBtF1zVxK34DY
xujdSJMf0+r/36v9fcU+/vsYtOuf66/pb+uZUj+Lt+PV9S//6NVCT3kHbYHT/UX0jajxzxikAaR/
t84ZwZKspF7gwv8KQpr3Dk2Hl0Eq4C+XIEYL9Z9RyPTerTB8oOIv2Fc4NH8nCh1I0ANIAq/DcWSs
RB4wLYc6REM+URrkar5SmYx3XVuIi0Hl8gb2Vx0WvRqv5ESibhgDB7JnLeeyZlCE8Eq5YdbVgTJq
p41VilU6OdV3mouJrlzK6rxz9Y6qOJP3GYLzG5QYPvaT/ADm60nlk7zHGNY+0R0KYI3j7UfS82bo
/3qae4Be4Wuhu4VJ6w+5ecYsK8ri1UmuuiRoWq+eiJSLf9YFo/4IezxU/aKdvNyoTqWUiCy9td1s
Pm+7ZjpyCy9uIX8e89wCd2ADNCP3WPvgNu/w9S24mRvkVmvoV0s67h78bq5v627Km9Ox0La13yM0
OMV6ukHMNnkwmHG30ejHwyd9MRrGjHXD4BA0uQJ/g+1zVUAyC+Gq1w9IfeRf4dcip2EV8lxZwjPC
Wnfys8lSdG3SJT9zqXQu+76js1U2qHiH9DYnEXYCJwGkAgInNAYt96KChs6rffAXMfQAyPvyvZmg
k1itmAIQRCz519+7R2B+xhZpuqqIFnf4QnVLCF1WY4Zpi+67gTSBG45lqehBmzYwFxXb5zgp3aRm
F5AaL0KEy1zlnyFdWMcYiAcH6Hp37Ce2I9AenF4Yl7y9uxy0eFAqw7zKyUCe6jItCRmiiKEgzvZn
lFideVv0VnKTJy0SP2OgdREjbPpANFGbCAX0kpmhKuIjWcHb1GO9L0gD6NOQ/QAAcg+TApGJwEXz
R0Gmyx+HIsADzZ+KI2vyRerm7ZoE3QMvAZiDiS7dIZ1sjEG2Olq3XOm1PkV9r3BisTX2rpO+L7pu
OCcjW56N1NSYUuruGFal1u+qdqjuq7JBcththhLbMjGuUrhzDBiVNimpmKWdWMMy3tPR6JgoBl5+
7Yo821jGPGy9tPb3laH1YImc4Gl2moBImc56HgqD1rE9+dWjV/WPmTOilpIyERrCGC0ie8DHEoYZ
xVcGyNvcCIR4Gf+73TcWXrFh1lUeUxH5i/XLsQGGhTHWKt59CHzrF2U2eTrpV5ZshgezAFsXYr7l
YNdtoG+tNZnYxe64QzqmhT+7SO+9m3a0PoRXkSOo+zqyaB9+O7Kt1oX59tWBqVxzYyoXRmyH8EMh
xFCoNpivAP4KyMSLeVXMiCHEpiXPoKEtkaaRii/NqD4uaHLu5tzxTueyqB6O3Ml6cB3cCWGD0gWR
ADBCK/7n9QY3gCbmdavpVxpt4s0Ql06yQdSdl5QLW26QM3V3edLkWWQ0+vwI2hthtkbwAIuJWfgW
4ztqEAkz/8fg+N+e+m8BqDS0WNogNFFYXWFDaIS8vbHBgmBdDvEINqR+ak0ek++kzHJQTmF+Y54d
eQ5vAUMvl6NI4XrrXNVhX729nCb9PgGHO+4rs3sgCugnfX+V5uB1jHosaNwE2SYtIEpKuz219Icu
+ALYeAgdaynCifFIWGn+MYmyw3OEZ4CpE0I/HG5o1B3Su7TJmXqbRvheTFb32Z7KdFcxcjkCUvwp
vq7iiPT+AEv5ZPIcXQffXTOdQnaJsZ91kBijKDUoqVV6scQ41c9jTpO9sh5bLy5CEQTZY4575RHM
4gue+PU65B5WrBkg5xVF/pMbBl3VGWK1BIM3BdOJJ2oU71fgumeyN1LPvx4D78oXbn7qxSbFbDDG
V55f0Mz37LCJwZ8zCRgX+uLMV4+sjcPdCrcOOhZNbSr7tb5fa9xX+ceSCweUalzug9pQUTHEfpT5
NNALm7GPYsYVMc5DvC4dnLvCkEkEONO5FORR2yN3slbLb58Sd8JagOFA3ONT3t6JTXNvAvdR7o3K
KE+w9WAKApNx42+uRxQow8pp8wunsqfIsTBjO3L1v3wOr65+sEdss5aWmevlflIV7gOt0LeTbuVh
V9Xdh7ijy5ohEBZmTW5sY/zdo8yqd9g+/lGn/Nuj4UApjc0KbZmFCgaC3BllxoPHMBUGQrqTlu69
tqd3gIwSvZV6OI2l1ezrvGYalQoM7LUYsyT5uXGGz6J2dlPvDh+UWLzbXGbWlYuJwk6l5TFy4s/7
idtbXQ2IzLBAnRfG3av1glaPxYLIs72VyHQzxV6/h/tz6kxughkrk2fR6/I6zwcanaN0dkbSJkdO
z3VJvlko3AL9FoCbUAhpUBy8Kj+rc6xaVLbX7fi6mx39Djhks4VBEZ8JqL+0T+P02u/oTP96kfx0
bL9cGNoi3SrEIV6ezavvToMMIAAV/F7vHLFbceZ0wIosCjQvRfcxKY8cXi8kzJ++KZQ60hC6gCDL
326JucwrMG95vgfJJKIxztUZcAwnTJBwOcuGjoJe9Oa2ksxRlItSYL/42YkCZ84MptPOmaY9dtjz
7ea+g3U4qjqyjYSBbN7YG9XG86NIK0AQ0/DR7VtjB1Q8OeIH/JfPjCwWq2QkjUlm334FSNHGAqYk
25tSZlsNy7lNVuYPaPpp0HWOKk+tT+SnJwb0jPBK5xSM0NvLoVuO6uVS5vsu9e5jUYzomvjpTl/S
L00eXDaBdYwV/fPpbrJVVxNGql8c6g+1Np0iW8pUD7J97vQ0MmLzQe8FcApGc50UYDYyb9ghXHkX
+NeB01xnKhsum4GBEHSGrRkKjSf/dxcqyPxV2QeVH/4rONghdeKNqdZwhhgCpwa78T6a5rhfhhSZ
7pgp46+v9hdHlo1xASkWGgOQTg/7oMvYFoMElbrHssEpo17lthVpTmLqYY+XyzdQKLewJXaLlpF6
lSZTmCzVfFB6Il1OxkxDGcB0Tsdkdj74sVM+8bid+UhJ8XIXb5cGO4lmKTUufP2fGM/UA1WXAUXa
m1QBN+NkLB+GEZhQGpSyi+rWWipYE01phdIvyfgnlRXbxmOvAV3KrfdowMhrIyjLr37SyTpUxpiF
2F1LG5X+2rqq6YNeMhyZ93XpmA+/fsYvQl4Hd49i4drVp90CF+HglXp+3FCC1MkeyW6Q0YAVtiUu
s6d1sJiM+g1rQ4VhRpXMTJQ1i5N4VtYFBk3zgxsbwemsTFAkTXHad2BcTZmnG90Y0qjVp40LsiA0
/UKdm2tgA4ETCWEsUcZ5GkxxvLF7NLya0bEjKvLnpFbaudPf+dhnvY+dABQaekbIAGjvsf4brua+
6CMLLZBThSPprqvdMpqHwDwzwV+c+JLC6Miz+WnPw6gGDOjRHDJIcA9TvLnQE29atFsGo4AFKtFu
gHBlR/RxXsLK4RugzqINji0JiftBQR4kwgCFXCV74XWQx53WOzPrptwUxKJNL2GTtUU3bIVmoLpC
CwtYQIY0Q6vuUwYTV6bpN+fApZaQYe6T6VUfZBF4KGna9+6ME5uqUtRgqq0uOjx6zCE+iU16TjZ9
3ggoyTGPh5/Sb2iTQCwp4aE2evC2Dg5KXSKuKgzt1hKFFi44Ft8GS5p//fWr+Yt0gXMIvUdkX6kw
oCy+vQxSIDS/dLe6zTI2Vjx6ZLXJRNFu1Te2GG5QhfZ2Kq7bjV/pV07vVEfiz8oMOYgI3AFfcOXN
EhYOaUo6ynv2NDvVbfd/ODuvHreRLg3/IgLM4VZZanVT3Q5j+4ZwZM5kMfz6fdjfYteitCJmgcEE
eIASyapTJ7xBWB8xqbSMFwnXRutHpAfbsrG2tRU/KePW6YZdNfRnDe3Lrm/Rsfnjq+G6j5yFBsr7
M19vJH6RTdOJBjntnXk5NpaYTvnYFVxGv9EOmkdTTMFcZzdGerLu4ix9svNQ/ghYPiXo1Hg9NiYD
CI8uvmw3A7PrWGy6fIx+Sah6nYZUSle+b7TbQvEjEq7YXki4bvfKdJlMOhgwcGi9zspVy2KWoQAy
vQjIKtuhqztYIKAyHu+VmyqVdgEdZtpx71oqcx4xcvZyMxhaerEDUe8RhPIhaGj1xhvaJSeZ26SE
4eiUXsMa0iYU8vWuDERoynnnRJcxRA1OxTJj5XtpCrEWH6NYk5e++J1H+9/1mIbMBoWqHkWVMMP4
EoGRC22QReBDn+rYOQS6si1wWsvs4pRo4PFScxVKh1Jk+04bVrYoT36/kB1MT3e9/yzGydwidPmx
D5BnKZmfNk3VD1VyKWJIk3i/rRU9CvZdLoID9gzkiKHdQIzwjHUkQRp//JnvbH+EZKY+xGQwQ7Se
7SaDIVlSIvZ8CXV93JtWVX3whtJ6trTuFEgRSC+ESJ47Hc7sSlda56ANHbMhyT9nooZgLoXZcBpi
bNx8mdZE5qn9QSoG/9lpgNI1ivfx8Q++LTesictJD2HitzLsvd4seWGinkBv71KPA16A6CauTREZ
mwzS2dpPMpRWLcnNbaaIjxe+EzzpXdC5gbo2NQ/mKrIWwkXsDy+40Fccdl0avglgTJ+EUH/Jtj/+
0yhwlrVK1taRA2yF/la68BNuNy6/YNopGHlOqpuzrEMtexi3YgwuTl2/AXpUL9j1gmDNsmzhLd/0
u1H8m0h0HEf6YYxFZmdyiKKuLNAWvDjQNyNQRLSwY+25lfL6yUrrlyJzzJdAgKqVGNwU3savEAtm
jvDSDvmSYvKdb45xNNkzSQW115zRp3aWObbaEF600ZFWXhPXL7bJ4Fu1xy+InB4qM0s/yBjGf3v8
yW8jLUkM/Y8p0UOrcT41NUGXl5ZaRxfFM4y9ZGrG2lGFs3m8ym3442tO7QXaYiizv1c0f9Wxea17
Y6xlwSWqUDVyAA0D7I6LLUI5H2plWJCav7OHiOz4EMDgJNTOhdX10oy7Jsuji1Q6H5OsinfDSFuV
RsISHuP2qqdMRg2L/J4x5Q1eoVLLDj2uBDhgp/zKm0HbKp5affbB8iVDI/8ymH4tRLN7D8ei4Gwm
EimCx7PgUIZQLMGGXtCOl84wxz77DuIMyN/9/tffjEb/pNc6CWhzPq4XCuBBjTV3s1uGqtgVSWPC
8ep/t2pXPA2ytBR77lRLU8+cvUGKMhFNZ8dRKQCVZrmquGOQWc/Qz6udHYTjC0MvGh5GuCntSByC
2BrPDO/sU8kI6wsU0k0VltaxCjz1UPnGyIilsvyfbdP0+7bo/wBmjN+isqjX6RiHC5r6d74/oWra
ZKQQiPPMPgZq+bZn6rnmVpWFV7WAzyrl+rmxSDazSqo3PYSAhQh590Uhf8DsnJ4l/dPZhxkgqWZN
W6quEWf7QfZPTf0xbv9okvqbhOrQBODsBliyUEFkgV96BGDRyk+6t68z4MKG+GSPEqyexlzr6LRE
XbsQU27fCsGEjojBKATxd3v2VlLQxVrE9XlRc/nSts5b3cnaS6naZx39tLcuK4OFTO42ik11Ksdh
Ki7oqc72TlHUo1SWnn+hkRatcidDJilR2v3jEzET95o6pVfLzNsOGRl/l5uWfzHLnQobMHYQuDcc
XCRs5YuZjF9Gu9mnvnSu9P4HKs9LU5zFHzB7s8YQ+looHP/C7thJ8G1XRujIaFAlu7ZQd8KJn6XE
+ZJ6JyyhttiT/Tdk8v9sFt8GctISdrs9NURgXM9+AJqtsY7xI9Gn1KC0RKw1tH8UX88BT//z+HW/
Nxuv00beOC0eOnmTr9A8D0oaLQpDVfYvcLjfZIUkLCkMfzVk4LzXqpYjthlVf6hc/KepGf1VkUv7
qdHN7KDXhOJYCYIVaY5zrgdf/hM1hQlBKZHMaFXY5e+i9iYk81h+pr/QAQwb/L1kxZ610vU+fQKC
H8QbL4HzZtF+3mIWYa7TPhmeIztwdqoxxC+qnRQ7T6TmD00qk3VTDN4XSNzeGbsWZyHU3Pv2nChk
3pkvTqz/2R73tBIyQRGGlxZZgpOZjr8hspQnT5V2msBUyrAEDfgxpLNl+fmWebbyqdCKhQ7xbZ7C
kJWymhIbIOiNkQXgLxq+lRJcDLbhuoviP85YhntRdfGZKgfSXdP+gvIr/3m8Ge6sSwIBJAhWJ64h
c9SKavSjn9XCv0AvgSBHov+at7b/5g3qRSaJO/apWR8y+DYLQt53uq3M8Wg3UreRUjDavb4Hc6CF
qIwUxBb8mCBr2H8aL402qabCZirhjXE3dt7JKaTPct84r4M6qHuFYORGTRBsjToEHlTobmRbr4/f
yZ0MdtIBBSlJraxPokbXPy2UsNiiR+S4kaN+L+iFrAv4TXXwxaRTz1w3/mA28bk1qTZhBp5aK/5d
x0r5PMS++e8j8NRxodWJ/5eDs831T8kr9OWwn3LcsIr7707OHFe2xnhhF9wmPwwOuVpIfuh9K/NZ
ED6vNH1Hz3bTvHUFLlMorDjVHmodnKPHL/fOJfaOj0ZlF2AIY9TrB1KzEf1xtfPclHbbNnZEtPNL
P1tBABWbUsthGYGVXFj0Tu+IA87b094zZRC+16tmpRqaVRQ4rpzGoJz0SjfWdW7GAITCr/FQoZov
zGCftAPhF/qft8Fp5RXj5+Dg6DD4Qa0C4a+bQjqhF9Qi/2DLf+pW//z45dwLRiD36M1wEhG5nsuV
j51UilFObdfvzPSQqxjYxMMYrZtKbf8hgHzPFK04980gn/hV9tEu5WodtcHPhd8xBb3rKwKdOk4n
iCSTnuw8SUVJVILJ5xWXdsyKf0wjSY4UkBGpWNVtBga8G5Ni7aCa3icJ74itII/fiKFfF1KP8H0x
wLOJjHMnQelqxiREMQD7kgy47VOSBEsuQDe3J90HskWVrG0y3Zo3dBWDrnlOMLnIZd/iJ1rR+W+i
T844Out+dP71FmY55BeJ0yRjJNbTz/mr6oopFbzO03xK6DYCxTimu16CIWNXWbIzAwznuHSThXh5
k4pNi6JOQxBAsteaZwgYKFF22yza0YlZ05uGn9ikw8I19D6bv/rwmjydyqlRMLm+a7Nno241c1ku
HDeuoz1tEtra2SrHC7Ntj05obWxf26T+vmt/J+IplyZKjyvEJzVHLaYvnqQ+3vir8mcfdvu8jHZG
8clz4pUeCv6pL/zYG9wUqQtnmqyX4AV+3pw1dKD1ymOZ5pLbMDjYWql4s8Yq2k910EdgdPEhCVsJ
7zHnzRpq4yTSeEpUPGZXci9ntPpl6xDClDgunJ6bGAePgM/F15qAU7TIZhtEy+KuHwb/0jJN3/mV
Fx58iqRjBTIdr8/4oBdMgykZ/BdbjqI9NLJuo3dBu5+sjf1VY0OCcCpeWjOEv32mka+gwcaFtPvm
1GAzzHeeCClg3rnprn+lDnevUQJFfRsYze/S7IffvCKRnK2SsPtvgY3/M7+9vVKpqUg0OKAMv3Qa
RLPF4jEmW6SOw43adKtcdy1IuLizC9JGv7BOgVmrT1O+q+NG/mQGCno2qfwDwZt0JTFv3D3+RrfV
nkHxMM2ZuIgm08vZN7LH1iEFUZ1Lq9fOvm/xV9pQ9NGkBDz01o5d+FwJ5yvmDhj42Xa1tfJSBZVv
aHzDsk/3pREC5jfK+qMNJOhnUUp0g5EIr8qt1vreanDsP4CWlSUT45vPxg+nhcgMhiwezc7ZCdXj
YhwV2dMvY9Btxz601pKavzKg47pgAPT4Nd1bDOQmvSySkGnB688GHsvXk8rQL2kcD2fTQDYKQVAE
q0yODrLA6sJ6N1GOh6P5oiPGyyllr1yv12RswLRrebgMNYdCdRIoIfJSlLu7CrsQk1N2IrC961XS
1CxKuzL1C2qh/VoUJQAcSCELDYV3AO1VLCUC0AHkGpVxzqKzdL0McOkoSaTeuqSKKs6y1LSfEBTu
Nm2NprOtQUtfT5p2p8hCriGgzb5VonZE9UmFbLFKwc1+1z2QQOs6UOK3nAwFnctg8P5YzWB9QZDI
+9C1VYsMVyabDeZgSBAkAT0cSjm5y1air+ytauX+ixWn8SdA3wB9wr6uoeF6Rb3LPGQL1vKQx4hE
OUZ6jCq7RzeC/16D5Cy+O4E4FDJt3LXjVWq1Rh4SbSk0NhRpHYlE3TAg8bgAgWDGhckJUaRmW8S9
AmsrAfte+GHvr1Bw8DYS15a/+5ebk5sKO1wQgZTlFhYR1++XqmUM2sKRL3qYhdsaHPCqKWqdX5XE
G41Bw8LmnGRurrMicPUoZUzwS5JlVCGvF2xSIxZN0o+uIuSTbX1VhPYNtu45DDC7A43hR6fS/pYH
w1uXxCsFnHcZJQcNa1zPWdMw3apac1Ch3EoW+n1/Ev03Q2FmxSpzYbxpymQHdRTcsbRJ1FeNGUUc
BU8Fg6SMph0iNPbEP2KfvLYQnnOcPhE22DTdwnz8phiYnpL5nw1UncbhnJ/RAjDs5K4Y3RZJ3GCl
VvW598vkVziKj48/4N2VoEr8ZzDCaPf6fXY+eil2oI+uiKzhH4bcT2zq7Dg2TbJ9vNJttclD0VCm
yIV8AiB/FshABCqe6ZSjmxv9W1jrP+skebVNgIC5qA+hyLUVcmx/kLveB0a9SqLk0nEpx0G3KWwa
+PKSheIt1mb6RVyK5JHqlHDNdm+sqqE8yMHoou/VrONW1Y+5KoKV1ejIywKXK7aV2pv7NFHscyRQ
BsvMU53CWtB6KdvgrO3shFnYL5ZWqJu8S6qFgftNlMSzQbHAucp0Rae5//XXyWWKPyu3FFcaneho
2CUZYFxfFj7M9JhXQZJVyGunL8Oc5Eb/XXROAwlDld2Yum+nqF0Xc3UmxhEhAwUJCs/+2ubORcsd
9WAmsOC8ifTWQVDZI40WIXJQtNazCLxfXTAhosIw4FPGSrwSkr7k6/SOQJn9WiaHMKC4EsEj27M0
Jo70QtFhRbqWyS0osEbZW3po7FJI9yWVR52cHEMankM/QZ5Ir+U9FXxwQRct+IxNeXVJkGLdpxp+
CbIMlk7ps9hfVRV0eqVqh3VQ1M5xhHu6FgzYkdax/L2AH2qtNB/VIJHrtM3kRF61EBX3OL3unCxF
RUatdfaM3HpHxCz8TdYMzT5zEkQelA460ICUO20EFRkwhBCCBpovevrYltv+b7QI270otOZDiKDO
TgqDVywO0LuwkG/+1vWy4zZFnu8Y6PewfY0Xbu1zrUXOvpVQl3i8HWaqsLSCESHXacUZ78UnGdr1
piviKpSh2feumSMktXKw43710c/rfG8E+F9OulNoySiR98L03XJDXR+egA+Gl2osbVcrqDoRQgj3
ZdDX+1Fz8qemDaB01H7/UoAveRq82PqtKymmZ0gQIsZX1AeH7uvCxr69KxgkkPzzF8gfcw7LwZ8V
q7gg6NzK6JRt0FGIsH3FHiEE+Te762fZhAgYN4NodnFfKUtIhSmgzXbqZOKEDjgq/mBsZzs1LZlx
1HIqXDWKrM+KVIN7tnr71HdkpCQgwx69mvJTa/j1t1qiSmn7alMrHqoXrR1uHn/W95by7NdM9GYG
hwQ8/E1nwW7wNQSOi8ZyYfFhXmriuY5CimGdzX54Q35MFvy6JtzEkdBotUf1d8wN2p9KmwxvDBzq
j5rwzBV+MelzVMnOaxmX+dOgZdaLVKepG+hOvIMhlq7sQk43zKajXTNGYmv2PqUNptVcr3XAVD3V
K+Ooho35bbDK4ENWFMWSk9BNzjyhNUHjk53TS7sZ/eaaT8sTZwlXU4pqF6V15IK5ifYggJV1VXbV
Qmfgtgx2phkzbUjQ1OBu5j5hHQD7QlEz21U8qd5ZRTZ+o4Dwn0OnqN02ruRNVCntjt0v9jqW9+sK
vdZfbWDl30HhVVsiKqJXA6S5x1/95gKhgcAAnLk0OKDbSmUQWqRnPr3LAkkKOIi5eSwmLbnHq9wk
EUxNpmKbWTFlCl4U1xFDU7JIVsPRcTFmeha5Kn1u1O4El1H58f9ZiEoRJX+QFPNBaoQ2UyIC03FT
0WbPplXmWBki6FbUarRQmt9WpzwUYL5p2v7eJJ9e7V8tpkmAfsBo1nYlMaS/8HzVXqlB5a9mldau
g1/UORnCL5qEHlo/mZJkSup88OXBWDljWn+TsKkDmVuYhyEdUq4WKfpi5pI4dBThYqXRUoQJZDi/
H7+hm7v8nSDMaBsDNaxc5uZpQ5vYUY6jgisjPLvqZaVemaGmToRL0Z2RUHWeJSMbPo1lHCwkeDct
F5aeINtshElgw5ntApEbAYVe7Lg2EnpbuXuzegsOuu3RJUPRPh68pe7TvYe1OOpTk8c2edrrT1QZ
fqjFsWS7nM4YQSfJ3Igi81/4rCicws4LzjazpWaFjPlSh+m2tORxQXzBoAZlg5D6rLTsqwhx1Ly2
3SYclA9yVnUrLWibzVjZ+XMsWmUX1p6zG+yqwaXZtscNbif5OsOTahf2JWmDXyLnaFSM6spB/gZ7
CJpMaI7lahjblAqyRFqqGmFEtnEjnzEbrZCxDMQGjap0FXiDVG0MatbtCJHz0DSB9c5I8Ldsgga6
0ZDsRF0NrtSg0EYzp0aIS2rEKi+qbCuQ7FoVoeOMKJdl4aGSw/AUIC21NkbYw7rtHb2sLI6RL1Cc
dWJvnZfdpH+Lkf06tfsBkTNZ+/h48yq3HxRO/IQUIgeBjzK3A4oq5GyTNtbcXNKMVRcKuIxlisNh
OlraymgQ52t4tU/k9J9KVH/WEeLam8IAeUOu+AH14cl3PhPwWFtwAl7a1c9I24VbWVGXwAq3QY/f
CkYB7CONNWXu0qMIs0V7I2H6ldTKd8/OttoIp9sfw7fHb+X2MmMIodAlnMZD/Otsl/djWID7aTRX
GS8kq4BUO8s6NGrxcTCVhZTp9r5ggQk4yp0JWG0eYK28zwMtMTQXtJx4UVBNXKeilzb/+okmGzpw
JRZzDdB41+fW7HHc0hB+c8tBJf9CC32bpMGPQBcFwjMgDx4vd+ehwLIz2ieUg8Bx1OvlSiVtS1tn
TjlKHXNOq0XKY+V17cJ3uoUY0qTluRwGIFxOSLpdrzPkVdea1Aeu7PvfjBYBs9XgoftWy020ks3i
KRz6aDf2SbWN6lR/VYP4w+Mnfc8zrpI8fgI8LtRVJ3AKHcDrn5D0zdgp5ai5zRjHWy1NusOYhfal
MbxX4BTDVxh5XAlGlSeflQIHN5OuPXpv0raNBu25UoN/QmPonmEwtE/l0PU7HNDtPYrW+c4pvPri
KxjaBKMujl6CuqAQ9dOApmbjV/C0a7VY2yJ9imKoOQmA7Rw3WIRJKxjMmwo/jVOUKflS7jUF2tkz
azqusKgiTji8eZFcBUNZYcypu2GKrPZoWf05yUmxtDhRXd+yy38qybnQkSLiMSkA1qBY4uvjF39T
apANwN8j1aKIhp06e+9G4NOUTjXNtSEnHVvDaOlLp/oTIvDtJs2a743RZDvQyq5ZDtpCqnInEmGF
N83dqOMBrswCRI53EpKjheYmgXFWBYpp6N8pz61eAUl+/Jx3jhKVt4MpKM03MN+zo6RY4TBIUW67
eTcgAetk30oRyAu7+N5B4jOSR3LB0piYG61KZiFLEn5grjaYEGySDjMBh9uPieg0QqqjsyWJXKzq
zNobqfe7jOHtPH7QOzcRTSH4FGhRkWrOdbriSNLsVksdt/Ots6oPL+qQpq8mXev1UObp2Ym4EtNC
LORQd94vJIap30M+PQnEXJ/fsalDnW6j4+YpKqyF4ytbv0Al+PHD3V1lMmUCEW0jGz7bramSiqBq
PceVIJ5eklA+a0q/ZO12pyaCHsb5nuj507xkVv4are/UbW/abpFoF6aEKOBB4DlpKHufC1Mv3zTs
F551S3yO/F5+RR4bS2VUzHaJnnWolfrNqTWahQvu9qDi9cWkEqQ+Aw5rDtctlYGZEbgsV+jDN0nU
zVNUQh/0HCSi1pHcxGvN7KCHR4Sgk+Tp9sJddLuvuF0dltegz/P+Z9OVypZ9JVaoKnSvGU5d1uFK
2pRog8avZb2ppCzb0LRcgjZNH/Q6RMIRILGa5i2IJMxvpiQIZXso0Qm2xvxLEgvgZuhZ5F30xuj2
uyYJsRCS3pu5sxVxr54Grw7UZnbZ9UaORYyBUCWNLrlZux8qI9wXDu7vwDerZ8X0d5OG1pMehahp
aeht262hbDpwDGsG9+1SJ+bO80NPoU4gbkE5m1dFslR0FKiE57bIjK0ccUmt7DBKv8VMVp7qbCjc
JrOVX7LjS+gXtOsBxXAHB4sBfbRM+6zLSOyo3phOgmTBpdA0Wkka9/q/PpgqZHV+H4kKgW9O8I1C
THFR2NbRKA3Ni+lkz0nbBgtH4BbhggQdW3zie2sG+OfZtwF0jAYd0zLXz1NMtIKgDtZR2PSIxjVP
QZxmG6MZh23WyurO0doP9YimKJq4zp/HYegWEoTNEPJTwO2YHZEOzipGTxpa0lhJcTsMXY9+NObH
QjcogGghRWLlSIX+zQsGsTGzNt4ntTVcQq08ttAHv9Z+YT87k081NV9FWYM+dXr0UYk/Oe1SVX0b
NUgtZDhmdMjBgMxzfZOBb40diumOaKr+9nGyYmahbDJPXw2adQj66FOi1OO3HOmrhS1xy1unupTp
HzJnmwbOc2SN1I5ahHWh6TpOtKIngkauVqxiB0Ut6TSOP6v0Vyn6n3lkrwCoHTOzPdk0JFbZSJ4H
ncWxj330bDX1SthPGG4hfxysakP8lhzj+PiD3iYi7F3EFoDQosFF3+T60AdBDjbQD/SXwNb/ZCIs
XtLELzaOLv6dTyY96knJaXJqm9IdeJezPET2o1pKi057KZRB35Vaqu26xMq3NYCL7VS4L6QDt8Mr
1kLZCuwNWeZkAH/9aIbcMBBpEu2l6jybNn+q76UkhNMbJuZPNXOMk1miLN5N+b4R2/zNC7a0RPSP
uPlJ33w7snaVKMN1HplLScON6BinCKI4vQg2yAQZmr7LX60qieieD1pjur73AiigqIptPgQ/A/2L
lCqbEN0lEZtPIsvOuZH0a/R4VghHN8b4avr1Uy0dTBvJo48SpGMJZX1HfqnU59B+NQWI2yChENc2
ldOhs2uiC96s+vrQ5Hsh4VDweAPdyfx4ErLoyWqZlGFux0VxP+IxnbHZo+BzUBnxRhqratVEbfHq
Y/K4qdHq+NKaSr1GmKrY13iBPP4Jt1cFlQQyWQwM3mvF2c5CBEx1/MhUXbMLlXORSK+p5mzbTn9W
RAnaL+w+PV7wvTa4virfaxeAz4D90BeYpQS+0phV0PtUw0Z60o1qKxhUBEa+iVGSjNs3G7S/jjx9
J4e7EWe+NgAaaebHtMw/+7K5Lse33i7WsnEKvHOue6tIKlwc3ZH8X9uNekg0BDMb5Imat8e//M5F
wi+HN0UYUcFKOlNl9te+K+XcyoJYU13K6v4lSPP4zRd95FpFray5y7jgLeFvDV2S93WtG1svVMNN
PQJEf/xL9DsBmgYPx2Byi5xsXa5/Sa+GmS2CVEdObgR3oD9FtrQuUvUSh93Wid+U6DVto40tBYdy
aI4cIpACw1Yyyi09o4sT7NRAuojicy+dQE4a1edI2lcGknX2z1B+MZDVKy5anH80/fJQOtmhs9TP
YXY0ZYn/xXetqN523osnkFZrENT2cVdomvinpxr7Uh1f4dR/SLKSBh42iiivWp+z1nmelAMoXZY4
/JO+5Czd06iD3zVd6LBANr5+Gxh8UawWQnYrxJl0ibCPlLsZ/yP13eQHxZznMkQfafjVDBszeaWF
rlDOQf9n1P7pNWXtC5duWt8Fu8KHNQ+TGh/KY2tr35Dow/IkS17Rc3DHbNc0n3K0hWTj8PiD3ike
EJeAGUGJSWjDp+j6EdCNQVSuakdXD4zxHEgqkgdUi5e0QGU7HNVkH9V5h/6+F+1lZJQBo8fpgLlC
3W6kSfPYEkl7DHxhL5EVbosnAAxkkkRaJMDMd7W9vzZ9J2JtKEAEu30TniIMylah2RkHxU5sJJYt
ieZu2nwjER12JHHiZ5ON4c4YI3nlOPnH3Ev7L6KqF4LIvcDJ0BduLSgGBhfvB+TvX9Wrnh4lUNrI
hZRTratfSW+DY8SU/lWkQbg3zUraapUKRo1O88kKtCWVxdvbn9YHioYTE5lXY85ufyEh0Jxr4Dt8
LT4oyASAEYCx9TQGwVKicct7ntosNPWoaWzIAXPGiOEZuSMab3BrexAn5LbOI7K/JwPa2rMfI5BX
dtBkqkwOvvqAaXElilI2rAjGJ25hHARx8EVjQgvbZ0eoyndH8q2DWvnmK1rG1rMWevLCvXI7VqeV
wJYGu0SYnxTAr3c0LnOhXZZO77ZyeoJW0bthw+B7Fcgq/cDQWOGgyKSit/TXWh6CJzlkcO45YX9q
ROyf0EcMV6odDC91lWJikEb2S2dY27awmnOFm8uWCmrv+zX6BVkZX9pG+uGbCLMshNrbbjSJEHBE
NMVI8gCMXD9G2o46+LVWe4mqdINIgrcBxuPiqteuHaxrHoeB27M2LQYnZgKXTUbM14sB3bMDoyy1
lx7F5nUpadamrCcTtf/R8L3856b9Wzb2dt/C+mFcTEyh6uFCu14E7eyoAIqaIH8eZG5p128DvpzP
Y1z869p/WogRKX0tg0tz1qeD+e4JXa0T1/Kl7OCU4leVOKeoC6N1p8TnjNx/VcWpvpC73mY0zGUZ
BkJeASrL7rt+PpF7sRPJae6GluN/1kbjqzoEH/UC60Ph2O0hDnJv9/iV3n63aUl4ABqsGeqB2QXk
wcq2MO7IXRwXzDOyP+q5MZbAUfeei7JxeqcTX9RSr59L7jSBeWtCrgP0Yxs1g03PNY+2lpmqq15V
ewTRRbxwjG8TDZMuKwo50NUoBueAR8vOfC8crcLNBqPbcwVLb3Whty9VZH/HYuTMeFyhB60N59yj
xbFwHm65AVAP/l5+lueEViSNUVwX7ihXK5G+esmzBCqrE85W69oNTcWPXioOOnD3vP2R24JmGtpB
VfahxEGzMD6V5O5xsx/Ls0Dynrb6N7uo0EkP83WrvAXOkl7jvZ1AvYWaG0N7CFTTn/91Lzm43Bb2
EJY0jFGQbjxHxTIojxfey72twMSF+ocrkOA6O1kyBqGqEcgFMjixf0zwMqDiyT4Pdor4fNRWF2vU
l/KAO2siXQR7nHBu83CzT6GWg1mPppG603jfBP2qG/WbIaWbUBu2UemtK7SdW/EDcYmXqPiQOvZb
LiTsFuyT2qUXXcP4p1s6E7fRGVzChDZiawLkm3d2+xEJ/CJWMjfKu38a08rpiMjmcdRTVDXKYrEs
vn0JIPCIzqRDzGAIbNeft1CrMuSZWzcRevZPnCT+rirt8XM4qECu1BBueoL98Etcq96x0Z23jAP9
CRcxsiELncHKA2O2ckxfe0ubLDxGhTV+Tx0j+Pg4IN0pVSYAPYGX/AjxJHMWLHBIBAhWFUick7wc
akv1zk2nmfVaxzujd5qLl9W7KqfFt1IkM/tUjgZGXNQbC3fA7QeisOXmJKMFk0Yv8vqFRbbid0kN
elGuUCfVpE7atbVT7vGKYVqo5EtKbbf9ZtYj6ZjA0syo54MpEIdllEPJckPhx+h5lcXWaOzoOa30
XWP3yjnv0BVowz7aLLzxKZ+5LmvBoDAQBYM3TVD02ZlUrVGTbGG1bhzKxjbManUvBkM6eTUMj7Tp
pNfA76EMFQ0SaVB6v4b8KRiJ0HBHoPGbLnWW5HLu7FbqQ4BQgKLYBO9101/BKMYqWE4Z2riYMJsH
MlnvZBhlhp+hnX8FbOtsRdJ/ffwebgMgdwWYmKnxbCCZNbt9m8HvyhwXNRrhlKS2ElvrUUHz7PEq
tzkMSKV3kghyp8wfZ4lSVBpSVCVV6SKWUU+uWfXeVgr5dQyccGHeeu+BJv4Q7FwAAnzj6x1cYMg+
2LZXuH1I3uCBaaEnVI0L9+z7SOJ6+0zUX+AVBFfe21zBCj4o5Uwmey8RFmE7c0iyIwnUOUsNc40d
dbktcuNHMej9k0BH7rfTQGnXLCrsBG+wLfqzGu41ab02jfF7T2a061SM8qDQa2gJJKhUF2a6HSSh
//y3X4J9RVkCYRjsJz3D69dTmY01AKDwXkTQ0qeJ4e3lZlbvu4r27eOl7hR9JCFTQinz7Qn5s09R
p0j6AocpXage3xuqvLewEt62i31/l4a2gxOIDptKlhje2+OkxdjUCxtvWuLvz6ThaUPqZdK1QxUb
o9vrx2361qoyo2le6HdKu84O/W3oDPZnYSfhoYvz8CCMunZFoJ1zkfhL4mM3IwQNJacpwiByzNnS
5yiscAitsLA766VF8/mps9XyGJb+DpslpN7kaIudkoNAnj5Sm8dfw9b0jhJ2SYeGeuOtkIS6jrEA
3g2B+qXHne+Qh0q7ffyZ5lEHMVPQcIzdpm4Gl/J0oP6KOo7vwxkZ9PAinPJX0HUGPRe7OspGnLta
BWBWC7P2y+M1b+Zv06I0UslRSTj5x2xRP0OLHU55dEk13f+AHS38IiNCQSZh5Gn3cK+RUw0OkqZi
p1NL2RkJ9XQdmyOeZYFRLBUE82vv/efgQ/2f7IRq6/odtEAJgOTZ4aWTnB+R2nxJNWOf2JzIrMzF
wp6cnu1qT07P/tdisz1JzRzSrrfCi96G9pOHDjdIAbRyH7/i20eCuDiNckluScpvblZF+OrQi/Ci
Yuj80U48ahC+8rrqe/OgUFEunPZ5iKfNoQBcJI3hpKHMMwvxKv2c0Mt4KmyZf4yGHh+NuCnWwSAt
XZN3V5rmN5So3FzzCI/3H/Vb24cXzENsDDTR7lolvdCwxByNaP34Nd4E+vfnIusF1TtdKZNh29/H
o4thchLiYQ8ozRrL6p1mT9OrEAnBru/H9ei1b7he4X9d1zBxrK3hDwc5HXdFGj8P4wC/gqZ4QgFD
YrNCVmXna/4ZNZlT6McLSf88m5p+60Q41ydAHvf57Lcio2d5kemEF3xeVQggmf02Nmq2LQQ6FLkc
dlhyGv/F2Xn11o2la/qvDPqePcwBON0XJHdQ3JIlxxtCdtlMiznz15+Hqp4z3tyCOB40Cg2Xylrk
4gpfeEOw08txK+9865vQ6DIUjBOQSlnXDnKcCut8YOQ4M3RX6RLtJhZB4Iaynv8h6Wh5STrDy3uC
ROGKP/8g0mxORh0jwxXFVuYNODZ4kjMMG9/9cpMuuxRIHsuMKHHd1gyiVGqTPkweSniNNAtSwjCY
hPv3V9dbm5SrgfSMpYWAyfLz385eE5FDKIpD/BA4wb0Ig/5UU5O9rqRhvI/RUbv6/xlu4emidIGx
y+pCBriD6UnJHoXmgRCp+YsQs9o5kv1dFeq4e3+wy3uFGaQ+Tp8MywEisfN3Q25VLRPMfB/0sTfc
MYl+VnKFVFeXDAeR2Q+J2vx4f8TLRaghtcBEvlaYQb2ej9jPahl1+kAbXDfBFYux3iP92bm9Vg0b
p+tFpYMADdcenWIHB+wCsz4fK+0NCFW5agDZ0PY4J+9HqqD+aDfQkYf2Whpaybcj+7tRPKmhehzj
O6E/FOPHKHtoaiCH+rUChlmNKIeKeR9Lo+rVuF3juhBgN9TubaGhJFVsPPZFnsljU9+jVrnI9AHw
WZb9bwtuKGNzdEgvTylGOW6SaYOPTjmxa5TYfloZ5ecExUDXbFvzXpH7/rpXUHnBnLTdWPlvfCuS
HGi5pB54Dq7Zlkbd1maSIs7dxq1ys7TmjyO2y48a4O2Nl17e6fy+tRYHAWAKHE6kIatqHzL+RuVg
/n3KoxDFJlQD96Nc55/fX3yXW/l8lNXiK8KyNOsgnChj2mDTNRUDB1s5pBpNrSAsD++P9toxXL/U
YsMGNd1CLOE19v7tQyoSwjt23UynMFf2UhM8l7YaeGkDqTDCE+C6Gr5KSXjbKbd58mAO10n1IU4+
TcnJCG7V8Udon4zkQcXVN5u8DuPu0nwAJncSeB6n35v6Ohv+CtvQm2UEePaq+pc9f587pOzxGHB2
lFzcLvg6IC8+OdeOjZ5Li/j3l7Z8CMfb2Pk+OBomBTWM62OCQbqjPGnGozQ/y/KOzFYaHlsHvbDk
YFS/nP5qUD4hm99TjsR8A7vbX5LjFQbOzMnRXHSGvufh50HC4Db5QT8dN3rXaV6s+Gee/8pgyNuB
TphxPTXXivq5dO7tDgSU6udICWNM7VriCt+TjWjnIrchWAY1tqgYU5enfLDa/4ghxCM+0BPowY4W
Zecon5DhN360zhjeVGoUIg+fKVfQJfTbAlifi+6uteXo8homr1YBacWCFiRyR+F72WW/rYIsHW3I
XMFwamsMVGP5OimPk9G+YCFBoSjCLr6NhT8L44diJ56svCQTlT6MoAHiVFjpadd9PN+K5os9/jUr
Px3lKGz4HNJ9p79IICuKubxLi5sRA9bC+qwX6qORvVgj3WOUMTzKdhunwmUAA0SY3JRmB1fuBdXX
kKPIGkyhndQY/rUWPUtUTr0Yks5ez438Bs1+V3MqY2PYi3au9tqmAw+6mMMBcliF5EqVI3FmjNOp
0/lIidVUh3FG/FIYQXvQExB5aA/3ypdYCw4t3pVPaacZd3Ehyoe06PW7tusCzwQa+8cXNmUZm/h9
wakC8VkdXUWaGpFIQvnUIEhbIF691/vc9qiZudUCRHv/ULk8KDF54Syh7KfhOGutLgfZzkJ5wpf3
1CB5u8epO4cAO26BIS6ao0w2tzRH/yKhieDxautY0HNVpVShtWfSVcCJ3F4BZXaFeOqzjDXYR7TS
DC9UMHFPQtCZs/I9CfIfZlFqLsbpT2iN4rAuvH6Ec6/NVv3HkcvCrONWp25B4rTOBuOEH+O8Pp8a
ox0eYcLGD8S++J3b1ocAU6Mn2izar/fn/vI+5Jcy/ciZgkYG2n2+k9HdqEzK4/JJlWBnt9i07vuw
GHeauRU/v7HHYOpzWRk0ExeKy/lIc6bPkRQCXbCQPPPDGGgj1N/ODaL5NowOFNaCH5jdf3z//S4r
IXx14g7waQCuAYEt9+dvR5WWFeCLIjGfBhjinzKAije0vwpE95XplFPUPkV5NWB8Q56vS9KPopXQ
r4qn0mu1EDgFud6hh5V6ZcKCd2VR9/hGDem39x/zMmi1uVM5DaiHLNj+1YaLcfhIpsZEv0MLCshd
jfKYV415X+pz7A2xkey0vtvqgL7x7SmEgEIGe01Gs0YL5Mi51cGg8EXImudRsal44wkBHKDfWGUX
OEH2HmxzUJDQb0ih1mKOkzQB1bIdcCtqYvpKL5sPop4/ijKdQV06rf5zatDpckrxSBfANbHM/Fo6
xnjQ0Vb8Wo/psxb29b5vNe2PozS4KSb5HI9HxWJNI1NFVkfNWNYn2hsh+kiG5JZjmW0ccW8tw6Xb
93q/LN95tQxFVQKewaT4FDcYlGv4L9/gb267SgWErtUkfZ+M1U5W23hPMGL6sTUgB57XJ/QitB3A
rHxfdPJXqGezJxYXlikdx62HXK6b82sdFSzydzqGzAS1ufO9YrcdOGyzK05t9yVG9OtaDer6WhfG
8CXPgc3koQMRMpiM2xlDnocWB5adnJXRl04erofsj90ntUU2D3wDlQW6aGT4589jtSpy4UZdniKo
aR91YyjvZzv5ko2x80VqEuupn8DuS7F9K9WRONlmZL6oaIZiQjh8TuKavkkliz+/rhZRH2CJ9EzI
0dfXVddigNM1dFVFGJXPcVNE+z5P5937J8LlpUhrhCsYTDraD2A+z9+9A8fdVkDtT5adRbfdHKP8
a072xupflt36i+MBC1iAKgDyIatzRwiQDnJVVJDxyYkgVFa7yjZm35QigPZj8odNkuWDMhb1aIJH
DTDr+UsNhl3OY6kWJxzG2hu5kwkCB2ujl3h5rHHO0OgldlnsWNZbTW3lkOzbLBHqCEPI5c1jMSri
h4MK4/uf6EI6jteh9LS0sbi2F+mz89dRlTmyhOQ0Jy4yhDw6JTiqVnIwk2Y6FOhC/FXW6jFu2+lb
P06xB9S18zpVS1GL1p4TK9/SKLvAzC4PtBSolhAHMSh7FeKULTiMBG/ZUxMNx043XDspFQfGQBdA
aM5S2cNEXnuK2Mh+4cg7uR0cf5a77jPmiwv7U3cKGvbF4DoR2jUOCry3/F3bTbO23yUDorjcjUb/
zc6SzkVecnruW0e+aoq49mTR1rMbaTEQOpFp39+f7CU8OFupdHQITxZIN31TPu75XJfdOKP4Ockn
uQHCokdzjBxg4Vx3ClohWWbHVz2IzOdCKeOrWJZm7/3hL781LVIk02iW6wv5bV2Ys0VUO3MilJMY
s/Q5sJ1jmczjMRDaHrQliPe+CQ5Ifn3LyyT1jKI3fQtLB3XGMm+ah3yjEXixyHmchbVEqx07Asqf
59MRKmZLgylTTjTwxbVQw+h2ggL4UmXBVs55cRItQ9FzhHjH+kIC53yooIvayXAKhQpDMT9IhtV4
o0qf/P0JvggPGcXGqpW6DGwJ2CTno0AvEBES9/JpIQh7Qm2zo1YoA5pj03hia9VPlWH0uwrR9Y1r
74InQDOIwi5ZLLU1qALr8jWA8aq3nbY54eqMtVyWNl8knEL8MRvUm6pVpqMVGZ9zGTBiUoTgJ7H7
O01dZD9NFr6yNJR77EPC4EkgOH4seyx/i7r6Bm79gUxddpXUaa8nZ8xOUtRwj1Oa+aWLhXOCSKJ6
LJHO2msj1qxDKe1LUBK+yA3pK60TdT/h27qxlC9iTV6XSiyEVf6hYbIKxEUROz3G13QfqxppVGpY
vjXj+ZlMCmYBmtOhbWWlW4Wj5Wg/37+MurRpgBPiDHThqGnNdpr1enNC5O8AssNqPhlUAaWyBya9
64itKz311OKQ1c9o47jDcN1CyJDyL2ECPjx7DJvGX47ZUtepdz4GA6IRarlooB2lBD8r56Uc1H3a
Jr4o7ttIwgVhj4Rz1NEBUbJjGWjYWSK2E7eerae7UGX6I7QP7+Cdh6nhSW3hR/2wT6xkDxvvaIlh
BxfXRxEvA6IQ1ch+5tFx1PNdkwh/CRRFOniCvxYYu3Q8tnoI6BPIChhje6cZ9T638cTm/8NBxgna
3usi9gPpCgT3QViKl4bfZZ5m1A+dqh6aYDpk1EkQkar7KOFihB7//h67TIEpctAjs8gtl9rxui2d
m41Mv6qWT0E3u6U048GL0SD6bc6tpE3haWK2DiOxmK+aoob/gsQjzovV9WRavyStKq6EkVt+QJvC
w7M63EmwDvymtrU70rctYeEL3QsQ5Uh/Ue5izXD0r802nNQOFEmolJmMtjjmZVzdotSqUDgcpBt9
DpX7SBaxGwHrVgZb38l1G+waoSk32F9/BeZwyi3a5IugTOXNaTLsA83JH7Rs3rp5L89IcAa0+Sn1
0nmgF3l+epmz3mrNBF6qpGLgT9kY7ifVqh7f/35vjbIQF2jYEHjSvj4fxSllo4cc2EH3s7ETKxDD
NWVU2t4f5Y2rjmgG1BrySEtZbB0U1l0eBbLWdA9YIVnXdMO+qvghuHWm/hxlOH2anuH92B+ozXlp
3SBiYyUzBt5hGt8wv8pGjHrZPCA5BSVAW5n0CX72KqopstqoQyktH2on1zytSIeTnaPcncehsY+r
6AWf4n43APLz8oLQS0J+2YvT9un9ebmc/QXKwXxQc4GCvp4WIw7HBO+X/GF2rBdHx6S5DOVi4xq8
GEQHDo8DBlJO9JkvGiW504QYfiTSaUZ48xZOIhXAZiw2TuOLYGoZBWlDFj8kJRKA84WUxCxTTZmk
k6QX864VfbnrzKI/OiVYCNuOkn0XD+aVNNnWAYygtBGhv+ohnF0G+JYBDl0kyinPUPs8H19T51xL
jMG4N4YYQXYsWl1lxLGmKqLQJ/PUYWlRK3SdmCq+PaGgFmd/TU6vuXEqsJNErqxR08lDFOdz0veA
iUKpx2KxttSH0Umso03r+SZt+sGdcH3fvb8QLi5Qsj94XYh74TuzaAGfP30xZlnbtkZ6SrNK8ak+
5XCqEgpGQ3uolfjKjDt5a09eXJ+IznBXL3qyfDK+3PmYtT7WTCNtngwnJa/F0uRhSJAPscZC/2HF
Wnw1FtSnlXk27vDEwOsyMMurZo7tw4TEo/f+DFxEn9Qn2QQ8DFEhPeRVNcNBZz8o47mEb4EeMFZN
2ucKUeFf0iTpG7v/ckPQPFOx0qVZB15yveui0dCDVAKyUEl5urf6BbKElOLGKBfRJ7MGUhcmyvJV
aa2cT28Hx2GiVpCcAqvL90mEF2qKhNkeqfPwU5UN8ee0CKJ9TetrY+TL0w1RMMxDcd7SgMURy58P
nY5DoHdmW566oTX8MZK7O1wYEjwIk32hj+k+hNvp1iIqrix8DnoEG70k1/vv73/SyyNhETjiwgVE
QyF+jRgLrEGnX9NkJ8MAK4KsSHtoDctTkml4LJNpQgqdJk+hD8gsB426MQuXW4qkCpl8AJSvQh+r
mHRQcYqY5SE7Qa+J3BzS1EHvjN5nB35I+tTe5Uqy5at2WZMDAMH5Y8tkNdRY1hVpJFFnhL5s9Z6L
S98RoJY7Ir0y89tUD7+GkpwdI3mG5F8ge+pS9oncYuyQZA/N9C4vU9Ur2rmkAanJ34yyY9OnZard
aEJ2/nS/LexqZDFgWNN0BVp+vkaSOe/tchzle11SP9Ip76k46ej3BP3G9XPxHcBokAQBcaFMC697
2Y2/VculDMxEWTDQLJ2sLPtqYT2ZF8hP1HX6KciCrX7y8vvOLoJlPDoPSwFqUeBfLf651vOadr98
D/20dSNrjD0zFGLjrS6Oq2UUZKPJdSg/U309f6s8FQGCcYN8L0kZWtj4w12pnNguZfZ5o8J1GTwx
lg6d5ZXPxkGyOhrLMVaybG7k+8hUn7QFXIvBS+rpoKJ+6t3YH/pGvgtK9Sk2G1cFa1+5aR06hzCj
Y5qP9l/vb+tXper1DOMisKBhaS4QOp6/u9bZdTw6lXxvh+Xk52YU7JADSa6VQutcIQfOIZGj9DgH
cvKrNHHHdOElR98cddYQbm8zZ4epVnOoQ6t1sR/P9wGtioNpi+qI2uRfoymiIxBK6SCnxs8gTUu/
qtWJY0rSbowhze7juYheKjOYvtTotx9FoRo3XaybpypvFY/zHAtWva9uucicZyXvNh12lrP7fAZo
ZALQId6AxYaH/PkMWFaRJJ1awjBUOtM3B+jjQ688ponqOcVg+Ixp+s1Qo92n2aFX1VK1ETBc9ssp
K+DXRNQFOmgpt54/QmBaiRrm8EHUXLrWDOm208JmV9XWeJOh13fdROJlmPvkJpfREcRksoR7kGj4
baRZfCsEE6qFs3LAnbb/ZbZC94OmxqRZQMFPyvBYE+QcEq7sXUX0sxuUUb5t7Ky8rmKt9WQJ5X1v
nmBVzpNm3uVBrLt2kUm3iqZUeC7mnPUWuk1x/vD+6nvjiEUchDr5oumDcPv6PKlGqUy6KoVlM2nS
XkeNPjC1BrGNWKk4LuO2u80kp/brdD6KYX5qK+ELDftbuW+MqyyhD0sQ2AZP9D8dn6LGqbMHbeN0
vTz0eEh4IKRVxBhcBOdfxw7BUtV2I4EX16vrZoqQTRSwlxIbnEpcJ6Pb9Jq8ceNdnnxUamk6UfJy
uPjW6ntJKY3lwsk4VWE4P6EbVt/JUbLV4lvW9tnaXwhIGrjMRRMEEbTVvYqGc8VLIKIgs/7VSR92
xTiku3ZIKkClmz4El6cfRQVEugijqO8Da1je+rf7wzY5aQ0xKackLdH4LhuTmkg3Nl+KQZd2VVDj
TqDF91OjqFeJFhleWqAdr0pj46uJGJ+Avm2Fdhdfd3kkBL2ILTjYaKicP1LeoANiTajpIEH3hX8y
T2Rl9iMrgKqEuhx/nIItMfaLb/s6JKh2BHzIc141dH+bBUyiR3MqAuU0xUbotUif+slYDH9aAkYJ
iZ7lIvRKk4ii+PmLyTLS1SkN0ZNeK+HenoX9pUO+/ZhJhfb0/j6+CA6JzBiGThQTCFtstUOSckiQ
HkZKT67T7j5ObzqnxgzQcSThITCkyR4t9p2K4vs1ROGNwS9RMhh9vQpIUg2i3bLGRcypXdqx2Wan
AQm8A/KLwTE1rJqChKJA3sTiSt4Nlfws21G56xuh4FRQ9LuMorhbDkbghaE5bRzpl2H78lAL/ALq
MrHFmrdup73ExR5lp1jTmyuK2rJfFIVzSDFHcVOaRle9rH6IjNFL5QTlpjg9BqrYKqte4sF4DKoj
i8QNaQSJxPki0IBVYvIziFNeKXeTHId36G1qO6JswExKVfgCXofvdHLqjzkG3yLNN4Kry/1FVEHq
QPJANeHCKiObw5SrpYcn3ulPui6FV22CcpYUla2PntdOaNXWln7jrcFqAZKGpyNjlKMvAd9vG0wg
2dk2WSFOU5nXSLGWzrc6knCka1NKl4MtA++gcpBQMWORNtWuGR2KBO9vistdfv4Qq7gio0aU1nUn
TlIaS/vKlJKdKJLw4x+PAsGfHg8NWoj4a4hY1jqKlGZJdFKHCJydrEj+kENken+UV0bq+UVBGYaW
IdRthACpuZ7PaDzJetVOeXQKncHnMnez9JPQYh++0n40vjjqQ2Jct9onfcg9K9FdgLSuIzp/krAb
7u6tYEKTOcarUHbb+EWd03stvzb0n12oYxr/pEYfgxFniRT4ZTd4dgPUpBJHIvO9nQ8fIUPd2mH/
qay/Ffik7eryO4rHf/69IAFyB4Jt4CJYM5Mh/nRhF6vhCV+VGzuTVPwims2IZ8lY1hNpAyRETnAh
CqzjbXRmRyKUKjqliNcfS2OyvACW3nFyin0kWeEOm47aG+zE8SzwdMdcqIoL7qLZ+KJvrM6F+QXG
GfwsydzqdmgQ9nA6NEZOQ59oNDcwHJSXCun76+Zy88MvY90sJwCStetTsOycPoytPDzlc/08yLPz
VDVW+yxxUOGEElukOCzgD388KOE0KBXiesBb64A+agBRRTbyQrPciKsZs4gbwOV4sATjXqRS7xOJ
brmdXr4oKTETSaqKpTYE9/P90ehjRFe4zVFWASNomInxSbbn1rfzUfFZRuFNXGXi8P6LvlpxnC8m
RgWcBNAExBxKFeejOhl9tGqq81PrnOYi8JQIj0NDoDqWuQUsg3nYd/C08+cRHK48PAuJbE7fBcNV
GRxLalVmet92V4i3uJb92Mff9MrxzGk6ptNR0XCogQIGPysr9toQuYn2pGR3WnRvOZSBQ6N5NGdl
P8ng1huBzmPjxlyrTpztgzY7NMhl9krrt0hmWk36kgF+3k0C3KxdS7EXtTgGDfVwfH9Klkzp9xmh
JEGFDsdZa0HeAJI8nxFrZm/LQzx8yLkcjpWMN1qFIeRRKmSN3hw6Cq3VW7us07eOyNeo7Wxo9G4B
IxG0L54OlBLOh7adLJq5lMQHxDJVt0WE9qkTxkOttuEVHi600ELmOrCzYKclbG+zG/Rj0oImz8wJ
yaw+U3HmNePrAtCAl6eZs684Mi0MXJ/mDOutMfj0/mRd9PuQlyDztxfpQVbRhd3jOIZppNem9Ejq
fURIpbwugEudykg0O6k06qPUNb4w5NKXBgKYaZTtXaBLykNix85xbHE57iipm5OK5XivaE+T3dd+
W4TpQ6Ym6sZyvwj0FsQOpHwMSjhBaX6sNlkhOVVn9bX2GCghiYKqN3vIBMUXUObfpKBDiQwhA09W
g+IunG3DrUyn81AgDvYVVlUe9xVliHHUN9oV66MU2B6dvSWNXVgcVIrPP3xazFLhFKP6GBRhtEtM
qfG7MAo2KkdvjgJNBoszePh0ac9HGUsR5cO82GlMcbnHgo9tV1Xt1ftL4lWJ5fdVTJEN4BXwbu01
c1jfC32mCKUVkvGYKE61N2t98krUXuFEyy+oA1wPqZbuUls8m4tOx9R0u7xPyt00Ivzr2G29K7Ix
PTq5o1wjuPK5xsnH7aKnKIoj5JLtj4khj36v5cU1dXaT04EMCHWVylNDJdrlulXdOkFmHKOozD1l
ltI9xVnD0+XMQr2zRfkNr2ovr3T92U5N4empVe0S2RYbN9fFdmYimAU6ChyuxKGvi/G3GDIuh9lp
sQp8JNbZGXs0373J66/iHWX+m9Er7iIfmt+p/Nb+jJ+CjStsWTKrr7Ag7AHuLOVIssTzj43YcqtG
das+Avg8wuTUa8s39YNCuvD+974gjL2+JqgLRKkgo4P0Ph8J50U7Y/erj+WtfTAP6f24L6+UPWxr
N9wprrzPPO1Qfup31qNxsK5lPz+EfuRK+/efY31/rh9DPX+M0ey6uJcr9RGlYNdADk4Y37TyUKsm
qNKNNb7eScTK4FqW2IvIBDmR1Svr2lJNiVBcG5XcuLPs8FOTO85G9v32IGCnKetxMa+1bwmoqjoQ
GeDpGEfFIk7iHSjWeONVlgv+bJ2gTQIEgl7/Il/H9XM+bcYQIec6l/nJ7EIcnOFbIwldhAs7P/AR
zPhGayB7qMDMeVI6by2ey3dcsIR/V3Moa69ZexSHJ7iojF7JqQmDciqWDGvLvHI1CmCvBWWAB+/S
XqeEp52/Yyao/GSIT5yo4GadOwPzPQoS6sf3V+ArJO63ufx7HGrg6IBQC2PPn49j1chjgO3LEGgE
fyRauzsMRfmo5sZf8mwoKFOa8eRGE4JR8OkCfxrM/s4o43KHoZJ5RK+w8SslGly5V2KOyNZHRhBA
56BFe10WB5K/fZbEvozHsueE1rNipXeJnDq+U7X7SaPUXjiSsZHVrAKiv9+K3hB9rAWcvZZRmGCP
B23OW1VO+DjplHxrvpUBIdRFzSd29RCtylKR7T/b0K/j6nSJOMWJqmjRns/mBBjSQsucokyjGB9F
JuLrsiOta/UsdEVlfW7KLVvoNxYKqBRQyhTVeN01aiHVuUyGKhan1tKjYzDNNlc+FKnXdfK/zxyh
m3//F3/+UZQTDdyoXf3x36fyZ/7U1j9/tncv5X8tf/V//tN/n/+Rv/mf3+y/tC9nf9jlcEinx+5n
PX342WAu9Dpm+LNY/sv/1x/+r5+vv+V5Kn/+6x8/ii5vl9+G7lj+j//86Oqvf/1juT/+R9tv+fX/
+dn9S8Zf2zVtkccv67/w86Vp//UP1f4ncpG0RpaKLfSYpYI0/Hz9ifLPpUCNNgUK8bQtFqmivKjb
6F//MJx/omRHsLYIpoPiWIDcTdG9/sj658Lj4kew11klHIz/570f/t6Nf0828/CfP/8uQrgKCel1
klOiZAdZnTW2YCDOlxnUarWt4wRRcWTXb6y5+VKGZnOQlNm4bWdYoLTb8huqpA7KPsI6aPWUpa5l
QbjAj8VyfKMIuuscWPRGXeb8Bn99sMUPkgcjYkU5fvVgCB6AERUEzdVYVjd527Hs1WbgQdM68AzJ
/rPyxTIgTGKL6JigHlWX9fGly0MdNyPWxlYZdJ4MFOG61qT2028r440JPz9OuDTpiDMWTC1KypcK
4noXZCHSdzZybZ18OwZLF1BUsRy7aKJ8zFU1/BgC030op2ELVLJqHixjQ9GiwA/Wa9FsWtM9AkzJ
+sICVajNZvotpL5HM8YqXMST6ZXWQstxKjSHvWMmOK83Nrqg2CyrhwzV1XthNeYJcVz76/sTsqIu
/f1UVEuRilwqYyA+z1egVeq4JgYIegYjLSxQW9axUoqGbqiUTy7uDdGHZBxOcdU1N+VkpdwgCi1R
s5c/pzmHPynao9RlQeTXmkX7eePxlnP2/95q/3k8GpPUB4AvXxDa7dmy57DOA38MUXNaYFO+nOj1
y1h049GaUuUzIndFjN1dIR8UJWk9pzaiA9W44qZswnYji1lvi0WzG6YOJFoiL6RoV7NlzthmRk0d
7YzEZiOCpOl2ZR3ZCJrJ0pfIcKYN7ZG3Vg3NbQ4hivELUWh1rYOyFEkcVfHOqQqxn1FeUt20qOWn
uga3EOVx5IX5MPwCGR+5UdK091NppLsCLihOJpH0UR7GLUj5ebT7+lFYygsPA3zJAnA4XzMYmRv4
VZjxLiBCfQSVOu5qWe19PQzGYx73jWfVmbMx9efXI4PS4WfTLnk++4cD83xQtSu1zgniZFdYQXiw
taY/zIYoNub7jVGQnoX/sNSj8RteFsBvaVNuSrUTp0G6G9OGCTXbxASGp2Uf3l/XFzMI4BeyIJg2
AK+oCa0C3zzmmEgTuIIpGmd3hRrpWDgEonPTV4piF5uHRMrMh/dHfaU8nu2mBWdMMMS9RWgDIuz8
7Vody4JKjnW072YpOEqRIf3SlTECtY/v4D4blCb0JqzgcHCU6gmH0rxATa2eB5Wqti3VhS9xN/Yu
8hXtUypVUQQTaLAAMRaJ4TUGVXxEOKbyA6obVuVa+jx+SBIjvGUpaadkSJTHytAaY1e2REFuNQXN
bThryuglnTEJt8zwtY/soBgPHcfBoZETtbhnGg2DClOEvH2uAUmS1H5061GFU7nYDaHEGSntp6gc
zXsZb+R830dqcc06odA3Ws7QeKkeUUtL4xTyj9pZ4qmxY9ycbaUK0TQYurK/Empv5o9jn4fH0iwE
/meLbZCXzr341hrGDLJEm8Sn0VHjwLNTiUqskmBd6Adyq5FmSoP1XVKTuvaljJ6Y2VVXTekET0Mc
VJ/QwwS0m9X5FsDurZXEcbSUb4hWOJzOP6loklkNsDbwLTWT/AJ5oAOZubkzqy7ztVn095HApfD9
hbRs8It1pC4SjzTdSaFWx+AQBCEQj9LwF0Pt3awCo6lw9PVVKf+zyvSy7ekzcPTxhvwPcbPz92ua
MCV0chhq7uIbZarlfRCBzy+1Ur9mnU9706RN+/77vTGpoIYhKoP9XOD560lFvC0YZxINpXDauxSK
TgAVzteVoPZli/gEepL853O6mBgQCC54EpLF8xctkIaVwgl8QBbHOg48iumVsZ3vtQqR8vdf7+IW
o7i8KNYwEiNeyIM2iZ6B+SsMvzHHDNMJB126PI6pQznzHfiucWO8FdPh9SOiEQ/+hPGIq9fsJ2EZ
VdGlkeVnZkuAk9nOL3sexPcYntsz3Ez1i27n3XCQi1qZ/azG3AIuUfrZcCLOX6BXGvqZpV0czCHt
C7AUtfxQhUoZ+XreTFfYg5Cuvj9HbyxxKlcQpgE4M1XrxDNonHKAM2P5KHo4t5R3Mq8qA9kzy2ZL
SeetoQhK0UIDOsV9ulrifd+jBZuHlq9EKBcPtoQiriSR/XE0b3yJNxY2MMFl25JMcwGswnoEDxs7
6RMLOw4Ua7qZpsdM4Fq6dgMDd2hFcgPgpt8Y9Y0XBPZKM3uRTkZGarl0f7tUCwc9+0iaLb+zUOmk
Zr+AwPBF78Jxq8h+ubRJI9DYoHW+qJmtG73ROFtiasAE5PQM/QS/tV01dzVqI0L2lbQVGyZjl/GC
JhMMIoQEf0OhjH7+akGk0egwM9MvTPDpjTS1t9D9843F+NZb/V2dX454+tfno1SLZ4CjN4Yfm5Pj
SUrcHbQs6u410yk8M622eNP8Sn7j+QnPAQOcEO0AtDMIec9HFKnjkIzlst+avaT5STzmrZcreu/s
lXZE6yYvNBxpQJOV1w2+xjS8h9ac3aBRph6ORZl8sGCRolWEeLfwR9PMnou4T2APSVqQeoNYlJbB
LfRuX7Xa0Znb+ZnQHfmcYCrFjzgopkMUa8OvJouLU9i1Qt1XVsf1LTQw4tjYccG6KBWGqAmnVXw/
zln9bUxAf8Np07MHDI+d0M2NRnytEtQZXV0O8YdO5Lr7GRUwet2+DKFXDZo6fA8KYjDPCQpgoNGc
VDdkavIPvQaV7PHps49N11UfU772rzRqsHxRRycmIpmD1LXrFsGUGAA/UpqVlUVsJmSJsOEaC4TK
9Da4dizEYZnEYHowJBrKnm4KEeybNJ5Sd8qiGuQzIEc8fDpLARU5CzLANrZutC5FNh3xo/Gn2lYW
ST/6Ry9m2VbZbuxK9ZmMof8s0mlaiqaDgjSV0KAXOtM0fg8QsxJuU9o6ujbmnOpuP+Tt56i38nLf
4lqSumOhZmKfxhVMOCXC/+6AMg0o2H7UWs3loTiQxlpkP+apkRBkdJLEx+6LBxmMlCns6snUkQMO
+TfEhcYPJDeiX6baD7xXGofdvo6H8IOgcVp6ajWUJ9p15SfiN/DQUhAbsxtj/mS7TYZhDubdEjW2
IcWhkmasmmBhrSs98zI3LZY77ajlrqnlsnUr5jHorjrTbj+KIjMjL+rM/2bvTJbjRrI1/S69Rxnm
YQsgRgbFQZw3MJGSMA8OwOEOPP39ovL2tcyq7iqrZZv1NlNSkBEI93P+saNgXazdmWxGDAb1FkaP
kdOJ6CC0r25Mq+nI5bKwQkAJRRNva0kpXlxWXXbDJ6gx3lGC29PDTSxhvOZGoK6fLX8wGKyScsjM
kQTO9jOdF8YYPFVmZwxp2ddheKvCtj9RsV78tHs7qvGOOdlpmxXCrLoS3al0uk4kyCzzh8Xf7Cde
iIgtPY39i9Ld9shzXfZkxQzLL9GPkTzUveantVsuudgLM3Hnj2XQ7P71HfdX+P16LfMlp8maKHcT
Cc4/Hpal9mDLLMtORWHSWNQRjMc9bN9K31A7Zg9Cak2l0iBTqNEa99+A//+82vLyBLNfnVKou5he
/3rGdAi4hE2ATTp0RtHFVruJdGyocgpXa0ja2Rv20h1QWPpGlw7TGN1Fbh/c2XzgaehJdRksY43/
9Vvyz1cVX+drjh+jCuOY9w9X1Wy0oaI+zU9FyIpB1l99b4QiikUR/YdVqX9/+5m9rr88uaLEgPzD
a0U1GnU3mJ0UDFJhcFrWdK367kLlgXuz+nr6UXhBly7VQvYn2Zw7tpA+wbSW8XXOiiSQKwdV6P47
yds/PxZXRf3fd+Brvv/f7W1/uq7ptgP0rjDCmmM/X0ypIkrufczbfThwPNYdu1iZ0fUl6GI35kX9
m8fyH2KMr2/MtVWAFZzTC63WP153WzVgRi+IiWmzJf82lBz9oILDqZM4nP3Ml/vN4ZbxjTq4D8o5
ODWbRO6ameX0YQxb+/avnwl4mn+8DcGP0VYF0MoYI7H0/fVJtUj3NZzFyZklFnlG5715+9pnS4yF
g1MsMcm/sA9jIOW3PK/YTuyBBylGIuWcc57mn8sKhJpEWxecdG2ZPN0NlZvXZF3XRCjPpEmLST0O
JzZoTr0uyvSZiJRIpqMlmiEZcsd7qaVpHm2/VjY3sVggdidrPNpVkQ/kCPSEuNHwyYWa2RyXRLh6
/mvh5R0D9LpaU+rVtoMKfpblt8a2C5oh7WutdxvWJoUIreF/Dah9BpxAQumTg0Oa0i9vVM+9Kxw7
nowB3cvgqvxk8Tm8OYPTzImj8p4GW9GGK3+4nNovkfdus2tXSeVFgz2RG640QmvSSUBOSe/unZKg
TM8Zpmd/U9uMqc8hoIUT2Emy2UfrS1aUuaWl9senKQBZ2Elbt9aRmG9jS2fPvG370e/uF04XWgk1
eu2kxyn9ImTuJIVG4XCYdQf+VQzT1KXCQB8PhTmLPNHr2nqJI8V8r/vZ+0mpdWccuCGb9le7rOb8
RM2L6TxvUeHZlMb11yTRdazMndMNgTxzhU+nTWXim54Gf7mIoIrcpHYymmPXBo8H3VuzGA9rMdfl
PvCW0Xqw61DujcJ1RCrH0MwIzse0knhyEEPSN1NBS4OI/HiYK/Vk5toLgTPgH/g0c1+kqxwRIfbl
YInUNjPaWUfHnL6KLFMPXNn5V8BDRLtcXXqfjL++Q+NYR04xgc7DG8F0XJldYU7vrJcSLKsasyop
+lJkp3BV1Dr6k1qA7toa4CCaywoP6mS4KI6L+Wm6RtbFjl6bw7z2Ic6Srg2eeqGCAVt8A9deln2V
9IEjZWxO+GN2s6GluafMsSbcYqrJlivcJbir1jIkdd2rqGsbsxmasbPn6YX5YTJjo4rIiO/Hsl1T
hC+BtR+bsn2end5oUXspj0HPWIZfCpVhcRzcAY1l21nEzeA9apq4kbQgHMS1CL3axohmujIP7UvU
XV8Hcfx07LRbyNjrV5vkaHfyD0M2lwjENrXIlIdQDxc9ZeZzYXU8gNAixqevqiCIu6idghR7lVfj
DqyLt9zT6mjQ60LkfRZpMw2sxnkjusV/l7NcjXiWuKgTG32kk67TyIA4a6LJr/urQY34aq6CR6rT
H8oAV0xxuei3zdhskeQRT1qM+L4/iFFfZ5w8fDN6Q5cxse1Rl1LAJsjdHSbzWU5zPiUlD9VZb271
i9gSgwwJcwGzb8rl0/JJdEhU0JjvtYiMp0UTmX+dL2m2nB2F0xjU5jtf9WxOIYKb97oK/bfFjuST
Z1X1b7XADo+YIm2oiGHVcetO27NN9e5nMweUCElTyjap6tnViTcWdh7zPZOUK1Bu3ewaYYVcFYOm
S5kVex7j0Ne6T7JsDbxYBVh7CEpGzma7eV2nhCtYJV/La/4M43WTiJK69UPHAvBBjx3tGU0t1nO4
qIGvhZdX9skwxELjw9wREGCHZfg1aYLraEGYa30TNAEmwo0d8z7TQr3ptvPd2Pa78LmWuXeehLCc
1G6oreRm33JaPrPKIckksNZENCps0kFNtptYdRvgmelWxztyseA0Vr2yu1PeEMF8GmQgjF29tOW3
thuJ2RtndsHECRv6aEc/36ics/zsYRj6/gWfmenHZeSW2862l+mnYxicZ2GOG37hlMxB+Du5JDNv
rMSmVVWQUro2X8g8jkKqwieDZJENvDMpbbd4MTPbabhSxo5YVz0QyVSavUiVWcNm5SEhlwTfzZ2f
kv2i1wNe0Py3s4raP0LrG6980qOAJnBaHK+FYuD28sZfkgL2n4owajreJNtCPIi8qndVWAESNG3l
FxRrSv95yTrurFz2zc/S2swO+DOoX8mmEg/ChHdILUnxrFjLzUmGbCOraZKuzpLZdQs0BO5sjDvl
dO0Sj2Gv6ayz+yW2maDfMktsn8jds+VY9B236Lw4xITzYcqLdkUP5RR4QLdzb6zBLoN2UMHolHE4
X+c02UvrrR3nYTwWnYM9x7TbJUurrFRuYjSkQMa6hUv4AzD8j1j12/Jr7Kf+9/xXCv2vVPz/c9z7
FRn4v3Pv7KyfEOPln8n369/4g3x3nb+5zEsW5kCsXphImHD/IN/dK/kOXHLNK6W3Bnfa/5Dvlv23
q5kTSJfR85reAKTy3+S7Zf4NYgaXDkfG1Z8Pnf4fkO/X8fpPEAduXHg8BnAkz2Qy/ZN6NOqJ66xm
6DRhqZwwGB/FS9BGhz+9H/d//Ht/pvj/j6+COA1pJfQqM+RfR0dRlVukVl4lrN31QlNj8dJY478L
aPkDj/zzb0NOwzVQn1R4wuFx3V0Xmz8N7c3CWWmzb14ZJBf9bjGuuIeGLLwPJS0ph7UO3FRQKMDS
j/A4yRk3lmtJN6EukT+BOiyye+oYCfxda3pWf7tkue2cRW267NU5F9K+qwOHxbADyElnWt22eOxw
v6Xas+WJxBD65zYYyoNF8VrR0Ilr0UsWZ7oP+FGWaeAGk5n3WBaNKW4IW2QcdYwKkfDgujnyU7KI
j6ZcgjkNys63dj6c9JcbbVN4dPVsHYLMGXH1ht24xoasiTPo3ZHRzlf6RsERPXpBGZZ3Jg7vl9W2
r9gMaejPSJMJg8t1139zbTDO/ZwLYhCIVdLTQdCA0u4UWX1L7GoF2jLC/Kq4Jk8VX9tG23HCfzCH
3TgWlgvQowE5jzorspdOzUuYeHbmhYehDvthVzYR1bSy9cdmB1nZLTeGVzLoz4gRuqTr1vw02swb
F+W1rvvD7b2IkJurwOWlG93hZqxoND2OPZ33WUl+KXufuubNRSubT2BjuItHij5/VEMW/YBd0s+U
ygy/l9bxW/7P3Hzki918lKb0vpZycX6TOeF170aQbTgiqfOwdlYH63GMCgMjF8ZmWR6tzVJqN4dq
qI6DbYzVY0RgA9c6FyQEG5Y3cWNWegxBT/RQQ4P40v6YRwOcs7e1zRxlkw61c60GPNeMxKB2K73R
VbzlMrITgLBKn0Y/W8o9UlUzSJy8ms06rnNLvYX0E1m0z9TdcBSDT5T6li9/qBn///H8vzB+/+k8
+idt1O0PnNV/OZ3//hf+OJ4dj+P0qrqEf0ajy17zv49nx/7bFQOBKkAwY11zXf/neDaivxHJh/YJ
iB36P7IjTrT/Pp8NK/ibxXBMOiN/CVIGDdt/cEBD7v0Vjrn6ELhASDe4mnwRiF5/jj+fam1WVfCb
G+30RLJXSRb1YrtMbOv7rM76l6IDnwKk8tSuCN1xr5vQOxVdO92XEa73LrTbm8keUXvPZbjXtTGe
hcVu2RGzdZkiRJGen6sk3yY9xS5A9DnXTX8ahnlNSRFIOiVuRrBDzyccyo7W93YZaV7PHuet2/HD
sb/1S4jp3mbn0MOLO5srPwkB/rZwiS1sbwYabGelqHzSXoqdT5yMqGtop5hlTOZTtFfrcoPtFArb
Mn4bdvQqezJRNrmbjMI6sbc3sVZTLAcMxhqD6HlQSiL0KPvdFo15vExhuqLJehLix7o6ca1L7yiB
Tve56/P6wvqet6jQHVLjXHJ4N7N90n5zQPeasi4SHCeOMy2h0bgee4soB7yUNOIRI8BYWNx1VNCP
2bSlBdMwsoRb16ifM2M3gbe4bRPdWU35Wph1IhwNqF/u+tpNc3/4yPx1jtEzXX039i9zmop3M/e5
AWZvJUwfn187WFuCTY7gujwIY51FCW7PXaDy9ojKjRWFmvlH0n1u3J7Ry3TamzoKjR2mjuKqoB/i
UZpfzuwWgAI/i8E/F6bxMLRPHgXrXrtfankbEV/XNkr9GD0lDxi688fQGr/hqTkP82tXn7M1qtOK
/tAETW0V26o/qdl644nqQNqWGzuaHzu7uwwKC6CzEGTXSP+ede/XiI3oao0iGlMvR+86xCqcR3Mt
AEzrsyLxBeFE+7Ms5VfuUm/o8yyNYR23piiTqjTAYlb1G0cWa5TbnVov2zutWuPJ3ByicWR11E0D
l0E69lhpLvYFnWOMI7S6q8yctoF8IRpz2i42MXC0iqpyr5zsEcx/P3VW3FSOiLMMY645TN8mVcrY
bcRXJq2vrndTua4npwbRCHwoF7rx4tGyqIqYhxa0qbqXdf1rKr0Ha9x+24rUzSCf9a63yl9cufuI
kFITfWLiDdEad1P5HLrzc11N3/LB/O4a/Ik2pCRiZgixbVIPQo1rNytO/SbOhd99TpI1KNhy/8fi
jp/usrwtkVPX19zyu1GVaReNT1HvpE5YUs3ZeNQu2CDwM/UZc2KzfzJxfS9H3cEDg1k4ODKq2JTW
scrtL3ga+8wFF5I4Qv/e0A9+WhkNs4z3w1bXhEsmF5I4tvUUEfe/lPdbfuPlZRIQwtiVYbxaR+qT
mQSsn9QikROdHwZ5lqyUlo4XFk3KHOyQL3+D8GyM/bY9EXpIDXzSbmPaj9l+1eMHYecrdK4l+KDn
WDVLqh3z0jWvzvS916AKrRVDxZOgctWxbBL26IdyDzRrJ8HwuoT+z6IhQjzul8C8xqyQDCUSNzdB
eGQfDB9qVhbQ7Nj1hsW8gpg09uuxygXJsZ4sYGCcYn0MTeLJz8u4NQNvExPElwegHHEVc+pU1H8Q
MO2eABzN4sOsOl+1qHngaR9Mnyqeu8AaWvHeDyUIXFFSMXyORmG1fTwF7RAgU7ZXqk5mOL2bjS3W
jydFM0+K2t4WHKn4YBBR5c7nOLThnRkV5ZhaSGce5kK6RoLcazhpQO8ILLRdvIRsgYKMtrkKi0Mh
XAdui6EiVqs5jIdJOP5XbuYm/HFXbQ5JlcvC6VxtUIixP+bY/xhfXH/XdI2gBTJ3mHFx8gEjzdJo
qj1QmYXswZaaxXbIs4jQF8ccY9dp+vuNRWVH8kh4KBoSklrIIbytfOFDj5KPIs9jn56I22ycTsAR
qbfO9RtIcPNj2qxvdMvfuWFl3Pa0zj31mZMnQ58Bn7j++t2xKEkn/29+70dqXXSWvThRW1HBIX+S
ajMcGbfaO2te+OrMTKDekIQRUjp7PBttEZ3Ftl8RMc26vpk9deuWC+RVnrT+gA2PQ3SZjktVkfO5
8Mb398oB3EUyXFNEMhpg9AMZEJy06zHfzhZbPdU5+y4w2tslogK2HoA9y7KG0MzeJwepYTYEF7Xw
H+T0a3ObIyHdZqz84tiWwVExgwub4VhX5TwmQb2XQBXCcfukoaBppwaZnak5SbNRHRy5eB94VJzY
1izp2vPn/ca36OTn8sUv+mSERE3c8jxtA72ZAnR04Stpi+LRL7PbcMj36K++Z9C68RCEzlO+Fu1F
r9pJbNOI/Vw/NKCEJ7dpbtqxnuPyijL4XgavrLIDn+YBSGCIh3X6lTXN77CurNghxu5YLOuQWlHd
HMmda5IpCHZj4+kYKGU3aL57CFR2YUazlGrXvbW0v0dpXNx8PmT+lNYjkUPFu+Ou0z7vy5t2Gu7n
DmjZKYCDKfUtWQPwDQOp7JYweikMfRmG7dFv+ixmvljScWy5dEBc5qE+NMN2DMzxN8b/+8BpyTvg
hVPtbgcg/nBnaeOyePjQx7lKxjpavZhAw/IpcvUPamrAXYvrLB8dVGvtC6Qq0XYZ/TaV3ZIujEtc
peHys/fmFxdYKRkCDv9ZY1gzWnveF9rZB0VHod0qnudAn7di2b5lRnv0zTG/+M6690r7fvYInAAP
XYCl2vvWq+vD4lZPW/GjW+ZdW8r9sqkTZKGVribFF8NwznT13m4mksIwMfru2kQko5M1Vzdh7647
UoX5WcrHyes4jw8+7fExXb3HKcQDVA5+dGPUxe/A2XaNa3w2Y38Mex6kwdopDUKH3XuORJuMggdA
rrI+wKe/DLbYr32e5qZ1zIP2Pc/G2wHYWGR8QcwgXo3uF7afRLH2NQuzmMurwuK+Ot5M1BPfxay7
qxto39HMw33o6e7kUNVAPOxxnfReFdHnXAepW95P2aUoebaEiA1oDsXaOEZP1C1cNoDhdnhe3GyX
mdAR6lU409Fc/eZFDia34F20mRF67/4kMuNo20asqWdyEFvSXfBqih9La3xFdcHVT6f8Yv4q2/7G
JpPNnbLY03Pa4LeRpfHcWhhy8yqwD7QFti+Dil4tuOXvfCfDOA+45fp8ue098wC899uvHFLRGWlE
pDh9gcC5KuGbipGtfKKgePIKIrKGV0OEI10I1g6SoDugYsiYobuU9I/EhOph4sNbbXxrQU3H6MPP
d3Z9M5UPbentqsXLSUDaiqQvt/xeDf2rF5bfJF6h1JvdA49aQEqZbSZlJm+uHYqT2f/QbL8EvH+L
ass4iXIY6bYbjzWisi3JkQMX8coJtmvGCRfStL2pcmH7HD+GJurTXFjAp2rZyeCQT1zkRK4BMZLl
gP2CYBKRPVfEqkTlEYrrbWv9hwZCKjV69z0Sn0sDM2MXx6Vf592aBQ/BQKcjsihOhon8Zhch8FzL
aV/5WZDS5ZqU3pq4Fc8PPIvf+99Aqg45OEVaeqZgJmrH577rmiAGFtq+EK4hmOFLt1wcvVSpFHrb
h7NNEoVt1LfXfJNUDO7TOHLFWIN337erfgfw3H6XmLJKiScLO/ttxTO0G+V9NKvnDb1uXEXnYBOE
FmciruwxGa06WUVJ1HV+cZpgvwz+nv7I1BPzznNh64w2MB621Sfcoi2Wl6bYnlrAc57eGzGraddl
o4RLI8aqtF6NzL8Zg+zotMtpnMe0CamOaYPoEuriUpVRXETVN0ptX2Wrv4ap+lZ0D5H0PjMCFrlc
3lBUpEWL41rKK35c7VQ2+rALnXHcfK+MJ7c5GTkxzHN/Y1XbrV3lFqe/4ve4tlPJbrd45nekS3et
EnT7ggHjBEfPa/uxbYrxOIS0UE/sd0lOc5PygnsolkPhuilwydfSXl1tY1EkE4Wpws+P01TBX/a0
4Qy8eZMHfZsv16iAUD87JpgwjeBubM71U8QlW7Q1/s3s5Cj5zCB4lj05AtmEsEdARZSqYSZ4FaHE
sQ1XeNdN7pdXGmfF+ZV17WfUBcVOosbd1hLi/oFr5cnjL42uVLuaAt54HF03NrwlVgsenkHL19ox
EtJVv22DVUGqWL/xxPzKtbmXefUiI3mRlNDFnVW+uZO+daHAe1rVVz4WPzvODbqW/iML9tdebuo9
4q1HPDkuJgm4tpVULHc7ulVekWJGL9Uq54vjAqy1gYbykHsyzu62khu5DAQkUsVOmDvq1R+cjw4l
YhpE8Maz8QNT/27s2udC6DWp2iixSuunnCPMaiI4T8udsNckC8ajGAXBSQaUxODeh0ExfhdIFSgs
V/FmM50OwfDQCCq6N5TiTql+59vIr5gRkh4UG7SZzblqRpxYkSQZX9s/zKyWNOs5P7OCdPneI2Br
1O3RqHW3Hz2awLN573cQCQgDoS2Dpb2x9MSUCNJG1CMEW8iG763fqcX+zMf+ifXegvlOgkWDLezp
G9u3jajTqQ72bp8/ogvfe5n9qKp8t9iU0CrsB9L52U3jMVT6u58Nb3T+Jo3VMCqxI3VQV+FN1Lj7
cW6es/7STe0DVhLxmHlBWi7LcXThrBfiyYtPuTWHUr1SchbcjkJ40JF+9VGD0QKlgZrGRiEecx+G
cmzvZRAVX3lRmgvHdlP8yh253VZuBaFh9p114oky+t1cST5gBpK46JVzKpYs2l2Z16fJsod7E6bm
Utc8eyITbtKYpXyldk0mHsD1qQn8NR1Xluds225Fy4jrDoGPqr/v98zz9MDUPMBEzFipH6jpsKG6
4K4w9yoyP68Rs0VMapd1qlsrSoQn9FHgHj5QTv5h2EX3THOHwUKX25+NbsTrREzAoRjbZY+btDwQ
uRvCzYbTya1lf88Kaz1kiOqPWeZ7x0wQGo85Xzj7ogidZ6foPEUKkynqGNm0/Yg+v/J4fcrjYgOg
6SnjKjsPXRDFm9G5qL1ym2O+WTCNZrW3cmn4dX/haqlJ66+2JlVXmGOqZ3lbDIV1hx9DndsuJA/E
VPX608cknYyr0CdOoP4EkL+elj43ztuMKG2cXeSMYw5gUFJrYEZyZxaBfq2jraWy2dZv04D3K96W
nguAH/MRPlT9zpin0pKQi0NHocqRLmF9p7N2/Vl7EUuv2a67te8QgBDBQjZEULEF9fxm/aWuCGuw
elyoc5GjrcAIfzB4Hn7kEno78tb6k4P8vNTkQ6NaMY+o3GedclPpXy5FNW/zsngRPLXvPCl/XhMt
O/fiOBqer8/c7LiE1LibwrURpG98h8aWIxMqLtk6NFlS0H7NfdjGRVlle8mbf9t2U5eYuUGwgiVN
QKRgIUnkii8OHCW+8x0QBulnvXnffHsOPrXdVk9mW/N+YcCtDpF5LYhA4/C0qKK/6avBubTlUqdk
Ud3URlmLePPNbked1FVBavbzQ+AO5kfuFfK9oFOSM3Wet4eghHWJQ9U2n3nZMWzoqTdSm+n2GIjZ
x7a1OkfhapbY1iu9n4RRQJuXgpAYCOq5PgmvHG/GeqrPntFXl4rx6G2u1XqqpOPdGGWZj3GQRb6R
9LAMZ4dXjbdwFu6+6UePcb0Xziv7E85kg0smM4NTWXa7OdtIUvMfLI9noBujRy37H3RQwfZnBFOM
+aGwbGRNSOlnBg4SLk9zNs9tvE4SBKAP+hBReOutN8StcYxkC7d/rJ2i2jCC4RAtFYxOppcn9Ht2
Sm0BTHDAXt+l/hx47B5dto9mw0xc1ukDMv0AUaofZI+96oqDybuyeuuSDnwHDnU259RAwPVOaa6M
7GDwOiRED1bakuc5xWGgfoRz/7oskXVvmNplDuhuGkfdDkaAdLFu5hQVcfVAaHdwa7jBY0+xZRt2
D6vGuzU72yyPvRBLfhiVDG51gKgV/d8kv+fd8FF30Elxpor51JbV5CaOvQ5BbAxjeSNo+2vIUOdI
bcJtPAza/aRSclWgRKG+zb0u0vHatP6FCdnadaR4cW84docUaZnF2Rp6AVNMGZw/RrpOnKEbfiI8
BPPcAj/nE9WmTmQ3PiiTUdu22aUYRuTyXgzt2sWbbDZOv+zvVaiaqIISCjTZRDc+G5MYUELx756z
nKiv0giay4Ya4UhE6ol++iAWuSlvlT1QomEt9pPjbtfRYwtpbIVBAVMkbew8A1RwvdbDdKszgmIk
WsWLPWTXWo/FivaOYkPku7VZgCrzfAKU2VGnzYImzd2SSxM12iI/LSHLdKIbMK58H2mX6InHXVAj
OQcp1KWXtnqki4btXjqm/gqanviKhjmEhblGnOvnYZFUXOIn1ivxC4FXsd9CCkL4KfKR/nWvuNVt
oW82/6qlRVa2wDMR4XAmIfLeC8kX2M1tPj40kWN/5OxgSCmlQNpqoMhJsiq/cSxO7Koelzs7yF/c
q8y6nwAW5/zBIoAp6QwbNebW04zAQg/c4fL2VorU6pGn2/k+24eNnr/3KDP6S+OAtDVBc7Y5a1lt
yg/HMoqjasZ3v63uLT0/LZn1m2MkUbyVjKXs4ca3ZUS/3K79NatXpcKc3oDA+CNr9jZnVrPzm1Al
dkUnQteHqdnTje52rGHy1WtyRO8qa5GCvds9EYFOYx2yUbjkxzn3Sge0KipqXwgbn+reOJbKe5mQ
KqU5pRoP4Ez3Zaf3JdhqZT45mxVceq/+1Jx/VoOpkgHRFRfZGeLBMADTJ/Tju23lg0RoNOwJzD2E
hhFbAXgd2Q77ws7sjwzdGqIq109I3Q2eSzxa5L8m6AefVvD5WIfhHXInJB9R+9W49jckR0PChC1T
9M2J61Xrtain//J4VgZO5RRpzp1ZL9OuENkubB00F+p747vzAe3H8Lgg9kPKoy+itl+7zfmaZv/H
XD1PWZCYWb8rt8WhE+a1b2AgpM7AnOa2SfKazGbL+7FFV+dAGTwrM7pd6SWKDQCAcV0SUERU4aYF
mFJNKORU2oONeXl/v4DyQSkf9TDs+FVxLjes2uuunc09e/OLXgPu9dZdkkxU5wjhGkpvTeqt6z4G
oiNyviPSTcq7LCL4nAX6ojbnUFKVm6A3NXfl2vwqpgXh0hw8Eu1SHWvmtAt4w7EP8/K2thjyKGLd
O0aX3aNora6myF8Ojqrj1vfdPQDxo2bqj/2FXTlT3nff887rALgtyiDazabFloyWzB/cN9mjoq2H
l8Yv9uxFIp3D9pcqKzrdr0GT3EyVeYdS3XgmcKc7qSjz24PjG+8gBzcSH3ZsheolRBG3BVofzWV6
QLz4c8C3lGyZYkTr299TTtavNn+jjXwNhUTJ76C2d91qiakaKQ9jWNR7EJVnVYKaX6U8uTnUZ+Dn
7dbAxIg/NJ9o+WmHBN+vTMXkXPpVf+BlOBEXxjsHGkYPW/8EGm/EU2vStV5SGqFdN5no/7wlCqk6
eWub9O4kghjivL/tpe+kEV47aP6D6WRmalqCdy5L+gVqmffZA8vRb6tHE3y3RJdabvatgTM0ro1Q
PWhpGYim2GKLaN2vW+/u2AzWWMu55jfcQu7c7TKI5gGlbrjTuf0U2IJqyqqyPyQy46OpMNg7pE6W
SCfp8vbJPogX3IEx3Rxjouef4UhcM2FO0/d1W+p3LnJ90/fFJyba8p2mnvBbNmVH1FvErxs+64m4
0iNVjspCnNmKMlFnyAXDMrFkk6PlcvhOhNN68aOapl5qtalgvmSyO8ht2KHu+KHRn/8E9jCApCDG
cJ7ezp4VK61+2ZzLoqnfCniYHnqIwl4CzkFxONEyqsV6c1cU0ru1fb6ng7Z2k1v/RCW871Z+a8a8
OFDZvnHqZzHO/qlBa+9aANXXJk5lGHxINjM1e1zm/Bd759Ect9Jm6f8ye3wBb7YFlC8WvZE2CIoS
4b1JIH99P7jzTYxY0pBx97PpiI5W3yRQiTTve85zHhNFmeBf9R316P497ZoXmXnxyXPSYI6wqhSA
+XpOGCv43elWT5CRmOmhbMjM0yyq2izRMTdcJGLjd6tB8zWGnViF6PCkMN5GJzkqKbD21NmlwGO9
jHNV1lFS6XaxKFZWFjanRImas1A1Yti9iGaOzlLtqaEMaGnMK7L+Kl9FVUe5iIekdlXVp2aQe4xu
OafWwdpp3qk0rWJn1nl2yEJFidCbWBj5sgfYyM+KMb3TxeJx5bWtlxVL+3JCiF88CkzDkE+BUbQc
9YV6DwXpcWoVFG1lvDcbuZ+n8BiW2pXV4temibWi63dMTHFgY+yoAWupuvQ1Nz1yZ8xoXEUcuhtp
ZlBxVL1jriGb1KX13EkUkpEQ7srFk3GgHfKgeIU/DnVHaHPzLaS7HYxOaF5lPMmmQoxPJosNeBfW
gWo8Vem3DgRAR7NDYerHmkw5pSTWrz6yv7c9XmnH3FWFodHAKin4mob3WFlGcbBqPlg9OhujxJ6V
vFZq+02daCuQhbAeutkX0bkZQQ73DdIimccEuUauG3jcMCG3rnRjUFYhxzOODZG2rhjW6rTbsQFh
UfAe0oRQqgjNDpjiRlWPfWSSVYZ0j/MypYasAq8WK+bKLNW1pW2E3fgYmndeAc62qyvVj1UEqlz7
z8VUaLD8NDpdyXSY8DZuY8JiHp2M+rKQWhzgBuiuYU2+Aflga1C2S4tzVFDjwxCK8bhoZQC157uV
VrdpehKkuxJro5LjbnKByauHhrdwkhlpalKzHzRSlLM5ZcuTahtkWk877ali3lmj+m6rb+nYih89
/cON5WQMfqPairPqqtDDr+7etoDhkEtdpzV1IFEXT5ke4qjyJCfu8V7hrLFDW8SCM7y2zK8UjY94
MijIpo1Lkbq3b1U92snewaBZbamp0tSITTrkbO3IaagI3qk2oZseHytM2UcseNUqEca7TaRFxxOv
0EpmQRlHL3qbQkZ26Szq0a0saDZOk3ZoInkXcgQhPpq+My2SqHiPINJR0cZkAXtzaw0cW9lqrhsW
eacutxDngmZAWo4hzS/T8BiJ4mg0BddPaQ8EQha7tDT2xCx1K0wF+RsbSuSPngnwT+kQqFJd76qq
DTy9oT5DG08Ni/KaTysLhkrecRfybZumXFhJM+hbswqqPEcX6ogHKsCUu4Z6F8Y0g7WfHPx3RawQ
VMLdPnXyn1EnrvAsPJseptbZ8PwxvqEj5I/M5ExjQa46I4jm5lRyKCyeczHsNbJ+qRVRU7OH5Al0
4MaQMwlNvRbeuVn9Joz8rhN8Zaqt7k27p/iYHD0UUKkWvWQOHfxaq9+LCjnCrETbni3E19RkaZXN
FP2taF7pY3JVxNqPIbOrK31ow5XWmUeciANBAGgZRvS0pZi/24i9nhPZj1uhUPxzKAqBQnV2/ax8
m8jzK+OGEp0lAnQg6IxTSf81O5jFzzwNz305+t4csztODzExfa4q7iutWsPufKfWST9TDfmwwvkR
MG/yfRjLm5nLqmgpUNcjAmaF65DbHN2+P+r1cFPKb5Eq/dot0A5oK8BDt5TttkZMlF8ICA5lDMQK
HzXedtIo3iFXY3UmAdDIxT7vWZOMuQuKMTmjjwOaPPK/uP25q9maq2qFXOGa9sC+TrXNVBlvSsO6
H7X9VTmqp5Y13mvQl3e3o95xzkTSUUbDtVE2cBefCiycEY0/z7wvSdTqZ/WArpqjgClCnz2bG6C6
UGuznau8KE1BX1kbj50jUP/MW82YOCl1p7QKN+yygTsO3R5Zpa+MO9UtOEQy98iU6uf4bcag3Fdw
Zyso47w+EOErfI4PHbV80pLy7WBaGxPzDz3EO71rnuO58Xtk3DHMrtGKm4ANMn43IlbZyCCR3c72
3PFXbQExAZnkKgKs2trzVaclfFm6WDVZ9Kwq4yHTKK0Utxw3iWukSzylubIq0lerLUH6Kw990a3V
EdQyHixFcm/AHd+1Gm0D/Ti05r62ZR9IxaCKW/SU2a1NobdFUHVq7FtjAuoNJcBERkYnt1rYHcih
8ENpA7IuXq3cfB6d+ZqaG65davt2eRzbZgdhcCWtJr5VujJU6P/M09pRZ+r0aT3/Almq0ys330GJ
+DkJ4LlV36ledi+tAy4MrDEEwpTjWdA0YWFHHImNfj0RfbFOkf9PBs5+tY25nSvco11m9sz+uC4b
ONt5Ix87jqcskDEFV8opZmQerLkEFYj3Q2ryrePglLTZvZfLe7cTu2SAw20V3lUq3ebUqEN6RpIk
r6txOk665KgT/vxNVfcXle8lsn0RqkEDWuqkJHmpqJo/CtVqb7ECl0wNLMTW9ZyFdrM1yyH7WTpt
/txMgkJqUs7OaRrrkRNgPPf6WuS0er8yz330qqHmW5R3RJehScVVSeDsx78kSThoF71WrpDvda8e
1Gjcg9QEsckUZXaHxVb5SdnefciHqrt3e0NsaFx2faCApfr1z2v5/7rL/2Wjevx/y+LX0Vz3HzTx
/PP/ii7t/yyORk2FHkWyAgr3/yO61M3/2Ije4RmTe2yQ3cUv918gnaGhxwSL5i74ep1/9X818br2
H7SYoA6olsOmglf4bySXyzT9TUWum/w3UKkDBSEJGrnLhVrd5VyitaZNd5xOGJqt3UIpW7plaYPB
O+82TfLw24v5y5dzoY//3yNCM4G/tyBeLkNQ6yJ241Y6y2HJPRocdYow8T8f4oITjbF2eSooSxZp
JaDx9cXw+ps23tbZV0McWz6H8P3SrtED+z08JLtkdT2tfvGkyCne2tWh9r39F2MvRI2LN+qiruU3
s3BZ8wN9HHvmepXDL4v8sH2LyWDmEBjbtLqpxkWREpjqudArBGLv/3ZckGnMMosOM5fxP73dwzDH
mcq4CJwCtLLEhmrnKnKPtrG2cLJOaX2r59bWtb9/PvIyRT48sGsu3AgH57DDz3n5snuX2s086xl3
fKQu08imZTg1UovxoTKIRHa00PriB/5j1jKkByCUV4z1gdbmx3ecoNQvooEhcar96KZpPDjpYj9b
kNqqQ/fW9O66Rev2+ZP+ZViPMRc3CtVYTb8YVp3GxoGMi85BEku/Epr+IwuHbh1O2V5kIjC8g8n5
5e3zUf/4YECbQPEyDdNaCIaXpv1Gw0aYzVGK2MrsDFotff48524xbT4fZyF8XPyOTCCM8ECC2FWM
i6WAnDq77ZqSowES5KbiqMZNo1LLo5i/iuRdtqSPQ5EFa5DYDLgbKs3llLGj0XAgyqG3pvGRyPOE
kpEgzM+f58/3tgwCfAaYIKTDRbb++yJQyzyvNIXYlKRNqLcSCNaJaVx/Pshfn8Sywf3aZBfRQPk4
CJfUtB1GA5FWzBFTGad6Ncn61SCELvj3I9ENZSehaGbSEvo4UpR6qc43zjSIVZ912++r3Ofj++KB
/vbWTAskJ/EPzINl4/n9rREu55p6jcc30uMH3OD3uNG/GOISgqqTsgocCEczmyIEncuXpggNTdTE
LzN2WutnoaHfcOCudmNb3SNXD6JSINKetYHATMXLdi0+WV+n0XGnt6OmU6Cz+vVE0fuLP+wvP6Zu
m0wYHWEh5b6L77tQNPQ/kZv6ktPnkrbUobQw2y8Zl8v2czH92fmAHSxmOPapi3F67lh9l/T0oSbx
o/UcpPs9jVEawCTKWMpaV6tfnlPZ36wiamjs20iOdXicB9RG2amJmmRnppO1RxLvD85gvPcEZaE3
NuJAqoP68/OJt0ysy78W1RSFBR2mNZ/rxxlhO5GZ0wrnrcz3+fTTCc+5r9/OxuPnw1zSQZZZASgV
2pG5kMP4nj6Oo3ly9LKJfrM12oehJrpeUGk4u4hqFb9sOxpNbQdXYzXrk7C50LS7IdOHdatE0XZW
sspeq0Tcfv5X/bnkc2ZzQOJyGgNIfbnkFzViyhkzto95kCCQOSKPeXzN+t1g7ftCKLuyoRr9+Zh/
mYa4IQGlQLZiO/1jdVQKbGMp0q7GdNYV3mRa7uUhrPp/lQPBKYkXbnL+pCsHcOSPFWVK6k6q6Clo
0JcOpOsiFJuicr/KBrhcUYh1W6DK+rJzatxQLuZPqik6ebPMnxrEzrUXG2EwCL374mEud6/LUZa/
4rcjn+SGbhT4RygxNnoQGxEW8kraR300mnVetMMXE+PyR7ocb/m//zZerKLHHkeeymqvTO0omydq
SP9uHvwzhME3hyvLBSR88UHYlTrgL2cILz/ZpQTckaxoqX+xTf6DGf/9+2YYExwQnx2eWIv95eOT
6FmGs5KgTt/CT3/qDMXeAm+avo1OPJ5Vte1eu65TN8kiPSimG+r8CUqzQXZf/CGX68w/fwdsbmf5
3EgmuXhcwCFa2dGA8VHabMfSohMXDix/qrXudXVcp171xZz5Z8/849E5iLAYAz1TL/dU1xKGpZYj
cbbOMG3Nughvi2HiTm8bFBqgl92DBcTGlYVYaY0xsA1Fp64U32RaVPtqepZlszOcW5zAzUPfhOd/
PQFM8x9OE9czsGwXc8ySJncjU/DnhaJ7U1wj21Rex1YYgjv+4u3/ZT5/GGv5vn6bz41rVJaesvqi
J/Vn1cAH422mpPrikS63vn9+5N8e6eIUo9qFiIXk5C7Q5p3QfRwy4KrCNq9nL7mb9RgnczW8Om2V
B5+/zL8sQyaHDm7OnNU4u1+MLJOstxSD+rBlKwOMMzs7tjrywM9H+fNrYvfSQWxxGVoe07l4j+zB
ah8lSFQzVBKrpMDaxrWPLpWKTBh1LoF6Fe5zLywP4xBvqXF9sTBdVKYQwzqknlOgxqiJugTU18df
MiITepKYI/0pin46vXnOjfxerZAGDUV8rbX9gzroQZcgrG/D/eeP/8csuhj7YsYSU+mpGU10vzXe
BBw3XcEC4v430uBDosHvFvtLXtQfj3jxkrVagKShjOA3AlOBM+xIgXrtKbGsbL0+2EVEiXveI3Ld
Y9GCgleW8ClQTnz+sH8sWMvDLjm7FlvpkuPw8UUT5NMBoOKn7rP0ponHA83TNcX8eyPHBQBH+YtP
9G/jLesAnGo+I/uSDA4GbM6MyWr9GEkbJ7LtNCH0Yk7ZZIaO1Rej/fUlgxbg6Yhq0blIfXy8WKGM
30WL/1V4u7hODjR2bzsvOZRmc6ul3lVt0wzWpHOqkxCf4uzqq7n9ao2+PIAts9kxQXzqS1IZpIOP
f0WWOALQJJY6GZfm8NB3+qJIVDqHmMrGbJ9KYxD1fU5IDpLxfKytu89/5MsZ7YDNhkCxpHSYHqel
i/F7XEPokHgLZXGNat5DmGbTkPp8kGW+/r4PLYPwkyL7ZMVYShofH3I0i5Irx3LJSfZFlgSWuvZG
Aylf+sXR8m8DLaQ3flHUfoTHfByoznWz0JctxJyadYTILyXe4ZwNZXOXhOkXi8FfBrNYavn1NI1L
4+WBPp0UU3dzHGPmqG6ogfmOsekq8k0N44v398eqywvEN8sGRgnTZNm7eIGqgwOC4ljrjy8eVipy
wB7pCdcgoMr2mE8Jrp69rVVfvM0/thSKJIQysZlQ6uODuzjZlt2kyL7nXpJJQZ2/wpxtx98/nxp/
+egdDieWRZWfuXE5/6oUH5A+8WT1lH+zrAGFSXzj9t6drRIkF34VgPnXR/ptOP3jBBE4aWUcpa2f
KviHZQZtahzuP3+ky3mx1JZ+f6SL1za5ZkwhSjIvnMFa2aIlAdZBKMJKzX7xxW90ORgzw0WVRYGS
IhC78sWpMoEJG6khZQa4axjgu0Z9nkLg9kS1VkFYpcoXk/7yBS7jeUspfWkQLWX6jy8wNhDl5DOf
spfR2HSJ9FwNprb+/A3+fRAbXtYCByaf5uMgFuFy+Lsxzjgauowem3NAr/YrNOZfXp2nOhwkuIna
y7n84ygDv1EnDF5d6V4X410pfprxXZs/ff4sl6xwnTfGMJ4Jz16ljXW5raloyrM6nUjUyw2cpdkT
IrnX3AFoaOcHkidvODJuDBXaYT6EK6d1d1lqn3QHvKJwH3WicCCWEfvnVd6Ng2n2iz+PawDP+fvq
DP2C7Z3wBiYuFf3LPzAk/CbOkR6sWhuDy9TNuhZYiNDa90GS5kC7XHGVAGgpmi+vD6v7irIW5g57
sIxVLcOauFKw/ZZNokJaX7tROMTPceRa+ZkkoNI51DNmXvSdsyXvdfR8Z8C+yssM9vZoSFVm37uu
QdBi92Z1LSoKIqukDpGFzMAyGL5zh13WNi2em7mof+Fg0K9DdWyzR0+TiHQUbZAnMXl3Tpq6685R
nEfYl8Wt0GPhnhJSftydPUKPWcVF7sS7TnTVbatWhq9pnR2ubDlOT6rQR+470p2vyTYs9pNtWGu1
0cP3hFP7S5RH9ZVeac45Rf0P6aKvd2aWvVtWJ819l0341utRQ+IcgV9rgqkC4YvgQ83IWCXPfDvr
lLn8kmJBsw1LgypP62WvOd6YTeJp+qGk6SPQZKsxnZUuHl/U2sPX0oXlKdRRLa+wOMj2MPaJcZP1
6SbX+/hIWHoIACQbydE1ye5tWqyWBMu1O2vW1JOqleatN6Gam1N5jzukPzdJ2e+FjDsdx6+76YZ4
g5y0DPda55F8rFdoe9DO9zulCivxo7NyxI39UInNOJg98QiJc92OPebZMKuHdWEVzGl+0kCbFYnQ
PSz1R6uf0MSZMiFPYQJ8VexHt5RHLavVVQYglxeHfb2C1LNSWnQsBn38xZN8oJve48bAje2qzbao
M+eF3IruvVV7Yz2P7RVpHjooAeAd6tzcFFMNVXox8YEcfHftgvIBENJshUFAASlbbIlzPuiqQJyV
m/ZPpO5x6ttltMoWe4ySCBtig4MkDWifcW4KPbvRHEW95ffqrxfGoXblwW6zVClXKj8aDOco5z2b
gIUJvyQy0yvfjRHbmJq6N9VStK4WiBwpOqQpm1BNG9V8zjr5wzES+1tKItJJ60RNCsnyByZZjeHG
rvdJ5UgNc7+yJz7rvTZMTKmZiBtCvZN1HSFYxPSj5NljOkVY4+pq746AggEO3IXxL28mWgl166y8
TFZ1PVf8xuxsGmEkxoM02go12VwfnLoYff6RsiucWZBFxW1CkaF7rPmnVlgP+nXiIRFB6zv7coir
dTmp2ibVxmvQOrrf2UAkREF9MhccOZq1zNUHLHJjt+Kzi9AwLzV1JIONMSXfy46bUWcRkzuFzRtE
gnRNElx9RWSAPHAvy65zvrCfYoJT5Rt2bB7C9ruE1k/VXyOOD+mR9+JM4CbC4jrv5WNhvdThWgwa
+FamR3mru/FUrV0B+KrMk2FHzLSOCp8Mp3uh0A1eobrV7wf13ZR6HqjuEAAhJR89xoiqv0YK02zi
RLVyUN4G/PT9Q0Yh8dilXY7M20wCrUntNQ24OMO8YPvNiJZtUJrNoNj6W5co9gbKuLcvIlYFYFzF
Ss20qxZJECyc1RwLoDie9csZk2OXWwd0a6Bx6rXsOz6gzISqg7J6Peb4AlaqLkff0CpIFX31FI15
Hdi6hqwD8b8m0hYnRIcHPnf5/xdya8bxDl/ZupTeHs0gIHjvuzXgOkrzoOeEkctkM5qlP6bD84SW
TyXsMsYZgKuv/0nwWQd0Wd11mr3uzXptT8OuHnapMa0w8qyEKlYdhEF2gtVYVaLf4bo1nhuhTUFZ
di+sY4Fn5+p4UOfoQCWtpYQl3wGXQz2oMY/nzhP0h/GMEWfCkwaEppHZVG80GgU/NBW+0YgFlvTk
5mC2prxSM8NuNknKyYLzBFUZ3B7dW5c2b25k3UqCdXcYsyKYY2HRXNfg59ejkmrtGvrlvRHxS3eW
GV+nA7G/mKSk3KBKQ3CdkaEeuEadr6Ckqje6BobEnM3sB/adcD/O4U+w9umqiEb7SS2jfCexJJtl
eOpj5am0zJe0GpGMpTPwSfcGSjsCoc7YRbNsbqxsbO4axVnYtBPLK1ShxI+aqWE+RYOn7a1Ga4tD
O0/mbeHR5NCmEDlQ7DXmanbYH2QePvdlpfuhO6TQhUsQxYeQqsmWhHbSvvi8Q6kM72ZR439J52SO
H8q+nG8MNZu2ilIoJ7SNob2VXeEcgYbGSjC7JCxCLDavsEAc+ORIKXIximHD9uuOZlqMzFIgxEdj
pKExmp7VEWnsgW6luR6gS7x5zgzqCXIKbiDLukHNU1MOLDJAFvU5MUgwWKRvyjQFFCMCN4NgCggz
b+t1X5Zc7grTH+fYR+U77YAi41/z2tCihbG4MEiJUZ/THFbPQc2Bw911kWH8ajV8onYthjUX5LXa
2leGGl9Rf912YbeWjvCJYgBPnIznpKMtAdvPT/O42ue52Xa+oKir4wVq7kh3Gg553ApchkZS8N24
6YsbxTOpdPE0ayvTarDQFBBS25ksCD5oPlGc5nq7b619GhntE94p62A5AGkGtQRg6+J5945TZEm/
ofy5YjKrqd93oN5KopQgvpr2Ko4l4u5IPiC+q3jAuukfZSuwxBYto/mda5drHKFyh3AYg5fQQL4Y
5VtXSYLFKq1+YaV6pZG2kKp7swu8yZtvIx2nqLSL5pwr/+SbhOqULJJH46wYOU4/LZpmVIYeFlZM
rpmOiBZgH6SfEMzJpFT4z2YVd4mRPipZS8xEMabTLvcGx6+oUkJNVK022emNMxCIFXnRGeqM+71p
a7GdPEt6bCnWFAXozsF1CTjCQzAmXmP5uVU9eyUJV6n90jmgiIx8iRYgwurU68reqpv7CSf798Sx
+m1uIiiubUhrvL2FypcIcS7sYr6BmoCFRfWejbRvrmpH2QE0FHEwxVaxdWrQEPyr6FqbyLbwHVZq
BbbiCrAteAu9kvVGxbTdWSmt1EYge54bL73qCddYpVEUvUR6xQEF8SNraNGg0S5jcFiW/GbO87mc
iI3ZgdPZxW7tk86Q5KiDxuqmF25/CrMpfcOWDdyr5AxOPXq6xUG6dUZMTFbf3FVxlMAEybqgj81s
VwxxfCpdse9j1cBDAEpZyuJbmw57UeaE6zXZbRG6D2Vddtde6DwXSoLqszTA99QdbYfJQk1D50Mx
Ye++RPIfLX03Ztua/cFnTQvPXWY6O1OO14AO7t3MAgOG452VGooWDC27uDM0zrgrKO5YyTgDIynN
zbuUXLuVYivqwZyr9uiCSX8BYn4X5dqtEU7PymxsgSr30S7PWXJyuAp4XQBYlpCsMhxE4zpsDaNA
/qylN0bCZtOH+1aa403SV6A7UktB35yBsPwh4rJ57kO3vas5+F43HVwe0cn6AQ/IcVbGApKUqO+S
xBsDve+3RtY7QVXV2buMVYS47fRS105BEC7QSxwh5lNspRPFIv3VGZJfRSGnU4wPrl57iRUeWme4
SlJdbLWJh6hKnSJMljwZBvrWNiMsTExKhqcUf8og8mNkVdZ1lKf6lqQ60GEjx/FuTs6Rqp76Vl97
aOQDj3vnfSPRuhIQM+EaqZ0grZJXG1CyPdbOe+vYVCL7OrouBvdgJ9m6dm1kto5vI5Qxh0rZ9inn
gbwxqpPQjBIIhzeSBB13O1sjtyx2XeTiikOQm2AZCMD7L98jkAr7ZkbMO2Z6c+Xk6NblnDWErkxF
v/UyCiSiztm4dXQl49GwRkTaUxtu7cnWfSLi34FO0U1S57bpVvBCC2BJPSEqDpeStyEiYkFYAtoK
aOTvRJoAHU6iH7Y+jashhNJRxd2d51Xfy2aO16MK6fnUtO0CG4fgwwcQZ3sAY8NVU3PIivt+uvba
EmG2VU/VJvXsCcW5irM5yVQQxcTSsfSH8biuNXuDM7ndmQnrqTO1beNPMizfdfDt+3aqcVWnTYoF
MnJixLMGq2oBum/tNAAB9Qwj5yT7dK0l3Y9y5q7ehwke9MX/KThRzUnDIp7FY73J28Hc4bhcLAIZ
d70qm55K08tWZqWcoyl7r1Cr36ZAX1DFC+Krk4RtctezjOKQGwTnUK2nxgv8sIG2w4dTvkrhec2B
a3MYHUdwZOVpKnUcWRzsjbLYZVbi3Xnhov/ijhlNwaC5I0CBsC+ynSeGlqwdrHmNs/LYM8ldK3qH
Vns4eeAJyZ4BaIbW2r5rKQ0bWK0xwgbJrHp7Pvs5Pk5OCScBOGkZAgYo0QFTSHUBpqa9EsREA4Pj
mI35OWmp1PiRJfgDYCZ1eJdod9c9tousx4+/imxsaM96hYB9C/ZANFst1tJ2ZQxO/drYISJuVMug
HkxLzR9JmyKYRZAs8EjzMDO2GIC9X5GejX0wmk59GlMjvnG6vL/3gF59G3QrLNeRnGOIUOkoDvxL
TfkuIjcqtmncuk9xIcfZn6t8Mn4kSe3dcO2oWJXr1DCuOZA44olc2HIdRomH7DpRZvdpVKIyvCY/
poP6U09OckrR/EbnyphVK2B5qlmSQH2zJfUncEjabmrFnSgruVfKxuJZ2l8t6HQ/tsoepyXwFKRL
vdUaB9JwGu+5KsdhONLrykt4YgZwMRAFWzxtQ7+bZAI7WeEepddWlK3ZvEOb2eidZ7MXVwh8XoWW
HktFw8tTNnoH0o8kaGDoY/Ym2qh9TDQRn+oWDldE25dlcDBxN1fA5R+T0bDECLAfS9R9krSHxK64
iKesKlgU7JBylNiw8dVjfK5ilKrmryRq7vG8GOGBWo4OP2nxI/MfCVDPJ4KcWPXWyrgWT5GaYwJq
Ca7dxRh7LD9KBBc2pdOCMNYB+1mDCi0ucU9LHHezKXsNmpchiaMZu3OehEcD4FGtzkcD44nzfZae
L4GLbUJjrs5R0hr5bdvq0FnSwheYM2GQWOc+tipMDUQ2yhsGrF6ErtUbMcL+SDnuRxIMjnYlw2cA
hrhDKc4fIQCEQZxalHjTttnEqfmDgofii3Em+6FsAVR2ySlu1P4KGoViu5AHeEu2wPhOaGHiK1MP
0zhRt+Mk1V8gkvRhRfoS/lwKmO1Dzl3AyvjwZrrdY3ukQGfckcbYPAm9eayPVATbkwPtnd2y5r/e
pn7KfVvpzZNu9HWu+hXJllGhrjNdO9tNGpUs57YHzwELv7bJ4UVdJzYeMj0ZSO1rueYMHPZi5YeO
q9kuJ4Ioegk94gfShmGVlrU/k8LUa7C+RiJM5AwEIxlxDAlOh7whx8CVVqN/WOydgKEwORcKPfuE
+IcsShrKlHZ8O6sFqcZmW8X9VWEph1jXv3tyxuke5bhDdQW8YiQMTO5MSC43Tmm/lplC0aWsKMq0
NPvKk5vBudsoEyQNSJBJMHp6hRKSnLlzBLGOgo4RoiaEicWr11gMhsYxH/p5OhI2ELtQYepvU6bu
HWzqHOHMYRLrKmLGn5VZm1fNED80KFjrtXDMX51pbCnnPvcNt7BdUfSxQ8kqtgOSULKzVpbGqmRv
Xmd8Jw+cSaO73gNSgxc7WsOktva6RglKCtW4dueuazc5/kniA5oCc5BpVyZWma7xE80NRdA5OEmi
HiBsWds/Bk0NT2nmOlRAElB27Mw+7kSw7iTNsN6Vm9jB/LEfLOUqyzptU8XtQVTjeYTHTeXNOwxK
XZ8H1cQmr0KBG9xuQX7JcQGGKJYWISAVBl2YQrGyE4VgfCp9BGG2lqV1VTfAp2KODa9auITgzJy0
D05Z6NQTMuS8FBMmhXyCfLoecTzfSBcuyTA61Xuex3l6W1Jdv/dCms6+1kloBGquPFdZGp8mxVFh
upWQMFeEIYR7zE4tDrlWH3AaOUCv5GG0OhU8V0FJNAxhOHJaiJll2PuDbOSAu8moXuDXk1n5EGee
2MvYjp+r2EjLU0farEIkbN7oa5IMMnE9E1yUbqU+OzNe0uiB49OsrD0F9PfKnCbzXc3mQqw7LPXB
SGgsYJqo3ntkoryFpi1gyMnwZw4XWNmOrlLcSgrgHExhF0BrzBpuDx25Gyw1BYp8iR4ujvIF+hK9
ZaJXj56WRrsQ7z+kx6yvsEWR+GPs6Yxo69nV6F9t0s6ZmnJD8bourLu6d+Jw4tBE8I1oFp8dt9Fv
IjFMbl6KSdgNN6jOYY0HshqhZAQzGEr+E4hCSMIdttIOkczENZF6O4tQ6hvOUOZC/LkxOlnuMpp8
x1ntrGtsnAPhEIYSsIeK9ACzPH9IR2YWdQmCx/1CHV2T+1mRWmu9Ie0K2Hquwt+FF97qslFehUAB
qIBlIyVvnAS8ihUrwLz7vNL/l3bHP6pMG3Eq2k/not+t6aaMgSi1fgf7LKH8NbOG295DOH3RUl5a
QL/3E5jnCB1dm9aNSsj3ZSizPjU9GH76X7QVehA/Ou5bLX3OYvuZS6sI6HT3iCDBa37+gH/pGtGX
woxCWwqYnXXZmsJtEik5ramxKPItpMfsDAKj/kIBc9mwXJ7OQk1I49ex+B8XrzHqlT6Oc15jDI7C
KDU/KgA0SsfdlIU97vsR9+Xnz/WXH45+NsJUeqQOWsOLFn2MPQ6T6tBwR8TKCwFqCkB9lvsWmc6S
V+V9MVGW7trH389UQZc70M5NRMzWxRNqJA9Ues2NAy7K1otmP3fdc9riPBzmnZj7zRy3P/osf/m3
jwntDtXw4negcW5dNP0SvtAmc1r653Wx5dcNph57X2ffhb37RX/xzzfKUKaFy4HGqYf3gDfwmxhs
woenj8ttoqB0A6pcRXCitRyFv5grf34J6CqQhjIZvQULddFhLClJe12NHMFo0oBWSgDihB6QXIv2
f5g7k+W4kXRLv0rZXTfS4Jh90XcRM2dSosYNTKIojI55fvr+wKxbIpGKiM7sTVstykqVKQQAhw//
f853ws1ISgCr2JnB8heZscvHbVovoh0b7c7SuOf1jllpLl8fhB1zNQ5i34QimbcptLP0D7VIvtTg
CAJqj6XOnjLhZG02hJrTbzj9Qv9y92TjuojNUcAb6KqXT7nTRD0mc2vfjrhb8yHvMbYD2DIrtlLp
Abjs6ev9ZdzO17Np5OIjISPNXIxbm1o0AX8Glb1tet9cAZXYIPf71OxPX+YvEwCXmRvgs8BdmtJd
fI6ZwybfYW2H9KqBnrBLd41y6V1ha48sFNHaI8Hn/+2KxtvhKon+VQaF9rWT/qhSbAXYZ3WTQqHW
4Kc9KzaZn9Or7x/9oDXrPtDkMonTgp/f66uvA61S2ZC3xA3m7aVw/FuzVpuCfSRHmDw4GJPcBYDN
QhDQL/f5t9yVjzm5uepk4tD+Ob/9pp7r5T80X+cpL8YqCgB4/PfL/x0853OGxJv/sc2aqBkf2udq
fPdct2nzP5EO8z/5f/t//uv55W95HIvn//1fT3nL8Y6/LYjy7LVN0mWMHndV7ujvpt+yH/+6qOf/
qpf/5p8GS812/8ALSbaQblmk4rxMV3+mDmmO+MO0XPI2TR15szRmp+C/LZZsP/94ESYhOZAvYRgM
1P/JtbANkjJmtbrJX8mESyTm/zyE+z+HAs/vuF7x7XyKvp3AaAeT7kIOWUXwQDsFcToZ2AiFKKgL
YgLXkR2Zu6GpzK96nWgfONkMn2l2YjKIJiT41ITWo0/XlMVa7vUJpFaHhOUjyKzyzJezcEr++mWL
GT7UYp3KAbVZBKvqyrDG4joZqD3FTJg3cNP8tU4szpYoep2S8pi+B9/2AbaG2BlwgtLV6Nvd2ppS
ilk6aZ2+EZUbE93DHmbdsE05Q7x79eb//UzfaD7ffnW/fqm5+NrABYWNTJJD6wtvTR5QxXmdxnbu
JuGTnlrhlWPR6OymMJnbFTQmm7LO/8yTOf4Gj119MbWYXu3LLqzIVCgNe+e4RU9fPLC3XmkbeL4a
2NV5AUOj74tNIfruyinP2lnfrhO/7nwxkeaZGU1YA2H9oHGBJ+x0Ea33vCZ3uLbXNhDOd5EZjXLV
uNSzTj/ut7LHX9dcrBGdzHVDEwa5QFSId71qnRWJmelN7p+zFS10P/+5xNLPiLVTU9BGkkMngvBq
wmy8HZIsf1QOcKx48sNtTJl/zcZKR8ugsgPVsWbnBdMtgdcbkhqBWlrZcCMTSp4ladQ5tY210IR/
5qW/aEt/TfS/fuFigte0lOIGcZAHI5mzWeso3jpeXu9SLLgHFDnZ5XwGuQwkyB7Xd8JHx7BgjYtS
AovVAz7eACJJlbqU8IfwUu+FcQs1dgCdUowXei3n5Ae3XqlhbM7o64+8N2+xk1LIwRqycLLD5A/E
iwCg3QxD3O0JMX1/emSYb7cRv57KPMm9WvbIl0DcEff5Ie309DJ0TbwZmacd7LQYrjqFUMWoImzH
nJo35KVUF21VqstOCYjaMLseyEAlK6cK7bs8YVunhR35gVlgHVA0ouCOqaMTUJtBpgjKvWmnxN8Q
kby3QxFyvm/FNgF4XFoGBTzfN3YdkTxXVteWF0NBpkFhc8v4w4YraBHEhyZ5sWkDlgk2XjdG0IId
Dirz7vSzOPa0F/N6jFArprWZHzISf9dkZbib0Zkq4Cqjuzt9iYWc/9fjXszQJZ0UAogGHrcb17so
LXVwKCFio6y9LQL1Cbj2F6tB09hTQ1+B6BvPvOiFAPzXlRczbqH5rYvyID8kkUNuBk3dGSzIoeSj
HoQdsbkeZ3cvBh+88dwxISaoEHJfS1LWVqUz2PphakTzN/Xov37OYgouBq/Ip9zmYRfKBNqX4CuQ
dYSxYrTdVZ5Zl5kXpNsSvfPKQImF3o1cmbQGR0w/oDkzMS6kxr9+xmI2xpDE566L/EArGKQK8HIC
ejhMV4H/oSRglZKBKrejTm49FRVvO1XS23se9IHTA+LIXsJbzMzs6y0a3Rpij75z10LXvE2Qp+VV
phNeiv8u2J6+zpGxPe/QXn/mPiFIFPC8lICRQe3r0XFY7GU5Q/oeT1/h7UHhP09yKdauUikRReLr
BTsbb3zU1ZSGNMkbFO1FaQLdjI1RfDp9sWPf0fKMSSppOClgWXTPa3M3Jk7ykIJyYuFh1kmEU29Q
f4YXmlX8bFur2jhDnJ35kl7yy3+zkMzRba+fpeuO3jiWjbaPojC7rAtIcnruTV/IxDVvCiEyusmF
nOhe2dXeLwxaZLroFAAFw7G/6w07slXDgw82JojG22z0fXNT2WN7iOxe7WCSBtD6I4B+gyWL7wlI
o89WFBZ72eoh9H9DsVWjwTZQ0LJGCKlmX4x3IJHluUOfeWy2WKqEUXC0yDW97OA5+vgD6zr6wZI7
pwEzaXJXE6cBHAwcjbsitTm9SgMdqRWhyUMLlk9SAfMaZ9hyZKycC61ObmKnZ/BFjU94declNwO5
5JQfyAh/so3G/1Yqn4qiTiH2S0Kb5Euod8FGhU2+s1uH0zRLzJyOYrNWoeZxs3I1ZqFM9g7A0Xt0
brQycpqSqFc8F23AOBg3dduNt6af4iaeUgJLqPR7bO8iAW0pVb6LWC5LimHjsAPeO5kx0Yc0zRbk
J+fcVe9m7l1AQZ/AMLidV0TRpQL8k8pskrIM7dNI8tJPkszUsMXPmatroOLBF5tt21XUxoN328lM
bG1nsMx1jOdbrgqzMsi2jXuA/jJ0S2cb0tLbmUMeNHsDR/ij2dJ3587y6aeGQfqpJ6CBboXm2aSY
Z+ZD6c18OFpG1nUVU8UcMTKSBUmeU8FFx8zfBJ0yLJKj2uqzLX1EoDLk9lZ1ScTwVnlmZV+PU0Bg
Z8MfGgSqtCbxY/qEnjQbIoHezCldSu9GG38DSTU8oipK7nB/FRdlljZ7hEfkmDeVzZtPOxPYO7o9
YIVY8PvoAB400jaZISvoZgA99tTZxWdH7/C99GRr4hAkvwA0pyvp4jR2/ZxDqPrZx4W8qkq3wJxQ
1LRVacpvKfagFNKiqinXZdb4IGDtViVrUQ3eo/KAocO67NN3mcoyIJOF4eXEeCnnszaRA7Oq4GUC
4zJlUqyQA6jPvYrgxY5ThHDfKsipXBF3TTqOHELzczw63cH0kupDnMXxN5E4zpOyNAh4bZCP2Yey
0Z0naXeTtuNQCE067tBkPDiRmZVrQZeOvCAwxDMw28jfWUqpj0hxsmA9pUaiHxJoyQVaR6i2fppk
1gUCUuMi0QKt3UV9NW2VIqOdrWMeXdf2KM2VqXXg1ID4IUp0vJ4nM4R6+0AUNFsyoAnEVHvY1N63
lmbMrDsDLKUYM/j3he1slKTrAb1aXtlV3m5ic/K3gn5Ms/KIK9t4MYfTlR/E0xdCiMpyHcrJQcrm
D837srDhOtvWqMU7vS0Qs+Ds2JOpSikWi0fzEAjG9br1PQY7EpqfdpgVtENoxNN4FZT7qzwJ7JXb
TuVBk7Q2hrosYjrewnnfhEP7udK1otmCVGccMnSCjT2YbIYo8MUPdRgiSqqVI7/nfGslrZvKfe+3
RfZTM2sHcSQw6U04dvYzQl/ELKJsK2PdlW33IdZqg+B1nMjfm65+KaOa2XMeWPGHKK9TwtlgowPs
mzs3K2FaqONK8q2/lXD8blscpp/GgegIQ6vaR6fCR083LDAvGqT5iJdR/Ig17eRbr/YQvhb0O2cu
7090csU2nhUKXmgjK0Rn9NgIYNlI01T5zWU4JQjwdOhraBFoQPWhmW7S3DO/dKgRwy3o08te6eEF
GbYVMZOxKIuDR4DlrG5GvNZYqYtishXT90RWRUN8UTwSPh7E2jVZB8jUmBTUO79MB2bNpvhCF2RU
l3rh6zdRa04XdCbhT5qFm3+0YH4jrJajd00+d9JsE9rQlqf1FePcj25FyefLiywPNtJMB/VMHuHI
SCYkaKk7bUYVAWvLmjE60LKGaV8NUj5jg438LQGN+pMKUhBTnNft5CKTQ/u95ESQ7byCyXNVuCKg
+WJp6c0o8wb/hFM59LObAnUiQSsslgEdwl4rrC/g0NW3Lu2ZbVPcgYqoG+KEVk6SMJ7rrvN95nDm
zHVUSjSmAJ/tazlYfIendxhHNkwvkaavzkVlb7Z2W5BVxc3WOxsZ/AXC03GV0yU+U66Z9/y/2Uc4
i7PA0CJvLlWeH5xkrPZ9A7g/iMdzDTDj2B0sNvzRZORyco3sQEJCSl5wou/ZTlirFqDl2oLO/j61
0343GRaigV4CJfVNEB0VW0O4sOEuEbaP1Kmd0w1zGww7hh1riqOPReeKvWY0JJuldXSIbXdWccSs
sn0yXZZotG+R4f67THq8WDNvxX/3mBYnhSEmWCdqpvQQt318rU8geQlJIx7JsDr4BSNk5CCfvzZZ
X5RsQ+EclMO1KDrjzN75yBF5CXZx2capxAPPYo/gu0ld9G8GQpbhUmrTauwV2U6BGRy0lvSFeArG
M2dF48iO2lmcDWg6EwfeWtGB+NzyB0rxxt5FpK+J0O2L69ZUDtHPQUtqVFeq/kNjW/W3huMK9ch2
7PS9UySETk+yxkfhTsjuB9FTqdct1EO0y7vyIyf/2ezr2N24Heo0eNRShOF8TGkut07YOV+0Zuiu
0t7NWYMt02cCsbLuzOHryHNdtr4yq4hzJtfwELaDwa4Hhnc8FYgxUVbU9opEBptzqlEE1irDiPIj
rGMkav/o815W+6cqzxrH5PwgEZF+IX+QhBatGjZxERc3py9x5Gi3ZAZUQ+RWhG7H7NyAG8Wa2quM
5luoRT8Gc3TPPMQjX7k7//mreQqN1kzWLpIDAivrOqgHIgkV2+/eYZN5+kaOHZLdxUSVZZOjpeaQ
Hkx7CndVDzQ2jUzq3mAGXRQtrOMDYQP3GXGvjL1cXvQeHHE9MPznMz9hnrR+MwksTbluoTWyo0LF
V0bYXuGP496QWXgvkiZ6KIMGXQkF3Q+ZoMNPzd4mZU1hoyiTcg0BdiQfOVX707/lyGfpLuajrAoi
BmaTHDS2zSsPTRRiBxv5MQmWayJV460rx+6f1aSWbTeqYW4SN0F+aD2zh6ocEFdr5trWrPz83en7
OTaCFtNMM4ochSqaXaKXjF0ZJEgScXpskh6v1OlLHFvpFtUHlJTw9ilyU1UcDELC6nxOaBJn+s5H
PjRnUdhFAUUtgPzjQ1namGelfMwrJfEf9RipxqA/8xkcma5mdOjrLy3reg8slMgO4VBMxC/q/W0a
aDcBRtBrlFAU0+beOvZQtjgd6ITTj+4Fn/abke8sqg0ZdB4R1ll+UL5efky8iBtywO3XeOOs6XOE
yTdcCT0OOPT2ARLgKvWJ14TiTTfcL7XkuiFtEZU7GdI/My/PP5LZiby0dgiV3eP2IY8pezlQQw0N
6UqkzPimXeb7sVD9faGGDktahG6nrzL9wjDoVWx81wr9FSkPTbHHEMDZzNVKyQnCG6sHLI9FADe+
amygbnX3QEBk8jEbFV0nKyvz6cwLOfIhzqDV1y+E/ES6WWkSH/ycIkiaYI4o6mYiM9GrSeZO4s9l
mAZnBtmRto29mAMd0ZtF7hXRITGmZ9NsHoi/rTm+xLNTReyxi6RfrcA9B6c8NucuiX26E49x7tGi
ytrwWnht+6DnSueCHm5pIyp2xKfLXYqb1p9IaZR2QvgPq/X96WF3ZFKwF5NcInyybIc4OVg1law4
yN1tRD9xZ6g0OtOQOXaJRem1ouWC+SQLD7Ti2gs/Ikl09rFcpY6azqzyx0bIYmqbvCzBSaYFh8ZE
MBD0JQGEJZrFohLkVZcdnlthnSN7HrmfJekKtLbHyd0LDpwdCdogjeQCIYVc94Pubk+/lSMznbWY
6VDXDRN4Z7w3FJzuxVRoKy8zyVhskmnvN9250ffyF/5m0rEWc51sSnvQKrZHwoccHhejua6d3N+I
3LIIATC1m1kUelnr7Z3gw793yU7fgi0oPraZIb7lhLaxixTPGUeMVQbEnvwd/THoY5whK0fzi0Ma
4tgIg+TTFEXObmrwq3BIRjM+R5WMbZDstKrZh7miIoW0Eb227lL36JK7UdhPMSVYTrhRw+lDk7hN
AnOlu2h52pwN0OCE6iHj9W59gtS3btwnaHgRJJEySkCN4391m6jcuZxBzwy0Y5/rUv3XpEWOkoGo
B81DixzGc4792FQO4hWco2VK1yCsUAJXGqEtXZlqXwLkbSQFp/rh9Ng4MtaXPIO8c5ScTEE+qnKD
r4Y7Ze8nowTq2KKX68DqFKsqt7rn01czjmzIrMV86JadljdjgoOqcfUb16nzreln0wHdV3XRD0a4
b5za4NSI595yOwTTOBXWyugsrA7I/enuf5AhYcm1IpyntSt9Z/WDtcXIOX3FjOLNLULkYwaUZ47h
SETH/BwZ9Nijmu/p1Z5ZdrLW3KgNDoQs1VsC5bDbdNl4Oyn7U0OAOjpdChynH9TRkbGYSccxSGJV
lCiIFGdxi0iFvZ4243e3G7srpPDdZeck9VWYhuH7PlE5SKS4JlsKI9DpXzC/kd99y4t5Nk5kFGng
yw5uozmbMaq0tYoC/cwifKwTYy3m2LKuZGcEtCwCQULMZJDJnk99BWOAVVgOg3tVaIOxNdQU4zjF
FSTAFp45Yh2Zcl+a2q9eJEGoUdEVbGN0lPPInSFn6UkcQZ6B33X66R2ZcpfkF4pOsTWNhM8Rtm58
Nn1juNFr/6n2JtI6qJ2cqzct6IX/6Z8t8bnemCEncgB1JC7ij1IO44PZT+qqrxqyC3Pf2IMWIQEs
Jbd1iofoITNabRs5EVs+B9LKBgWkvQJeNBIc6JqXo20QlOM6/j981ot9qBkEOOs8lms46PGDPytz
xcwYiAAxfjz9rI+9zvnPX73OaPRQrHdtdGiQ5u8bre0IDvLsO4uMjjPb6SPbOHMxbdV9qg9gKbgE
yINLtxfocLRE7gxyJmbbibFOAtFu6RkVZ6547KYWk42mzHIqvCY68PqatQN++5IhW68tp1BndlLH
xDfmYo4xhybowPlSoXK18JESrNp3soK/XFUYcAINr36Zd++5bnlBkz08GENIwHngTbvKJS5wsESy
td2B1A484htIH+2aIkKDiX44d3w69iEtpqFWztHkkRZxfLKp5vY2KtXYHUnBosvjRlO5Pz2Ijl1n
MR+R2KHhh2T+rsRI5Bwh7FdTLjE6UE5bh2o8R6A88l6XPF9JTG5eEDFL9ZacsrTDYY8nWNtWfarO
zD1HZu6XBvSr7yGnG9gQDQpCG0wBDA1p3TRlNm5PP6hjN7DY4wmnGzJGfXaonMhZWZ5nb32DFcIb
6dr/s0ss5oykzBsiJ9EvxVlATwkYE+lB0x362/7M8nrsJuY/f/WIAok7Cb8hNxFK765IcA3JvJru
O9wQZ97CkQFlLKYMLYwmAKRSHcg9bT76vl5siyERF45eFyukoM3F6Yd1ZFfystN6dSv89GpoEzM+
oLN879TFbRDXBCHlWrrpCh+1vuWduaNjD20xXUwOC0s/coywiN1aGVk0rWK3JCFKD+WZSxwTELyo
8F7dTRMYWeMVXXwgn7FlVz/4l6ActHXcZca+J6hmXc4tG4PywjZKBJnP2CMuK+XhIne9s/vyYy9v
MRt4oU1ZIOMYHeZlAQeE6Ph6Lcif+wqaHm6LMcbVRWf4rURh0H5TdS6AyuCTIrXPMp/I7eovZWIT
w5Nw5kAal3KM8ALoXGeWh5eNxG+2Zy9a3lcPKtcim+M9ml0TIzuIJv39aLX07uNhZ1RJtW2GOaMr
qBH1Orm3rs1RYtnWW+LWW3hTqW1vkG6Nt1HKa+xTK6Pb65afWhAx+8YmerNT/rBFezltQIEH2zgA
StYm4VXV19dlB880r4mxai2APHQLr7sxcD45odftVQCauA2qK95gue8aTW6sKDBuB73eiOrcHHFk
RX5Z017dP+AQrFKCgUL/37iIBVkLlYzR3eoVh8XJ+KlNBWf3qpKb098ZEQC/3xEvocEoNcPEG8L4
gE9OR/Dc5t5VVCpy/FI2YRiKMcftbS915LrwNXUjorzD04jNs9pi1Y82HB+RpHi0jCvcrLLCYTgU
rKh9PGWrCsn4Jc23DmqBtuuqIKAalfFs11qQ9l8V7nUXxhCYzibx6gv4McAFFDXYH2HnAx8IWbXv
7ZLoTmRN5vvUFMN9Wzr2j7DMQrGp9S6tobFEzk1PG5oAxwae2To2Df9OSQ1ERqfJ/l1AaxWndOHk
7U4LnuiSkompRt+4xf0M04ljFz0IY1KXoFqLeCOnBlAMkTLDZqYf4AmnfThAIEhITMC+lx7aaaAr
CGIDipgcReJu/RpH2srTCLl1KORsBtfW3E00mPWXqtOjb16Dl3OtlZWkH0HGzchPm/xvumiHj7mu
3jVO2BMBRn+1FvKugEo7o5AI07SqEMtQNzrg+YfaxfvdZzpxZHpodStf1vTjub/oB8lh4pr0aVAE
jtn6ZNmOWbVzyjz8ZrhVTV/Tj5Hq2ZHC9GtmlvgMx8SAl5OVhKt6dbnXVUapQoAzJHyu7yux9gof
+rfG7UR9m7vQcAL6DIrZQKwzv41NKMjZ8JzrRdO9QzlZvovduKNV7hHSNYtc5FNJ1opJ3IRMDwG5
FPkmw0/SYugfFamlZlD1t43U0h9ZUdlwSTiF4vVOiDJxJyv+SLYfVGcwfsmnPgphbAy9N0DXn+Ai
NnmD3bqbguJ73I58KlOSAmaogrG7EENstuC4GnRjAbwM3MRYvVfpZDi0KenCA262tf7zKARG+kh0
3ofC8KOfGtKnaJ/VCuKRqwjAHZoshu1QZbTl4acgA7B6M0bu4Nk+ILagaa19moz9IyeODA1TG5Xx
jhOJPaEQVtawT3rc7KbZmca2iANSg+3QjW56J5oEJ7Vef+jBBc5AHqIYI0OGHwJT8A94IpuhcsWg
mxfdNBGsTEBOmm1zJVFvlbWWfY8ai2xRMoHl196VO9+j7g1DFUKUJ8cRa2kq3X2HTdKEAWD169ip
IRJFIq2v+5Qs9B1VrfLL2EXBt1qHF6Z1aTxXsSDkGU6ty8uOdlq+JruTn97TBr3sI2FAKaPS8dC6
QeEd2N7R+fJwm+EQrwpeKLO39V3GYftB82s1rPgq3MvYEMOwTrIMVKjp6sQR53b7GfR9d0XLkQBJ
w8M9TwJGIN8HUa0l6G3ph9LallX8jkpzvs9izX7CcVxsGAuaAlmiJmp9SRl9aDPf/ZG3NhA7EauB
RyKhOm8j4FqopEs6BSRAF1PArO0XN0E/RAkJ12n9ENjYp9cedQ97TQawz3TlVW27arA6zDyUyUZL
0fbJIy5txGBUb9QHJNFAXAHke98BHHHSTBxSc7EqzPocKGT23YRpmkzvpHPSTew2/h6xHAAgTfr2
tIMhZd+makg6kD9RCKwH4z9TTUFeJRClGjkZRA9tO5paQTasiWtgm09es7N0vyDbd0DuTf7TdWL2
ibcLpWp+dB1oZ3he7gQLReq0ebDhU1iwyDiaLCP1VkbMaJANhJTWhF3RWTVwHf4+sEaDHxwqv46N
yxZEj7Xl1pENFmGV/pCy69uN6kW7qyk6fpFWpTN1Jc3IEyq7zrswLfRR+OhxwUM68LqrYUoCb4U4
x77Tdc8LYH81/YUyhzhaeRB7HvjqSySEQNDitWIkj0QuE0OfQ3ys9gFV/O+23d14qvwYkARbbYTn
Ad8ytOBZ8e8zEhDzrByRRXeWcs0nPwywSnRxAYEudgz7IkBe7+7MkHkKokJEBzbTbfehGOok2uX6
XPUcUtdaQTklwyss2s5nq9PQN6izZNxIGROYPSohyhXVGf2zP/ZGemgUebGR6d4psxOPEeyNd1Oi
h/mqNAqHoRinEp0AxR/iOsvMuk7ptjHQ8XffD3pqz8CkQnxxc9nmW7tGaoSWqryrfaO5GaLxA4LF
WTYh4+wRcCeZQZRs6x/AEaEw1gi7cjTfifqaypQfl0dQEtaxb1WXVBgVxBqG7GYscpADQ+TpGlyl
pH2HIq1/F8Zy+BqQSz7uyUTUjK2T2FWzTsuoH9l7ppI0TV/TaU/lgX7IeASrDhbK9yGquscpz9Rt
YaaNhVQsIF4zy/oy2gyar3VrqEH+Qc/r0QSyA+x/rbtD2K6jqI3MfUFowBPcJvmFjUGF6x29cYHM
rvZRHHZBhSsT92221qUvgRs6oPisNqPYR0e3vaavba8Qcpl7quca4aDxddRVRbYabKN+979kx8Bg
1+CRnxGrT+h1+GmhlhWfTm+Iju3AFnvk2GeWbHVH7mOPyUpE4snqU5BdzF1wHn0Chz1Wmi5p5Zl6
xZHzxxJ0zNQ5ZOF8Qdaj4iFBCPyTc65z4abR0+lbOlaV1Od7fbWr7HWrDrFCy73bURXLTBMonAqT
nROJ+nvjuDSgmy7dFKquDsADnU2T5sP3Mxc/sr/UFydrHZUoIdLsoTrRPwa20NdjF2JmSXpzbQQ6
HLDOjrYEHJFHxax8kZa9ftWXvbctrCTbmHWq7RK9+3b65xx5vfriED5AcFJF1zt7vYcxbAB+3FVT
Vt/KKMz3CBfTta9H7S5gk3LmikcOXcuEE5bNJoGfgVFCA/xs4BMifH1gz8GEdYFqf/iH42hxMhdY
q03D6N293VgwxlIjvWFv2W0KI0oeTj+8Y0PVfDuOAFYWSVW43n6aRqov0oHgOiJxJWj3zEn52BUW
h/E6VsLUaB7tHU/70MSmeR+nxL469qifKSwcex2LylupMkJ4bIsGQATZpPdqdZUPJAHiCs33ovWG
M0fZIwUMfTGPQMyz6iIctH2QhJ85xF5ookdrrMIfUM3Gi8Rp3DOqmJc+5F8PzYZcCEqcKq10RPnh
wW9xbJZ5Gty7suru6DQ5K2CzzsF0WtSpdZzd4EEz13kFMtsIw2EDJ6n9KFP5U/UVexYC2647fxAf
Y9WT6dkTbWlwMtp6AeoFIGrjJmgbtUUTDQorjZx7s4HqGrn0Wh3q0ijWMvei12IYbaOlthpdyF0p
CLET0kjvgECRCg3W8cZ3HXqo7dhfd1oxbENXVxcqTWgPp7AbWUKnbdbHiogToTZui1SCk2iDnrA+
FwZwpBNlLBkJJRhAJHSpti+djLxs9pnbHBrSBhNjvbF8K95k3ojRNkm0S4Ls9HehEGzIPGhcpz8m
8fuJkSibt19TYgRwR33l77u+luYGFH16R5fQrICTWtXeJXDJ2HhNKgVqw7r+1hmd2sD6a/dAPjtO
EGMiNn1s27cypj595mcd+1WLCdIMg7ohjj08VGkp9lnEmoSW09icvukj37dY/O1tIjQ5EHZ9sHEJ
rPM0lJyywYlwCD4nc8C//tsWn5iv/Wq1azH4hmY4kalomnLDSx13RUCBXZpu8ORX6HPzeOrx1pbT
NifF9kvroDiOBxLXDWMaL1ODgx0Iy2A/9Q1OzFr6N2Bbox3FCjyZgbzPrTR9gEH0VNky2p1+Msda
Xi/D5NXPJlszyNqUfs/kT822R7a3Vl3S7/60YU+Ne1+ZztPgleZ1Olr2QUa0ZoxIt1i3PXlvCglU
H9kfeERLvrdC2waoJMXV6Z93ZNp8QY68+nWQDSdrAhR18L3CfZBOi9iCWunakBP+tsq1Dqevc2Ta
fKmgvrpOEugqATfl7kM53hPmlu8TWbcrwpD9FS9xPwW4Gk5f6tgtLVYCBatXwArxwQQN3fWILmzN
WbHfGZ6O7xCzx5+P7m+hLW6ipyqv85/NElzxmlvx33fdc9W01fO/br4V9b92bfbjWwNVYvnv/P8I
u+AhHoddbKuoqZ6/vWFc8C/8ybiwzD9I5rVdgsQJW3YJDf2vf/2JuDCdP2BemM7MBQIpZc6tn38T
LoQH4EI6xMIbDPAZjPEfwIUw/iBhj6MvwTW6NacaLXAWp/AWb2dDin4AxASRnZZB3Mkc1/R2Tols
tOChRn44abQGNmu46cmgnXMYvh2J/LUSvzODG9ATzCzS+t5eJcTRbTQ958UZu/a5kelwcLO8uwyh
C3crt+nV35qGXy4Ik4d8TGJaiVpZ6viGyS2VOyWzvJz2jRzc4gI4c3OZZE585lJ/eYIz/geUJtnL
PMC/RLaNYwP3W8M60XL0+1pnY7EOtCJ8fDWe7v/c7LxBaLyd9F/uCJc28eCkdUsDmuPbRyicMQjF
QOaOmcjiPnN9HIRGr1XvDU3D2ZXm+TNo1i5cWa0BoES47S4Vdfa5JoR+Z7EEfz39g94udH/+Hs5T
/IcHDIN1MXBqExambPk9MdHX3cpwfW2d1039jWzvc8lXv70WPCtQw8CJSNp6e+8B+j6VxcDPa5Ki
74qybx8Ll9ycyE01cWbSfFmpf202/7wxyZfHJwmZzF4K+vuoGkdQzrDP69i8FJX0Hx166Pjd4I7b
HRztZLLLSzxYw5pKsh+uSl006ygzcGhoyPFh4lEGzo24u4ob1mir8P894x51yfxmzDmCXF8P+hYQ
o6VcZeRFTyJRDjkgGjpuE/N+YeCYOv2Kf3cVh6fg6pYD9G55gNezqHVDL3FWeFiR3lK2fkxch9Sa
05d5e2J9eeCMIGYzx9QpZS3N8ZFUVT+vjZhApmbnTG1wEZN1/pTPTTtTjRoNOWBuW2kbxvvTl170
LV+uDXkIyR7rLGNruaUyrKJHdx9aK50M8GIVUzM4SJZqd9e5vriz40BMK2pv9roFc01agqzqQ0bg
MI5Rp8+fAVHmf/+pM+rYBMOI8Fym/8VgR37u5EnCXKls/wGy0LApak89nr7z38zIJAeTtwYoDiDe
Utin4fMCII19qxGYY3s1CWOlA1t2KWpRzbX4np9OX/E3o4nxKub0TuB7LANv7wvjol7m4HfmJh+x
uFUdrDtqN//g6UkLpCVLKrBEuZgmeyOiXBxIayUTR9+SI19hX9G83d+/F4hU0uDLYOZfYnAmRTV2
UKW9iuqiuxd5GgEVmsoz597fTHseMxFERlB+LgFyb5+YhlU9he3MdhcMFljrHpL+qOUbxLPnSCW/
eTmE6LrsAA1dwGKch8ur3ambCWIMGkXN2x2xAw6JvwGPcg4DMp/XF1OrnPl9NgNOglpb3JA+VCBy
9WaurM/SI713QdsmKEqdTV4Z78MR31pqevddKM/s7n/zKGciGMQ+mxwwYzmVeTaHPq2IbHpcc4vL
rhUg4M5ZG1V2LgH87Qb/ZUphStYB3s+4PrGU87gqcRuUVv+HujPZkRxJkvarNObOAkmjcTnMhaR7
LBlbbpHLhYjcuK/G/en/j5k/ptM9fMIRA8xhuoFGoasqzWk0qqmKiorgXJrV+2KgPeuJCoYbtEmt
Mq9b0IEzAfTUy+MuAO8n4+FWOMqupFe7fb/B2QLFdH9RYO4KJY5XIVd/nguPaXzHDcI1EpOHR8Sk
DbSCwlm+rEZxWUdWsgcy6e6mYRBnPuJT50Riw4ufHFewLo4+4tgqp9Getm6UbsdXXuyCJ9KuusBL
zLjJRKkFppYXH2Cuj3u9sfQzy586LLCUPMQCXQ7q8cRujZJ5ZTNqzzCyzbWnWcWtTb/nttiMo18O
JKcOC/i0i9gq0paWPPruKpT50fCELS266X6OqndLGnW4l+E5FGU3bjzkZxZ8flYcIHduF4H+IbIz
R1s7VERId0RYGrFKsc/yyHyTpq3cvfxYp1ZxEQXd8hOXmkccnpUZ1eohiiqLnmwDzqV6c18XkfMq
QHg7kQ5/upSmTRym7Xa0isQUco1juE1d3drvM2hN35EQ6n8U0bpevPxAvwdxDkMXSoSb2CfKgraJ
q+3hE5l50vGoVDDkhqB2WK80wN2MR6IdZIzy3pvGAT1+9H1qv5SjUDvJXxYYbU16H2oM435dI/4U
3/ZqlMcnNVpaIL25/5XC9Fj384SoWJAZQ8nknCjLLwgI0DjQ7aIfMQ7v0tsFlfecHtgIgJlmWvvD
g6YkghQJFaQv+GRn3LdN+SFaeosWeTXktV+lVlns+zSV3yIbHw3BpXgvZZV9qtFStXxNH2HAdpM9
DFeqk5Abk0qS04PNVWof84u/JFjflTsQEQbvHS3mGe02vkZWJclDzrVTwLZSTEjnsSXjYBByTkO9
KC33zETWiSNlIMVIooY8Lmni9tH+dUMVc+akCaYi/qikeVsOzVcXO6CrM6+ZP+ToLWP3TtiRHsXq
M2/OvElq5RhS+NmYL28g26CM03hJ0JaFOneiTiwFTGfj14pQJQX44fNkLS3EWqaWz8h2cYGykY05
1SJRw0Gx8RwP+kSe66CIi340JTgVw7F8bFWgoTAVVFCV0zjfp0EaNOgL3CpwKUHmnuRso+d6ZYTu
ik7PN3PN5YdIVHqBu0j2tpXeOf7j79T6eK8l35MuuSMFsraHGzA0wuprclxkNc3ieu6YNQ5T2WJ4
Ya35d70q3NtWcth8ITPHDSYVz3ctplUbiZWaAeYHVGZ/FhV1GM6X0dt2diE9vHwgnsdnXjc6jVgE
e+g6iaP4XLsm6vI4a7BDpflNtfjE5Y0mf1H0mz+ZBLXv4iQbfr686PP7B0lUhJU5aEgu4eB9uDNO
UqT04Bd2BoermzIbrLDUUwNltlw7Izl46vlcAAUdXAo57GN6c25kGfUV6hsyoZDV3RVVCGd+ixbg
z0Vmd850dozz1MMhnA7aZFGA2MeBVESlLBk0BC4ZpvZSNdJ8LPg/AyQW5/RMYnRqLeAmjzPPPU4H
9nAjq2qoScIQGeAaGq6MSbOhs4jmRmtxrXj9O2MFk1k/wDk+tcOlXG67FbYfn3NvTJdOqXM6Ciq3
/qyz78mH4ixa6EFzBVpHtx7DIksG2YBUdtHFvuZehWpguNm+pjg9OxrIzz7+SD0UeDn8jr5FxsPH
Shx0cauIeDRt3S0c/9Y9BbP97eXNOxHbMYennvJcwB1xXOggF2OMeIeiPtIa5X3e5fXlqkNdPPOO
Ti7Dc3jS1h2U0Y8ijqdPmdKmTXMCWOOqSkxxY6fzucm8U6uQlZCUYDtv6MdM18ZWIGC64JPahqJn
z6S32HrmmQ93CzxHL8aknLYQk6cEBRM8fDHQ62rZF5pEihPpRLQSfyGs9mCkzk2tAaW8/H5OHDmi
EELvANVcHs7RdwS5En6WYDHuF/EZIQF37+nJdNEl5uuRLaBUinedSsNC430rDf665mdLc+1sQvLE
0WP3Bsqyu8debNy//EAndg+uIY5PAE4ogh8DilIZMa0yahl0HZxLFymoKwbwrfctBpJBjFnnGbD0
iKDyO1UFQbPt7eTxfM/YGaizLOwWOFNToTHsVLn5SRpWf60BSL9dG2P9kear8d5Y8tr2MQkdYS07
1sXrH1ts3xfn0oLceFR/r8Keo4gMz0djab3cGNlMzWrmY497JsK3/blxjVPbTOTQ8Vkw7eei9SXf
SAQxFZ5Vp2PpgNDl3puS5GNPJ9AnYGtvX36+E+eUjogubFsHm0HQ5vDwdCOEOu03TqypYe/iVRoa
Y2zvgNo+/w9WAj0zgUqcTTH/cCWmBfXIKWYyZT0xMeo0ZOAx8/CmGMbp1dCFA9rmgGlxVLc4fLhU
7NWaEVt80/gtPyhROY8oway3tjuf69Jsr/8opnBxedgUS48s+zjYy8T0MjyTbL8zx/yBW+G968CM
wIuUJg2ebGU46p19icXTOVmbEzETiAuMS4DyowZ/9NV3/Qzp0yFmjsnsfmQPYDAVyXrmeJw4jtbW
5OKXk3jwV4c7CaSBjqMgtrjOjCWmtn52WpLf2Eh+qmh6fYAGvyBYAiAwInCMYbQC38fRJGbacdZw
F3g6/OgcfelMn3YNaMqZY3JqC+m0bJ1EWl608w4frlhXbSvppI/W2/yuiJ3iYhrQWnr53J9axeHy
0on0oGnHlxvJVoFJIue+WJOPeWQPuyk7WxqcXMTUacGQIxIsjzIcFKJryM2UodAollu7GeRdp+Mt
9vKjnAoWoP6gqzyN8+ymqWrRImqAoN9CMXthpbZ1PbewY2oj087cnycfiCAoaH/S0bWPokVi9Ta5
GQn92kQMIMSzh+GfJs/Axc9RMwISZQr4hEXVctxk7ToX4sfACZjTOr2MOxnvXOXU+1Gs6xW+j1jY
ac0NjCoOYW2fRUhOBA+yN9ID7i3ix9EzxqmxxIM+8gmXuf5YNCp+SgfPvK88EZ0pyp6/OZe0R4Be
EeqdZ0WLng1xuihJuji6EIm1dHyf1ENxMQvspV8+JM9DIkvRfjdA4bb4e3SjTK2Z4K62glhrY5sE
k5BVMLStfEq12elRKwAsx6B+axmeSVFOrEzdQkJMAOGQ/qZ3/ZUIdS0SIJqrGLxhHgO/U5m9z2vp
fqQGdTHbrkXK1I6ThkzSnBXhe77BFIQkYLRp6KLTIzqMJV5VZEtJdeH3qZkGW2F22edZfLXUzvrq
T8PT6S8ivk8Oa/M/h0tF0JFkzeAJMOvgPOTV1F+hcPL6+4XigpYTnVIqaybtDlcBZGV0vuCBrCX2
ArlIDXMwGHgvH5bnnzmr0MXckgK+9WOKDxp3C4GZdNwstP7SbvFyFj0uiy+vcuLlcPSJIvTdKduP
myjSrkthNK7wmRPRd6IfPYwgcUFXylrPwGHbhXiYEHhCx7GKdo2zARJHef+SmFPJwJPwC0NWT8VQ
gUIm/fAEr3+5xza92I+JeY6IdWIXqTTwcZNYt+gE58N3FcUO4wDdDMgZR/HXGSVfv8Iw9dvLu3hy
lY2SggmQa5CUH65iLJqFifvKiaCM3itovyFNoeX1J4JkhpBM+UTNd7xKU9u5lvWsgphCtOO1QWEo
i3OEwFMnAtiS0mzrrNKbOXwWxfYkeW8Kn7bJis2wuQbCc7cBCsTkXt62E6gd0ZBC0CGlIcM+puRO
dM2Q7ueMt4hFVn5a69VOc5Dd8YERjKuZG+BLOln2TmEnGE6TWf6gVPWQupihfhZaUuzsTk7vMgX1
cpKL9WqYeIvWns39B0jvHfvJdYyWWDP5MmreQ3lp1Y7OL2Fk9uVteJ5JsgrfA4AP7VI283DH4w6Z
NS/nG8SM2P4kHKe6zhVqkwGzi2XABZm+/iDhdARQui3KtXD0ihe39+Km5RU3sa3fToVY98yhLGca
Kic+Cmri34ACVZs4bqgg+d0Pa2oLP3dK8ZGf8Zlpy3Nf3gksegvEOD3R2wbDOp7LnTkyi+y3Lkbd
WLd4eNpX9lo171XXM6fjpHH1qczzJujKqr7Fcrv4sebJkId47qpb6STlmSh34vMBadiYYmBPQLxH
mfPSuTK3uAmZyNEtRL2d9KK22/691a/mmUv9xFJcPmB3WzjwSKMPzw0Sz7HemXA7Mqxi78tMFTf2
Uqj9tEbdmQ/h1FLAUFBRYAlSUh0tJWoUP3634Nrabb+5cMEvlixqw3Es0tcRTTd0g8SPPB0wkKQM
mOPwsYZJw1JK0VTUsS++bFGUu0s0xwvT0db2+NCfa9CeOKf0TAFaiXlbWXj0xjYHIZKXEo0pxGN3
aOkjz4E5/JlYd7yD7Bkz3LRLBeAFOOvRU009zQinY5UF/+7LtsfWV3fj9APc+tdyCIVu6Bs7Abif
V2UeH0F7oe2n8oKGN127QMv1DKHe/pw2zREhn8PNMkDBOmmWQcf52B4Er3AEOkeWcXMmM0t5kePM
LdIiXGcRDJ2zWz00bHMGgmVm7D0r+rgyQ7fGXVia5wxNn+8uv4UrHlRe8l0dIyhmsYyr7tC8lVVR
ByK2TK753r2oPXFOFuL4uGwcOfYXFAVWBv6Gxy/Srvoco42NUdVk1x4ziG+UiUP1y3fCqVXoNdBo
/d1ht44yClGgx5Py6futsuevhlzUp9aqPr96EY6kbUE1JcfkZB5+aQsi782gdDyePacKk9xEYUim
r01bgOoQx6BJQ/UN8HQstWo3U1/NExuWC7fd2eS1b2Tl5eGZZ7G2jf87v9zWgYQgqKwIvrR3D5/G
VGM50dQWvg3Z+XsNo/HrWDrF19WunRKRMaf51Tfe/DFvIu9JTEb7JNI6oy82ZUPqJ9DX0AkwSsSy
29pBmHiIkLTXp8K5RqhHdz7k5YIxH3bZTneRRqV2Fa91sw1INf3DYIzOHKSKftAVOXB1UzF1SXt+
HsX3pcgxD0njRbusxloYobZiKRDg6VYowDHdVLu57Jwh7MypvUnkhOpei9PdF/R6yfPKYkZ1rpkQ
Ygq4Q1y0tJT2pAZUTH0UazI02E07lftKLzbZhQKfmfjSZV7VxkTQMeP72RvyOxQDlsfRMuoh6GUt
7/HStrAxyyvke4uyYzjU0Je1u9Ktoo38GQnFT3U/JO8Z7mmWwLPX9LbsWvFBd3vjqZlMS+Gy0M6T
rwqjLC9mUpdo5yJxfEtCkH+d3L6d93EyW8a+82bDu22ziLiXoBCRXWU5c3d4fUxWfBG5mdXshTt7
mp9b5rrio95UZdjPduWGTSaT8cKEbhV/THAX6IMOCSwH5uRYvCln+vgh5pNlTeweUE9sNA3xKttu
p6dGb4xHsUztGOQJrkX+itL0B0vOtrpKVL1+T4QN5U7hN2AGhLfurUyK/MFihhYvCazTPpO2pAjY
Zl0dBUsnLZsx+sZBAivtJt2P3aK9NTVhPWLZgWoEOmz5o85fc8770b5kOt/s4Iq77YBSZTZ24ehF
hP8MVnMR9kzlkxis0LCRukTaxk/1BkNyhu3sb1FWmY/o12MkEA8V/wRG5zNm8Y5sf1Rxl0S3MKtW
FKSFJj7Eeq7PKOVl0SenXcbo0jGa5J0zDu5DE+XiKlvQQUgT5qD1ZcReF9qcPzFH8HXRIvsRCB+9
ICioWPtqDL2j/ruKjBZQ2k5tIDIEG9HINMr5QoFs/EAHLU8ZpJmQKUhdN2W6pey0b9xt+edcj7wm
yIa2GAIXxscceBiKv+vwP2nCtiHj9JXT4gMHehYvTKdv8BjVLxq0Szw6j6OqM8Nf+fe/j+OM8vYa
ufNN5bmd8rHJRuJIbzaxDAz2eN1ZZ3h+5bbzj55J9W9TD7Nnx3BS1O1FkyWfZsCGKowmu36wIdq4
YaHXHSa/xuyiX1CgYaTh6t0MyY52xXrTuWk530OjsJ+SLpU4oniVRA+B+cN+V/c2BAerrVz7JjPd
bLqXiqGpD7Iw1iSw3SXmY2ixNQkqKytFiAYM3hibOkf1FpqE+pJsLaoLRidSEz6OHKMvmVB6eZuu
yTSis9nlnzu0tBo/nlu5BlWbLp8KhfwaOqh5nblf21Vb94aXzvUN0vP5dNnAPKzo1qnxS5es24g9
SmXEh74ajSCXTYIPyTx2nwd9RnDEkPWMeppdX1UiQ9NgUSgbXDdyMNewN2LH9sumsCZft0ifoesU
eJ0wJetOIeNdKcIIVdc7vr6O0XgjE700LrN0qG7qtis7f+wzXt5aWF/L0tbfE//V16Yv6Za4opU4
wo/NRl9qmi/NiPUQkhI27ogiwRGdsqpDyDP2pv4e6WKJ9LOuMI2COsrfRAplfkzQknlA1CXtkUY1
VwRRaFEX4N7u0vtYkMhfhVfvY8spnozUih/yqJWmn6LLs1xEc8GexHpWef5CeVCgzJNYc9iubh0H
pYdZwK6PU3Hfl61pMs29TnXgLWZl+itmmlPYQ/aNL0tHFUu8m/tmMK/ARYs4Q/Kumj4sXTTibDMg
UuEknWs9ttaI3lMme5SiDMv42g2EguvBwKvmyba3gfKrMRK0OhuXYbmF73cKpqozv2jGOFbE/9R0
AhifudypReYP4GmczVZ0Kt3nUrPZbMMtI4QeUeVIHTQ/IVnkg3thKqobH8VYL99N+GPddYinr6FE
BIAxVkNv5107V9adlqKOka6OnvsQ4Rx5bSfD+BMK19oGeiqm9/kyw9b4NFRFu3nLdNbHEkNj/Liu
B12Uv5a4a1AFT+R6nefjtPqVFzGusTWaTKzaXDUEA/U8DqWGRj3rRbqbBqMw8muRQE/Dksl0r2Sv
6UZY6a3+dVqJAmGmLe43DZGO7fnm4mdjIfnAGNtsznsF2I1gfrmJDaKotDxpjC1+LGSNj8wk3MLa
xXxQYOFFkXbBujYZBxi9aXsH9dh5t6Z0zR18euIQSn50LTQdR8BWd/ntFsYpHl5bdvNtU+1hXhQu
ThWiU0LtsZZDepX2Lv4loi0V4KyFGo7PvhqJP2seki3THOUX7YT0K+JI07rjCuuQ/HAXeTl6rffe
1fMy5kXaMx7U9J9kaMSEjJ1FyHvb4JtVB0k+NFZAUqDx7XvOiq6Ubmhv8hmdE79Z26G4lFnivV2j
EZ1FPW/bu6GYu7uhR0sdZyUcmnR48B7TzMp+4KCvmJRWXPDfDZEkCOaC4o93ywzL71bNeR3dr5Ex
zauP6ZrzCx0wTdsPc+Pq9wa02GynGDGxvs6F3RcXHGunv9fxEiF2GJzSW9NOMiRuVjux36WWIval
tj0s+ySNLPuzMnMMMaxBQ/fL7Iqer1CtMrvVCiz83nmIN5oXWo4Z0hUlTz1coeZTNHsjSSe5jzKF
Qr3mFdMTZkXTcL9kg3jXrFEULf5cJpZ7WSMxb+wiJ+KoUhHL6suAe8Wvl5PIZ2WEsZVocAVo4lOu
Hbe9RJ4rwvnCHMMy1bvELGWQW3F+79hT/PDyUsf9FbLVrbmyFS0Q/+k8HGarGgpdTiJWy0dvaeJe
su3Q7gRn3eq9ed+h/XSdxvh9qQbfJqWGavfy+icfFdICAN/GgzzmEEwIs+RJqShjkCpEb0eKj20k
5tAtunOqms9qGR6Vbjwlvc1NS0J7+KgJ4jwmXpKWX0c0gDXDWi7app9fCVGwoUycogMMsuVJyG6H
q2i2jr7RxM1lqjrfZQ7Z1zBYPaQpvT0D2J14d9A5N7wAGhPdhiM0BA36Yu1X6LtFbum+WQrIsUi8
Lbh52eKOQJbuM0wlb4fMaa4nGbnfX353pzb0dzMHyoMJAHS0fptpTkUKB6XcjdqLZUHabJK0UV9e
5dQJYewF1ILRIShI2y781TNqhnKlkprg9XZ1s7NmTe0sh8RimSLvTGPs+QMBztPMoAMBlepZidj1
1pB3lQu1A3mf3UpX4NZW0v358gOdXoW5Bm420KXfs3p/PZDhGGQwIE6+mcKrNkd3xrYsO6cI8BwX
QXQSdrcFK4YhXED0w31LUxf2AQpmvoa+0T31t7PDynEMIEA3GsbEjXs3qxmHtGWc7+zS0HY1upqa
LyGbXLlqHAGaY/QCNa8609U/7sAIfhkoO6QImnF8IUefSLm0yqpJoH1rtfWneERqEEtRaz9EpOgu
M2q9b+P79j94uQb0oI0qBFJ7bEAQIbdac6VukQ5PZ1UiKDNhn3gmnp16ubQgDFpy9Prt40bWnA9T
T+TEqqwq3b0qp0+6/kodYiAvNpBwbTFDzdQRj3P0atWaurHN/QB/3/OT3hg+V7XCU1Llztu6NOY/
D/W/MQvf/KzeMzX+s2cY/v/ABDwzTX99vOFT//Svn1Tq/XL3VP78z//wGYFPVfKvx5QCo/rXlSqe
qh/q74n433/An5F4zbb+4QZjioiZTwEbbZsG/DMTv/2tbfSWDhPmwdw9G3Pm30PxWzeciSCXzFvn
m/j3ULz7D3p7sHwxft2IPECor5iKPwSmJENOTK0AfOmSoE2X5yggAKt0KKvZXqgs0AkcCxRO8vDy
1gs07F6VwfxZa+s+QLoCDOUhDk+orooV8n0WhT2jF4CtMYb1LerDXqIe/3ohD3+Atb9nyI+EQ/7/
UvAFAM/JIexjjsa84l6CLYMXrlMCmuW9Gd3Hqpyn0FisfF92XYpDwnhl55FGId58Xpw5XCP9IUnj
+mspfo3xO3KBbCe1Ug/J81SEhr0QOc6clih3iF+9/IMPo9+f3wuXCSzSRPYYMtDh1mS4mEpk+7xw
WETqr6rVAzExpuvAjaRgiUhNoMieC0tbcvNvVJJVt0439HSLgbpt3F4crkpZIothKT2gLFcGblu/
jdvxV2F6xVt77m4nGJTQQab6NoEEEsyC+mCxPcQHmbehqw1ykoVcKW+h/eQBZzkQissrbm+b8XHW
ED5JDWMJQHehHq1OChCPuawbe18XaZOfNPX7qbPfzqPCcdjSQECSFZt2xo/Rbk8vcqknYVTCkDPw
Rwu6zlNhGTc7ZMqLTwrXBzGP6Zm+4FHL7veWcNdvmhNknjb/OdySbprjKc17L0zcYQ47hywbrcwf
VVGmcOstJxxU/LnsezswVHQDrHRddDgPYxBln7mafhNCjt4OWNnWdGWOc6OMHP6Upc4dqxwbL9Q9
FJXGzZdxacDakDhjiKAlOSgK3cPGKMyZGifO932wWB0czfYTU4XdmQv6WaSAbPXXz3GOEjsPVWEn
H2sv9DQcYWKB3fcoOi8Qw2M3reeEEA6vzD/vgXMJd5kGIhzN7e//lQ+lc1xaYvTcsG2R8gGEGXdx
Y49nvoDf7abjPWb4ichMgg5Cf3RpllazFAaKx6FWwFcb5/6rmOcC+f7httTm0cdROFxmV1w3idBA
4OX14jRLuPoYW8hL7ML1IKkddWHP5buGIaogK8bLqnJ+iAqiwOjdYhMb3a6THgeaGPZRZY67pk4v
NEtDdmFR2FmPd2JNR9TDvY+dNO6HSFlvGrtow1Xh9NwydeN7aVPvaAX4i132d8aC0FSKB30M/hEl
NT0rzbmo3KQkEUYe0ymiJ03PfkAx+hLHenvjFgCoXrwy7ax3QFeElDz9OKY14IXd4quMYHbAOsku
rzaPkxHB0pfD28mzDOF1KysNrq3jAiiZkQS0EbMNnaLAmXIO6oxyUlSyvuyl9iEZk/oNau323l4S
zXfiEPbnHBbSDTCTeZ0Mw5+zRcBzJOgqjaVjwqrjNUPPGIsbOh0EM6EmMEa91n39uzf5jQLwbpL+
nJ/MFsGfnTRSW0g49D0ZLT480Po6lQQJFq3ADMkG97E94jLdtbdr2jn0KTPww+zLmX0/EeEZmiDQ
69sY+qmpW8ca24zrXTL36BHB3WXOL0b2tEZWO4A9/tWpVw39bufroufpm3KUl67SztrAbF/S8fMz
3b8xGWlxmccd2aiXdKSG2AtRi7aCBekQZBoF/D5nKgO9TRpwS+EEbTyjitohytuq3t2ZjnYHnjxf
u3YIMEMrY+6yy5c36Tev/PincS4dkgXqScb2D19NnhZxTInphl75RQCW3xfL3ZL3vpzsPfRgg49H
by5qS1wJVLDtaLmlJCRayHTAKFv2YR5zRxn66C9m1/l1431RJdpfhYIik4l3qYkuFRor3sUMROdr
pq0zF2EHwh38aMxuW3dTyiy1LyjJhtBnN1foJzzmPV9bOB1zcZNP2aU3ob0qtBhaZg2voddoxU12
8iQJa36yLnuk/tcbJ75vcVULtJLx2ipWbzS9HcKpRJK2YKPjmK6UvbSomq8x1vNt8TbNrTP03FM3
BfMC8GocgA+GkA73UyZtQ4PScVG288ZQDFoQu/3O7NOP9Bi6P6Hlf6MM+T8ryWVuqk7/vSYXZUn6
LX06rED4N/5UIKb8B3wLsoWxDQhyn5J7/ilADOMfZ6MVM1AOUWujJvxX/aEZ9j/ko7AoUAagz29t
N6eqhz75z//QTJe/R6VOeg3Csw0Rv6YCOQwMFANi+y94FT14NBCOA0MDXmEsZo/89NgZbxVXsKIn
hM6xe46TxLD8QRBird8YDnpCTC6SLx+PIqu2MyCQpi2Yd+f62jC1+wknMT9DzlsL+ioCqMJDHBU5
a7DvGFdPdo09T++dMqqeml5UdzWkch9uQnnFQG9+OVo4ZGZmufhFYv70KPkum2b+lMLtuFaD0h7S
wexDC2rmQ15E1heBVvb72q3vElQUfXAxb6fk+HPpyJunKhbfU81Asj+KP0feWmS+3Qg2xkI0CIZy
tLQ+U2OpHUSjPd6rsn8Yzbb/GQlsAX1DOt9cmSi0ymmAo8CufGvO4AegFhrV7YgRm1N6QTd01i6q
EKxbXGSVtqoVkcKuwVJpSdv3mFYsKPtC0Ut2zMI5yifliH8SLFakRuc43SdgmCEs7V7felki1rr+
fal5Wm7snDLGQ/i9B9KYGMDiuF8ieCIGSeP+WveQeen341wvznTtzO4m3W8WHZP4UxaP5Hjwn+47
JjQfxtwYvhf07RESGUoLqRS9Ek9qZih5F4P6X1EXZ/QYMOzDJU312hcvWuy3axnVPwa7Tt8ZA8aV
dNTS0QqZtxz7IJsW+bVfW9u7QmkGsXUvMdlzA2mv+Fomwvm81BVt/rnP1tFHrWK+HrTOjvcGcDd6
jqP6qGrctTCNxV3o2qJEy5E80LPFt5KNorB4vVuAlevpJyapM+bdVL7Qii9oV1MSlY53XTeUqr7j
enmOqS2KYru4zHEW8FgYTwXM5Fr6Q0LWe+z1kmtnaLQ10OCyTX6+dtUjhGh0NnmG/kOG7YDnW94C
wJPqg/3Lnd2avLQYC1brp3wOIM/T7IpQGEEDe8U3zbd0Bb4mFj2JA4oL8Ull5F2BB7s+84ey0n6O
kepQmU0L8we2j9p64TnK+9QL5BD8HGODysc3wdMCEnNtRF2/wxhkSpmnLh0rGnwxplIFBYYaCHQK
s/6OFnBxzwBZ24UZottYVE4OGvvdVBvbP923EB5tmlbAe3m90yrkt8IpL4YuNDurHfdj5y19/Fb1
00JcICgtjfqZ085MQr1Ppi9WoeE1UpGqXzcmhrk7YaNL77vKJhVPtMJod9VmY3/dygXGgtP35ZOd
ifwzI4pdgTa/Mff7xRjZnBKCeLtzcxV7vhvl+kSTPMWmoouc+C0zCe53zkRqXTUq0tncYrMZ1p3M
hV6GgvK3LtESpPfN3Cz2mVV16Y7eJ9GE44PCxapr783MybkSLde6Xw1roZxUGPsGVoag9YVXc2Z+
mzu/LcfUdnxMRKk4cTpG0nSxRP+Y1cPwUVWV6Vz1dc6cPhFM0klnbg0fggnfrgqZrsSvaVP/rGwD
IxVEhoYdzJJhQf5+RF9Aqy3Z7gTTWtmDPs7TD0eoDp0LPJN7Bi0qPJETTdMeYqNNP+szjNjPIvPE
j9mQw3ej6It3XZRAIqgni4LP0Uboxo2OfJifj2Vs7VspEm2GcJAwC1lmu3ax1UPUTMzaK+gM7c6Q
Zbpe1njwvNsSZUgxBuUfBgpN/CsXZZyST2lWc712bTOHQ4Q4xa7rC5Hs9HKuh3vd2kjyNDhp+Y9V
ZOe+K9IBC/cEQsoOilJCPRaNjnnt1atsrlrau+tuTFJhXHq0HtsQGQDz81DAPg4m0xsRfYAVj6VL
tX1IpqXHN7gbpPjfeNNi79YK7TvoWXqrfUDVN/7e59Fk+sxzJS4EKm98k6dlH+2wa50+uxBkiksj
70bXn901yoMU14PYn8pSuZ9ULhcSXeDhGznUxIGEH9vx8RbjI6YZcI5i3ViQ3vFkGX/FAFr2P93O
qMpf7Ujr9BuGiVkZ5ma7cQgKw5i6d1gqWe5bVUttlYEJu3BZtkEhIXdL0ejTe0/DP/tuqVLciBhr
j9aYT0WZAAcSZGdsAjBLB9G7VtUaUv3dAnuEfTa0q9LVajx1dHtsHEghmNzAjtLy4U2cLBaPNKOe
y+hKZMaR+JVpeVNe9nBY88FX/ai5tV87cnH2dQuLoPKzpUJmttQwlWjDuNciIpLutOrj5OmLSvHt
0Ev3ET/KTBGc46x917TWhJzygpjvJRTq2rrAmgd/kkm0kJWyPjIJfi1Ux2umsRobG3YGxR409Cmh
TU1mzR3KRTt8Lo0kry/0yrTEBVY3uRHEUWrxRWEM4QV2nTHo4ZeYIljvcsXXcVnl3eBcoRTqYfFb
os6c/djYeN6nRdm9vqs6D8uYsKm7Nvu+jr3Zf2jQvTLhSzhzeStlY7ThXFoLZcA81U5y0yhe6EU0
NmX0UcdqG40s3RqTCzOTdcmvV926wwtlup+mReA94xZpckv8naaf/aqXWYjPfCnf0hIVN3NCfH0z
re00YjefCKSlaeBX73LP0/preur298awYrDC2suGXaqKygn7VSXDA7Ci+U0aUzz86pY2Sp4syygH
6piijW9qm47kVa5XZab7te71jH8RRnXHX6qltS84KnMGbtFZTPYFiRWv1rW+Lj/wPYTHO4MGeVla
3tmItZF4REtpht3SeBkxdZWXQ9FgK5GVqrDCekkxpsEPwI8w9wnhUiMjbc0fMtOuvkxQCGJmfWSz
S1d05uIoKe7IGeZfstaL3dITtnxOp9pblb7yJbuLX3Zzdd/lZbI3B5w8gmZkWM7QcEHBYrC9Ahlm
WE5HK6yCe4PN1dJcoWu5PlZ5lhj+YJgSeW7G3UzV5z5c/bSCG///qDuPJcmRLcl+EZ7AwLF1ECfB
SdINJCk4NQP9+jnIejNTEVkvo7tFZjFSm+IOhwNm1+5VPWprNw1arONgLHDrc8Q24H9uPU8/oK90
T2ZnztcCikM8Sfc7ITzTKdsbgq7OSsJRsIv7sU/jQi3fNxLMjw6Rv2TdoCs8zO34oS+W5t5fSsJ8
3EycBscqPjZzlnxayhqqBd8V+fXkNRydJK3Y4ZBsBpucgU/toFX2jBPD7WOnsE9WlRqMPR21hrIe
DR7oDrTBYRhTJwQgXcW6u2nf/MT5ymMi79E70jNVbn8oBmu8GcxxRp6pGZLVqhqizBy3+7WtsB+s
Tnfpnd4+CvQw3xgXXnvZosJeK+uw3kztLnGMLOj6vryQeDk8Tc6IaCl3R01nFRuKoyezn2NjjQDh
fAJ8dLRnHGxz+1Yt9G0Nq3pfDrteboF4OctZfyTDZApdDHrnfkjbQ5E19VOXLOtNIrz+RqliOBO9
TfFT605YrKkeZ7o/s5xSPqk26S6r5Imh+4COjqZcfi2U8bRgJYlEm3WhmWYQBbWuiUh4IZVuadKP
vLxD6ALD/6QTmBzQ4TZulsHufjbtmjwkq6TxTmP2QIf2PvObd0ZHrHJWaBoJ0clPa7WBSfo5LcJy
C/k/52R9DQh13Fxf31fJsvVE+1ifbUrcwzQ6y7lpdngptmKFdG3jpQ4VBIgvo5+49+bCtu760r5x
2DiPnZjfu8tQE+xks3+Uo3mpdnXjoe7b7xA2yG+Sqr0YCIuAe1RPfk+bPZu58FAl2YBAaG5wR6Gc
DmQOCT4wDOedn/cKpSDgpx+ihcUQmYUz/DSkkZ9by0hCY7Rp7nrprDcHWfr7Im/mod9pagwZXpUl
r12hfmy1N4ZNI7WIxOyNLUR8LErb5YxT2aFWljYaKh+8ljJnnTP/Ov4s+mxKg18H3P8Xp/7/34aP
+6H1P5/1n6Yv1dcvw/cXh/39P/nrsG+a/9rV5Tjj/z02pCH478O+/q+dMQhmlVEfE6Z9wP7vYaOn
/wvQAOd5JBP/G9v977O+a/3LRLRO84qmHX1b5iX/jWHjS20Kh1xc+UzaxV8Iaa6Q4/nfmvqatoxb
KXURra6c70TrrdvBJUGaBKKl9r1rwQbgxUxYtJWQJN6Ua22qhfvhbzfsH4aDgm/6t1bkX5fxS+/P
5Mvf6SAvL6PBNit9EqKidcizMkiWxfLPredvCdriOfmcbwTNH9DHVB/Hnpikwzj4+RoVRC+tp7Hr
E440umudk5QGGEq3VF6cckAmp689lVbhWvR437jmvQf5f3uUDoRGnGSocLFwIoyiE/rymotiQ+fm
tGbkZQTA6WazovN31W3r6N3VlBp2RGmaPTIDKiJtLJxzjfryUPSWuEonBy0/jiiXwhwX8uGNS9s7
168vjWvbqTm6juRov/S//aqjzq0TmjAR0or6ymWvwabLbBcdxYRGcnsottw8N9KQ4UZ345Rv9hBW
AjH1G1fyssX+1z1ilmhyZKA3RbPn5YWUc9+voucYRsyBVh4smjZ0VrTqnvDJOU56L6fu2FDxr9v6
llP/9TO1/z5Y/Bii7z4PevwvP3tI8k14icvv45ibznB5wZmZj4Uel2h5ioPX2XvPvR/fQlf/mtC/
uv3ox5kcM7AEwPHa/ibHgcQDrzOjJk3NiKMwB2CGxd5JegQ5HiDO45xovJlT92g9zuMqsHkt9YNb
Jv5bVqdX9J/9J7DBFKBLgKmCsf61ctDZMLlzXDIig31DJ1aGIJmwEAwLKSxb16D8b9riMhTGOtJK
X6ovAIGESeXSpzQ4/8+6+F95zTGzIXbaOczY9viLV6851tyGQ5j0ARZbK7T4SdJ/sBA3wxpNUeg6
VfIppzUXpHNX3eZWsr6btLx/nmw9rhw0wMiw1u7TgLrsmvQ7O1x9LcPzp5I3FqTfn9tf66LYAUIm
jdVXy6LKCzvN9dmPtDUbzQN+HjvonaW7VkN6YyApvyWYx3paVxw9b9yj395dZlEMZOiU7t1QWKkv
H9u2p7M19Ei4CTbVY2F0axa0o69xXtQ6/ROhdsYHMVbbz9LPltPSetnVYi0ovj30t3++ll+47xcP
MlfgmTuMFkvjjmR4eS0jQb76sqZL3Od5NR3KftlzPluWtWtlVttjQ7b3ejFYoe8wsXvG2Z96iag5
Xzw/VGTvPMiqN/Orpkey/kEkadg2KTIyjlgF06V2HKbY1FdxrZEKu0YtUc3qKJsWsCcS/coPEJhj
9P7zt/r9jaB5zh7D27nL2mAyvPxWRYXwFPTzFFu2UqdpnMeTaJqKE9ach1PfmjG2sBVBhVF8Q5Ki
nTyBOeKNq3g5keG15CJcfG78wc7En7y8CJbkNHfaZYwNp0NhLdVu35j0Qtz4yn1HYuxb/K1/+DHZ
XFHxETTLIQup0stPNEdwm2L1x5j+yvxJN9s2LtFvPxt6hXWqz0mx7WS3XPdMBa/9ztYvq71lF9tQ
7kPT1t+lsVQ4N2harWA/3sMXSCN3sq8yoqj22HtZn2y9om2c2XVrUb2rhF625n574+d7XbKY7Gdo
PikJ9s0XIeir74GJavXKZIqVZIASDpausAmO8qMFm+qqFUxLE+KXD7mWdicCSvejWOs+zbJ7QIvR
xX6WjocqMZxHi20vsnMOcD1mwzv8T3uwm+OGf75i47edCMQqJRZHE+y1SGNfv0Y+7MxVDXvq0JD/
NA1Csg4tsnV7rdYH2JfGyeCFOY+2UT+62vyNHGX/em9ZhzLtnTza4GRee8lWP7eeo+6M1hw5qYCi
PizJtn7YWnSM1tbgSFrUOzfVyvM0JDeaWRQuTSa2WF2bpttFbOUbNdDvD/H+GqGj9NhnUaK8+mKG
8nqvaMQUJ6O+XstSG6PJnNo7Krn1nJhWcfzznfz98xiZU8cxNcMq/5tv1x7JqikSm9jyZWk+mkr7
TtGRy7Af5q96Ss7aX2ea/xh18Q+fh/RrN5jDWdt/v5eP2tBNtbKRisY5GbTv9qT3H9q2uFe23RO9
OvdvUZReiYH3VQE+JFEj0FVQp8N3ePmBblk0HrmgZGvB5w1GsrV07KX1EwIo9Gfr5N7S07ae+lGb
Imt2BYXw2Nh0e1pd3I+uSp9NZekYuxbnjX3p97eOK8PYCKuKUo4X6+WVzXhhNZknS+wTn3tEeyfe
0w1qDn7ljLeL8vyodhzxQ6mJSF+jkX/NlP/jL/FPHw+TkUqOt593/9Xi1fa1tU+51njTy+WdTozv
Z6gAiHZq5thKKpMIVfXdk3Z3oSHgvvHlX5FH/vpd+HF+6T9Rb7y2PnueagAc2zMTfWoW4ph9+3mw
up7U13UbQyL0ntHouPcqdXFP+tZ50N3pzlxtrwwKjwTiw0g/5UB+iTrihUvf/fm9+O3u2JwgBYQv
VOQcNL29nPlbve8QcDbXem/GDqXAabAK465N2+y6ojf9cbbNb95c94/0Z8y4qaT+9OdP/73etTnE
oqhFRoQHnVf05cfnsm8305cg3fPB0B53Vci7WTf9+baQvFVhNbQOfd7F6VQkS9kVAZrO4SRoBSP6
xOL63y79uSAXSINgp0Pt8PpUmybbSOJZY7FOzPSWJ0W0daK3BAMjgfzkCnU9ao11/vNt+IcfATcC
ZCRga+iE7X2q/rcfod6sZEHOY8VlKk0Oev4kfirb3o5r7bhHC7XgN9dvxEl5BX+v1Yw3EQv7cvSi
XEM3t/cGwE2hOecGvLyCJZtpAk6OE6uEqTbG4o2ZUJnPeXNeGZhchlYv6vOaj30Wlvwr15k2tfO9
qcQkw6boiZnMs6R+S2r2asbP28N1AVvGZkP8Co3Z18+Hg5hAGKMbJ2WfoKWt+glkpUseQKBIss0i
ZMPtEqzcmCZsWqc2j/kkiQ+fcuWcl0bHpUqr2VtPzACwHxEqzenBnEjCJFkys5/yfCYLW8vHLTlK
sD/loWHqNb9Rsv2+CtgCZxLGIZYWlNmvJcFDW1eiE4p+SIlm+rR3S0A5Fj0tB+RypDYnTWo5QUYr
sAgSH8NI2zYuyqISE19EWNeqjjM2rTtBCib2Ut01aYSua/8WE+X3RxFqFso+7DigDWgtvXwQXGLv
q7zmhms0f8KyWu2zGvUPDMP8GyNfq5NHe/KrTQD86hhvZS3+tmnuCStUmBA26HpBL3n54QA7s6TM
cxfcqqk9lk063TMC1q9LweFBH5L+Ddjlr/Lp5WO/i/V1tga4SxYmq5cfSINBMrE23TgDO/O108zl
WHHmDTVAqdeJqVltlFg2Luih9Xats07KXNmeoXDsE1NV37abW4Z2CprDZNRxrFFdaBGe1upQp5v3
MXMhhcyrpL5ac/VGifFKh7m/HHv04Q7loc4A0fvqt8oyvdD0Mdfjhif8Fvmu/ywaU161qUjf1wtn
3mrRUK2BPVPX/mpDyU9XfGoLg4+Di+c+7p0ybd6oWX9R6V7eVBxhYLPgSLPfOb/wGX9bzQZaJm23
gXpKmITKcGbfgylgJN273LGS9sNiZXp7nlfwAYFlTE4b1ePgXMMbcy/KTuzpwNiaEAk5FsMNLuk0
iZG8rfPV3BM2TuRIPtnXnTFn/5MLB1bFQovbjYvfH8+/XThPgtE4k7bGwsMyifl577yXo+OTW+ck
nxrVqzVIRNXQPjRHT0QFk9vPo2zydN+qzRFn1SQwq8pGINJ1U/c0JktLrY2lWTtIMdoPmWtpb3GF
Xunc9weB3cqAagY1idrvNfhw7pSbrUJscQ5sl6GXKdQXu/TuRGWmD0y/VFynnvbZgufxkBqZfPba
qgiQQDS3+HD9mz/vZv90OfvRFDOMiUqYW/nyPipz4tRBzR877rzGTJWnw2gs+aV1bHmTSLgaoczc
i9fOyGg0RUyq2Oob/uTsGmv6htL9H5Ze1OC8HejRuEO/eRjXqi2MWi5UOHl7hNm/loFed/OjZmXJ
3oYwrsy0HGKlev06dYbx3VIuVThacooAiMtAFsNGwqxZBb6cqrf6JHtZ/upl2Smu3CzyGliEXq1A
RtOk7qD3W4zFX7NuWtrXB99J8u5eWzCSkyuVZ+4HbWX0aBvarMeetprL59xPKYCqutbaOFvcVuCZ
tuglJ7bTOaGX7JESWrll9WUzGrMNO7dXwDGQChDutCEqO+ecWt661b9XEaC0QOxxDgFmxw1/+cN7
3VyaBRnRMTqV4pBnxsAx1PHipUi15DDYcrsxET6c5yl91rgn9+ZQEIbtJ/JYVmzsf34OjZdixF+v
xe6bpYjDgsjXefUc4hhnWs7JIM6cejsXetPcNopfIxS2vtufEVCr1cQjhREvYj6p6ChJ/d6rlybO
+kk/KTX39UGwVnAyIZ0tIsh4IPt6sKtgy2vEgxWC2GfXnoyDrLPic2/05BkU6mveLsWnqnad93/+
Tv+w5nOEJeSFfYvXC9vny1s8FOWqlYPjxwYv2F0mSvPGGdIhBn5afplcdEdp2XeRoYO6RKvl/8jT
+Ss/RIcDYc0eFbKFt2ob87dHmJ4YDXNWuL0z9rpHgZYJpRTzljilUXQ9OLK7znleD7SVt9CYxHp0
qmr86LMr3bIurOFCEYfXl8zWja9ytzFRfuOa9l/25VvFJXkArDnd0CF7vQJN0uwXXbhJTByJ82Et
6jxkUNTeUNNPUaa12jtLuvUbR71/eN5o+fKsMRdjckBJ8fK3Ke1iGmuPs0PWp9aRxqdxUk3lHgsJ
1kZkdX0FWbD9mA9FcdVJ3fk5m+WXDGwN0lDME8fSUwMUA5+gJcNsrmxDOreaP5OKhMYMfI/vy2Nb
AyfQCq06wx5MnltkFM9sNNdkGWE8eONh+9U0+Pt9RA1M4cq+wmSNV/t1172sBtQKzgSMMu93d9Cy
OYBcGBs8FwRELKEGKwrGAxOJNGQR7kr0oYZPKIGSO7SWIyfOMNVvDLHNuXvfGG2ahkZTQBpY5KQb
t9B6NXAw6NeGz4uolmhiHHHcmhWR/VQYVhoSfftsl9n6MQHKxeilKd+jisOYNmb4bDq7aUKtF6qL
4FRRvRdm33RQe8q1PCjq45HazZrvyxHtGJY0d84DJ7OWzzbmmO4AG0nQ1SyT6mJKyBDR1E6iDyDf
1AzDe20LLQGDY5dzosbrHZRS58TS51vXqLQhWG0zeeDW5WZQFEP5Yxhzs4i1ciH6pprSdLqaqHKS
kzHJeYfRKSn5gtpYnqkQygcaOcNPVPSIP1e+XFjP61aFjAdmL+hFBcoLoPgtOBCUPJCpWwgreOOX
YPwlVdgpTSIoFq3irGCu2tWYqP5jklidE0CWczgt4fZDu5noPjaDsWWzr9fB56jhjMNJ2v2EG3ZT
cIy8ojxsEGytSJ8G886Xq6ZfRMuMLSq3CgVLlnq9HmZ9rSdH3M+dOJqlrB65eSyHQ7nfqISo8IC3
sVShaB33e92jQHrrdPJbA54HkuUcxw3lOkfD1wjFrneGJmNJj2qRi0uhl02suQPvCyLHG3Orq/aw
Ljvtg038YrVmeeb8KN44rv/Wa+MDjL3ZRs3FhIP3/eWLjjBlkx4nxgiwkzpXZZJemsLWo8rLb9Nx
bs5m6jzhu8nppqYD+LDBPq2urx0ZivhRugudvTGXP/78ur4+Pf11VdQ4mICZTbxOI+h6Vv9+g442
rPX8o4LtEiyjO9xPY1p9tNPqLdT3b6cnVjhOamywe6Ion/rq/NGVU9Y4w+RGnr+Ahp+T8jLoWfXJ
myYjyO2edyO1mluC2NKz3GrkWHo27ccsAenFKYXN2KLItvfOOtSPINqLJ7vGsRV0rnOj1yNrRF9i
b/OnmaGOLoX+1vpGzuSrjQITFU5BMIt0XnTKr1e/pG8tdmeMVRJ1YtycqLVwkZ37qneqwBvUaB2w
sGWXpGJBO+rga596nj/CFcdN9+MZDd7NknpyPpawbtpQTBxqA6fK20+5LGb3INz6rLKmNAOBJvVL
WpbU3VOT715Ab2jaMNc79X5orCsN9Vx9hCtio2+WcmiCvGyz5SGrPRKzWwMl/GHr3OZj5mygvHol
u+ZI884Th7TT8+Ik51TJqC2WpIqmEVncGXBco+59yDYDij3Pvuznaz809EHYiB/TdjqX21R/7boi
7+KiMlDXJpwkvrpj31SnRaKtDvcEyS4kSwMHpJMLxIIF8XoYFLxhvd5KWmMYpvi9aNoN31kgKvVM
E2b4mg0omAM8YhnHqawW9aWBiwdjB007YlCE8beVZxJX7ek5ooxi2uYvlo7aMMbngDa2pe83H0dn
HzChdGnSM2MxYvwcxrZWVGHwl0EJnmokQVrXc9RnSIQPQGK9+YRcumoubuVb600x1OR8NvPWHWd9
Tm4Mg6V91bttv9fGY9L6FESrNBHrTUllfWMB8u5t2x+7QKGDxCXR4KzbOEPEtV6bJ/pi/RMS7kY7
JVD1StB1NnntNo3au1mruyUw7VJmhxFlaAHpUjc+ebnm38sidYsgE22pR2xFuxKwkdtzA1lsjrbK
ru61VoHN08ppulngyQ9BbvId2xkE7gn8oF0cktbVhigZNWeJpIYQNuafwqi2MxrDh7GwtuoJ8mt+
S53vZpfFS6ejK4a0eco1o6+jbalk/2y4YpT3rts207G32Jiitc2072XB2fWc2uyZ0bpJUNhO0vTv
tFT5U+z3DYGzbY33LaZbXi1Iky26ZEQ0Dldt161tVK2W43KeLzMEEq30cyTY4On6e3wElQjMfG3e
+QXdpWvMDaUeYhLQh8AmFeFYc9BXB1KcPXXsimKerqepFPzDssQ80NCPTuJCy/essK2rHhu2WZxo
Df46aCdlcy+FQjxeeKNWBfoiwPHxNJI5OY9uetNYFrypZFvyx2asc7iIo5cs14Y0t+5J2zpnBtIn
9fmMcdMUB2ObV+24NLY3HSxvdBmPIeUsrrcVaEnEC17zrc1uqY6bUVbZUTjTFM409Osf0PAqoi9n
PbMudTfhC6Q76vUnCJIQyUSujWZg5D1mCeyJthVpuDLGgGhasd3x6IGvrefdSmBl1RCnWo/m2vEG
hFRSeN2p1pKeRZ1TC4e82f8MXUUS2i6SJcxyd7jmh5TM2ctxOY+lRoBLQtzg09AwRr5nQZnWsFFi
wea97aOYmSnoczUbA7uXJ2WYpqNbBpNg37zphA2k0UopZWNhDckWbmtmloiwrXlnF0v4dpUBWz/I
rdV/quVoiUtTr/aTkvn83R5GWAd9O+FPItHGlLExV3V2qpMdLACIwQSzOGzDJ8voKhuRb9X00SQ7
AWZQVG19YDvVBopKX8xn3ShGwlrmIX9fzqP3gxBT870Fwgc6pmaDZtNtZAFXfdWgXh6h/mPDQaBO
yTxOsgms3PTxprh18TXB7KWizWzle4dx73BEvAFLrVy0bQunVLO8YwW+NYtElaryPuOJUcFoNZ16
cDO+aIzYhYpxMcpcAn1alqveL6tvhfC0OlJ+axdIHezNetBVpy6zlVDxVdYmZqZtg3RuMkxOnzWY
e8XBGHPWiRYMKBbYTgwq6m2nOhEtjuQ6rUZedTrZM+7aSekqsCtPPWD8VO82OSQqkBg8ihu/L2QX
KfoFxjvflNZP7q7dXNUcsIxIUiS911ZLA2FmWNs13E/5wwTvR7t5m7wqMnHP6GcNcw9FcJ4NzmNq
+1oSErs+G8eFSN/+uFART1GBdevdOGCzwkmTNebZSZPlrBVFNZ7LsW+fJH0AcTAdVa83S44HmYcS
RGlcaWJGUOtvdRn2rqJI83T4xYd+ZZ+x6aWBWJ0yUIP0kHCA1IO3ZCF+KTuEUdSnpxxPWnZI0tHT
Q6vxeIAzmVoXczDq5qJRnQY2ID/ufbN16rgatTUf0Ewbz6Xbyvwp0XK28rGa/eHSZuOmTg21KRWb
Gp87v+quGD+nDziDxRStTiHugZQ5HycFAfVY6vo63qytXJ4w1WRZJGvD3O5Uuc2gIjYX6XopQVRd
MvhGWA17teDI7fMZhX45ZNR+RTsgiep1lBmFUMklc9x6Zo/OjQ/ZOCbDwdz83LziOZAYTuxKPc7Y
prYAy+PsHVDhVQOL/iLcSCxm5z0wO1jaeBGd/yMj5DQ7eEZPi5L+cCehU1pbHqCB5/9iq7Y7L5O9
XG2I5hH77qvXgchpdkFFRWCgaxxwas91TvPNH+l9rzOSurCc+xWde+klbaz4W+apmqw9pGMoxGUw
mr6NELZX79fOrAp8C265ngfPrdagNOq5JhTBcS65qqh1gCU29jlxNtQf2ggZ00c+rg4ut/W2RFzo
BXD6DYofSqyr1QVKRR3ojhmOt83WAeg74qp1tI3RZyqX5brrPGazWzWMcZd7Kw2yhQbzJSkXNsKG
SQhVAUJtdNSb84jsSE2BY0PTeK6rbNZva8Zm2dWYjs5XtGt+x8jbgPKRDaRb0ItIhzpocF5+yQgg
zg72aPJpnPK3T65Wux3eA3+YAq/dpB1a2yxVYJpbtR6mpV8fi9XZVFRt2vJ9XFz9iyuqh5S3hevq
R3TcrC40mEazmo5O12KpAU1gokffjDHYu9xI+phAiRsND2BO5lap3RiNRr/c9RfIjNPi6/WpnMp6
iher1fpD7lVuWPck+BC763kXhU5fOxVNxb3RRZ2+y+m+HuhvluNptmSW3sgUzCtPSr3UgehaPz8U
ClXLmZ7Mcm7b1FCP29J0gBq23vrhNtkCSVl1mv6waYPbBrzvThLXZqYesCiqNZpKyZNKSUF11GwZ
5bCUCVSCklhrSJO98i/sqwDxkKnWTQhpRoDR0Bt3ilk1HBkN1eSsAZlQuRG4Ey25UzKvXhoko2k9
9L0J05br14BJzP0Y9Czkh8WZZ9rrVWd1YWJ3nnV2m0RgU9AGjYGgp7TTOHib+kLjU79pHalB3WVo
WYFP3mR7n9bOmBz1DrBkUAoTFLC0RQ1QtMsbjtWZ5sd5qy3bEcuOogEhZYbRp7OcOtIYixZnvqCT
PLZjYZwRoCXbTT+vc3ZneZM9IOsTmn4sV0P8pOlkzpelq3QtsPROi8Bf10bkKihGYS395r2V68o9
4eMiS22bcvNLyaljJA8KDUEIY3gjm15bqSyJmUj7kyWxSIZJL9w25GVv3QiTa1CnIyibGrxQ5mTV
l1TU7rvK95o5NJwRhACujN64Jw2bNZ05msR3TPLTp7KwUnDNXVMMMdBm1iEPhvF0yvvRST/qjMqw
8MxNdqcg+/dXrOD0YdzMWG5nr/aBq85Wh7qNEeEWuEs/F3G5Af09wCMZ52v42l53bW60Oe7mzsqr
c44LMMHKpy/3Wd9TYWQdcYqHcRla5tq5l83XmT9a2VWf4xtGDo2+6djK0aHAkLkW9u3KmpqTLP7I
I4+iJUcSi+ZqT6QgcqO32li0a3UlDA6a4WSvIPAst5uvDZFwiGAPFuIGE8SU0H0xvS8qa1s7Sla9
/V4k1e5Nga1/ThoB/6bCt2SddL20H3uzN9pTZoG9jjiwJOKUNVlNbEyvAzoBEGqmgaVmrmRxHbw/
a11sX/W81DiHkPZ9QW/qq2DpCm6h1rNlz/XoqUBH4QQe3Gw0LQLK6kWzWHPqHZX2P1JrYvC1VNps
3haaY54SY6u/mgt2y2iZOw+hlGqxSTda3f9YBuq3c5tXY3u0M7Kxg6VfJswlbZt3kaYlaR372tTQ
M7Rg4sUe+JSDJXsJArZMpPZYN2obLyWOyB6OkzU872/DHPS1Pe7u6rR7z7yyf8LKL/LQhnVbHUii
mk3WZrAzATF96QIROIcLXJIaYweFNNVRtUueRypDGTgLkf6cyyEvr/qxL3GRmqZ5UZVbO5FudV1+
0Qp/nuPerWwrtAgMYzxjTkZYuRytrnmfx/t0bjwvJomq+SIKCcW8yy29uGLtVQ8zRwknUgA7vvfN
LLQ01DdTf/Inq77KVdqc6HM3AfWJaBlAQi/74tubfpsvVN6HuhpAxrfF7D37Cq0fDp7d4CYhNhoR
HX3Z/nSWVTbQUAkGOeZal1bR6FnbMwmn3XRmopRc150zOEFhiMEKM2SwMhai5zwLkaDyIqcY3emQ
Q+cp4jzleQgTr8m+jG7Xw+YSw+CHi8F/A4SML10TS4/MBMjB93zU8vcjqCgwNmm3PNG3yx6HvtW/
8VSUJcYuu20OoD677Uwpr7LbtOubPIR+Xn2XIpMna3Ur6FuORn3grhk2Isud5fKQUFvooWG0CpF0
ndVtYIteGEcsD6BYSgo49zrb4CZfu03P5bSrnHxcrz49A9BZSxM4xpzu6hTK1DuzdoCwsx0UE5XH
KuxwoW33aKHpAr42bR7rRN4nkOZ9aST1PVVQed1YnjZeZ67mnHzqOOPGXEd3pHqu/fxemw1lhIBs
pgVupjE/9npOw8C0UrkCsE9b9x1TnmaIfNSIGDNSzVeRCcjcvOvK1T4uxdiZ6BUTPz/xxvifTHSg
UYKcnE2AomU7+0Zp00E3NN8JsE0OkP7TnnLAqNKOErN2LxmRZGsI6Di1ggE7fhJRXov2AhUgd8MB
BQnLE4O8E1GcG/SfgS6QWemTdQvov22DAkYamuvC3ObYkn52pa+Z/mVWrqfBq3bbC8ojfb6sS1tZ
AU2H/HpvS6WQC3KxRr1nVM4jtE4RVcKZUat0Bqu+7XZSXdl6MrXHrR4SJlJbarWhlYn5KnGdbYis
dhRVnDXV3vZFRonnfMqn2Q34F3E6ovfD0bYOpYd3s6L3LA91sfblGb+jX13Zna/TJ/cbbKZtniQP
g0w0L06y2T4PszuosEiS6TM8t62Keyb+azgyCujvstav2me/HzX/1qxcP0fMUrg02xFgs01686cB
HELK6oREe2oY+oZN9gsbBElBHcbOTZp7Yowz5zwUTWKc3dWqJJSEhj2lFzLrT8u2r5la1bcN5QcH
5jMccnsg8aKW+vuFs+waqZnSJ5pE121xhy+YrIiuTL4U+PnreKk5TzFzQHkfal5SPLHJOM6J2bMx
nnis9BH7Cm2zK83OTf2Ou+x+zYg3TgInSQpIdZjXizux4PjALrmJb7WgKw/EYt2mhwQqRRY1drM0
pwIA39EtW7M4b8u8HxKlqi7gA0pxEAxOZDBsYvmYzzD7g6VdJPtglSIdILyg84NOZD6MdroH4eih
fwlz1xo+gMCG9suaZONBlj1rQ2t3HF5HlLU45RHJsTfZy6huicBC9Y6wRoV4prX8ZnGnWfwv6s5k
R24mzbKv0qg9E5yHRW2cdHq4e8ySYtCG0GhG42yc+fR1XA1U/wolFMhlLxJIKFPyiTSa3e/ec9kv
yrA7Bprj8F1dmsXT0hTqizMVXrWzOyXFla38cIpLYKfdcepzW+xkP8sXZlNDPDj+xMtH4fpxq0vB
YIFT93LipDMywWvGbF8vjeMkKFXylEfAxBMS/I5Fs0DXZqC/LCl3cPHVDVGd7KwCHbTXZqU5uGfd
1LonjwfH68DENAfTNbtfIxQ/sadjom5vXAdVJLVbCk1iaXLEpxig2FDrkCeXcwSCdXtoiUuPaVCT
U4l7FPmXuQqUPnNhzizIhj8Frw4UjBcLEtmwq7lH3bvcUETsM9KM85FCbcq6pEFkXQ+2wunhS30q
66K12BV2QwVArUcL9H0xjfwCSDyHnhy9nSx9U/6YAj8gG+WG6icH+6Y+tG2xZbfesjKDpW7D+TrV
i6nxtVshuGb+WcgMsBIOVq55P7mQxaUymEZpLIAUzSEd5Xsm1Bm7tqWczRsLBPSa8KOwEXcCw3mo
EXsstsci+oEZbrT3YibofaVaxXBwmoLyXrbeSgoYxbjkZDiPbHi3MeL8VE9nXW02elcg6bODqpIN
aWStHXQMPtEKiqqAE5B12MN2jL7pGinzoPqB02Y7huVofUUcxMdSZiEZNMopE4MDFwjDpq9f1q0o
bI5Na57db7K1X5VefJn4GBrbZBkpKYnHrBrAzhAW2dhsGX1/kmZP5Vzr9z/RuufgIXLyRadeOBv6
0eHp5O81/pA61VsQLiySmVMmiBIRifVxs8vLXjek/cMIK3nj1PNCc1+phZEYOUecHb/1fPSgC8gk
aMIWg/mwsX1bOK1/6FcEjdOlO6aCBtiZN4PT5B9mB2DBrg9XxXmniVZqcAyb5Dhw+yTIQ7aYq1ca
iIftBEwEXjvHSI418l60AYSutg83vUPHCG7ckITuifm036fSMev5to10oG/NYPWgfYwriP/F6orh
y2gUkslkOOtDI7GKA3swPle+W+xwXM7iwBaxBkpWtO0N5tQ1Omb4UhVbBmP10mhSZUOyHJQ6t/4w
uRfRIghj1L3NO3T4rYM7s6a5Nx22ZpX8rWX1nxEx22rfOQ2xZZAXXXfFJ1YX6k1IRVBG0Go6daXh
GR9U5pjbabCtMb/KywLeTqAmNSUiNOHEhHkfGtd5P+ki9eZ5prCBFW07TzV7VKelLWGfEVXt2EqQ
aD8Ya2NnqBVRVdp3LcCMIxvLATl1s/UdcIvSuporO8DBbkVswuljoeCj67HO3NIcOJenxWvaF7dQ
wVfswGTWZT1I8wBd0fqYwfN4oMnGI0auzZ4zgy7UeiblOdSHXsBv05qH+g5CLe4tCk9gi9DANK7w
O/rmeTN9nk2zcJSd9B5Ip53wNz4hy5pbJC7C2Wu0deEzMLaLRz5DgkoqToSE+K1+3Rdsh782gAu+
muBQPoOB69crkEgZJhzIL9/R+MajO49WkGoTpMKuiboNPAtghw/khQTwArfy83jml0HzlXaIeULQ
UoEUalKV1Xn6aCsreO4Kc/te5HrQx771wPmLojJVyv3c+gcBvVUl1jQ4y1VXFHNwBlyF/IkyPMsb
awGRtKfIQYYwILT5A5XVzV6CTjX+Z4a3a3bN8dGtwD9Yo5UWNfhIkvyT4XDSC5bph2+vUAzsXERO
Ys0uzlXFlejcbx2bkrhwcoRwdnO9myo/KG/6YmIAyHy4+NJEEr+Rt8o6ofAlOJT5HEL02RxNvh8b
y4Evg5fprIwzvu1ptATdRiQUFMF9DZ2WI+6tpBqhSTeG0p8he9JZQlQol7ERTEVwZi85Jj7PnL12
69xIO4S22ds5XZbBE5FT9b21e08m4Gjq4fvaDCMOn7la1W7TYjJj/FIc7FeAKgX1jkYR3UiUq4es
LvyWIRmGjzhiDvLsdjTmXGeQH6KrSxlWwiOKJ8KM1OZ+rbhgn/rMGtu96ajyip6vyD7l48B838mF
TVNj6Y4AXpU2y5+Lt6kinvFntim9KP52VnkkJfWnruNmuJX0fEUPCejQGd/7d47Tak1WyzZ+8jTm
QNUaI/VOOXZF80O9cfXcbqT8FDdx1F7lOSSJ6xp2uMsQFcUejmhBe4dLQ5idSEAgj9CHuGGrOkdI
zWUbhvtmUHaUqBw2TTzKpQUaoAsu4Sx0qvFg5HwBOyubZmKx2KUDKD6dczIqEfEPmH5t7FiwdeKt
ynEOqro0iprYJoNENcy/44xAq3qZ9SahMFTCyT4xgGvusIuAP5KjHorzOLWOGVcYuvNDORTRHbkx
YE6b8G0jngehxz1/0O8UseFvIVkmyOjb4l4VVmc8zx0L166l7mpOWKOzjHOXzaKGuGwS0MPS8Sgk
Q+cdYoADFGb2GvgelePHY++I23yotErpDRrmA98Sj5s1s6jz6alO9LnBQuQ5xxdtf6QhZRrj0l1R
Onu/wOgyj/mI9xecMny0sDUUcyI88UnDIHhMNh88WDpZS1fFmvIGjhq6ah6IO1oVHUXbFHxZLL//
2LH0vWirGEFfrE1nMzEanBtpew0UrnDZnlbZhdYJQ7AsmClMDh2I2jGNvdNSlnAMx1ZSZtYWoXXl
5VvzDZ2B7wr46eV2GmA6JaWdt/Ohqsrw0EtGczHgvDI6DBiZOU81uaDujEKyp74Kmm9ZT5XSbmJq
GcQObShXMwZjHdec8mDmhYGmU2sO3fPUtRujWAPBDDKaMbORC3rpH7jbR/fMbpWgXT95/g+OQt0S
D+HaeJw4yjk8kcDCQ5I1ioFbMGmgeZUC2LUu1qj2jJXCiy5qW3dlyyUfY99kocx9icsAlVnfmJi3
TUi6FsVlZdRSD1NmE505/F8eqsqaIP8CQJHHuSnltRnkk7z28kj/WAoXbBmFokZ5YudWoluQx08L
VuIxrSsZqqtqQsBBWmOOmshtnus7GZgYlRo+p38I8LC6aVgyBGSIkOtr5ocIhfWa2T+VKOCTUFm3
eB9K7WR5mvkD/gXHrbYrQL+M0+k/Q8CONe2jZuJzaKVSdg1RYiy/dDhTgS3Yd+PCN14tXnbql9ak
3afzzc858B6QSOu8TO951976UDFC4I64xD/oYybs+SYAIgqTM5s1RvsmQ1TqEVWSYfLGk0lNPQHC
RnwXZrYwqraCPkX5sNKloXGXfZhzWv0wg/u32aeR9verotFlTCmm/NRyz7KBF+LVMktv7/ZNVO2q
rOw//d35cnlzv9nU4FB4pO1sz8YTb/pvXBxltZb+xLgkbch/7kobCooMgoi5zuQcy75kilIHC8Ip
07t3PCTBW/cjYdyL1dJzLcbD/Pc3r82UagvdotnSybP7u9HDo5YNdJPv6jIyy9TnibVgD2f8rQ59
Fs5A6Hx/9Q9VMDtOSroBhkNuV35/pWHSeFjdQ7R9Ttl45Ob+QhR02GTnZx504qGfq/mjCux5u7Vy
dUGuCTUXbOJbHMyLlY0ZAw2/Emz00Oj2btlOOpVTFlKtxvSHCQtTGm+vs6Vqb0W5yufccy8h7W7L
j4sx4Q9fu2H+lJPOduJ6G747+JliFN36GRfseM+kQ+/NUC0CX8vkYT7ph8CHMUPBesspja+aH8nP
H9iibN0XqTI/TMyBMdyOGIP6ssHHa9Ydm22jfkF1Jhreu54RxNJriu/VVmNQt1bHvB+nDN8L81s1
PUqhqTCwXHxXrNBZ89mDyIZi3szGZ6wr2MtNId0RLdulVw3Qp4Gi7RSZlVZT170qH6jFe1mBP4xD
l5+dOlP7Qoi45Bp/t4C5iL3I7wH5ztIYUtbYcFeQRzrafP17ZyitZA626auOildgffkPF/Z9Wovt
Bj4r8+bKne7mnPf89xvhD3vw5Wr0aHK9tJ/8yof//rYkmomNdrikuFDaWx5m5lMk1XBwobN8aJjd
Hzquhh0KgxaQjDIHDuWcxQ6uXbhCcip29lw57/jl3rpxeVPcGnxH9gVPC1vk9zc12G03mqT0UwMg
3ElHzXg5KXTqKFkUISLl8uhhuXkvhnC5835fFTyyfP6FPWjzVHwbMfaDgY0TreppDyI8znXPzrNw
9S1mevwkBJ4ZoXF6/mB0ZX7q3OmZf6a+K8N6uxJ+YKbasKJ7KtT6/aYL9kp//6n+3buD78FaC5eP
H+zNBWThhqb307FSVti7uah7aGtF1d2Avhynd5zwf8Qs2e0B/fUJdblcGVg+fv8FJFNmiGCCRdsY
3K9j37mC+O3a74fJzL/bK3u1Lm/sfQ5C/6ZuTCTxsg0YT2fb/j/92AHcIvKe2CbNAE7F7+9kUEM7
u6Zc0iyfh8eCoztyUx5FFFZs6vvfX+vPxwJlYEwXTXyapI/fLs2Ik1TOWXJLnaDlYB7gD6Ws2WEo
2JCsYuEp5MsYcuIf2Qy889p/mDGx6FP89MsZSXQ/ePPz9rR/Mnbimh9zVz7OFROA0J4qZxf2Zb8H
72vIdy4o2357vROmR9K2yVwRezDf3mYtBxd4wna2J6GHdyWEcCRZlMxmPzgVe3rgmtMRnJw54f4r
ugZEstUcELA44nMkMo/0YrEjmbfaGr+a0L/62DI2BMqCjQDXC0MAZ5+xS0wygJFTkruD7k/eNnVQ
FLaGwcrffz7r7XdIbYfFUCIEMI8VmhTom2ulWLiKOskBHq/zV847G3hYYosfWf7rcye8+bULO2yW
1cqaVgWyxjIWoWboS0KWx6+3G50JNbgT5s04Gs7nJRDqnZKRf/cmLxsPAov8B7P3mzeJQbyqmHMf
xqYJrHQt83H9ZDZGkMfmsFj9ifTbOHx556t5u127lO7wglC2QeGExC9+f1X8S6Z2Qf4c2mbsgLRN
LTsz13tkj5btNybmN46fTVd6ZXoCi/pyYITILK6YRr+X9/uVTv7nOgtkH5IV68slN0r+580OSBh2
3pjMnw4ZvGS697AHnpu+t2+8QmzBdevbVX7eOPMVQLhFZh2I4KngqDk7ESYGm8jegFi8kxBljKZr
HK8MMTCRaes8tRbSzVr2/Impe5Zxo+i9WwYs5Zb6Tth3x9lmOds1Qpryyu7b7DrKcXDs/K1HNm4X
O9c3FS6H4FS4rHMnZRV2du1tCGxJP6Pv7DZ3BpCQo8zZzBlg8kNtxMzLhpYz1jXu+/7FgyWzvopN
mequ0TWC7tKv27md8sg/O652nVt7wMmUe8r0rwWXWhm7oySQ1wAsxsYxTv4noMqIhnNEN9A93ja5
xMiXRCM0SdjDO5fH26XA53FrXhIbZPrZEr9dZddyqNEbF/NA8sDMgAxEEITRPcmZCTiShCg7wn9x
55nhRPKJOhQcgWU4x/QsjeXZXMIZ009n6umdrcDbpx7rsO0EcJguLAj8828SYuQ86b9ZxXrYykEm
wyBakqkFd6u4RFXfyaPxIH2zJELfIIwCYYSjDfuP4M1zr1mVUfX+IA5Y14Lu4gCzmjv46cVPKnHb
de+QisDLpbCHPYxRPz9FY5iHpxGBUNzRmmeVh2IUnvkZ/izn7cXDbfSA/iZvowpfXSwiMblgg8PV
em2Mulw+djLvyj01ynrZt22vzb0XMuNIvNlku9+vwJBusga9nSTLry+8gQJ2u5mZmGLokbnaB8ss
ykNWzIYt+GteYT2NuVjWq753y+0T3YLY6uaOdo6dC9EEFnIR1QfXINOWXOajL5GVhT/gaKKiCCu4
FL6iyrGxq4fV2ANqqz7blbAOpuVn/qm0Vmy4pLQyM+4Kgksk7UGasPd3+js83Npjfs7e6sBErJJJ
L9eRtidOBf1+dIwp+9QztT/46O5lDBO5+bY45lSnmJBg8nuy7T5G2iaR0nXG+LNtaFRvt2guv/Hs
QPGB0z1WL4xp7C4eZG59XJdcZTHbIUc/t4UnjoLjU3V0R296dJrWZ2OSZU12dIJs+e6wsrLEN2Tk
Y6cYx4+hU0fzcWZ66CSMqfuXyyMr2nVYTGXsqdmiz8OFyrvzw9L5aZW2iRSbD+uPGhvlB6csdPC9
oKpgofC68+sO0GtWKKLdM5jkvLcUQwgulusVQbKgWm1eLgR4wqV7/DZlhwMrG1M3qGrmq3pBV2T4
wykG7w+1GXaYm+DTClq1iftQVMi78EyHhynfOAGWUImDz4F1i01rrF9hwKOUBdVko2f5bfaZB+TW
XLZt0lCHZgm8va3w3lxRArLaT6RniRzb2zCdXEvnx2AytnCPsY8Wbly5TPjlqNrwqgR3VCWeDPsf
YICZO1YU8qpdB87BoGfQZe6Ac22Yzx0PIJkuAuzWzuD821yhSwT1WY6tOM/AE7sTGntAIot+6GXX
ODL/OqhatWSNZyBwdJBXVVxoq2F6MW3BFrNm8zPI2nPxEk9rbYORt8W9neN+R9fxgNUazqz6vVF5
axs7fl99MPE6wwCul/wcToVLfqDzvR+bshH6iaaEbTw32XpX8ddVAu3YCu/QyHHCiM24X5pAf+H0
70cXZWrlCqj6r26xeXbKNoqzTkDkPKYegZKo1a3agAGxnGAeTVYU23XF9gmUry32Sjv5ybcKqqFr
kNjGlVHVHyNfrccaH8F3TCUd7XNhzljYLgo3bR2AKcfa4ReEYFJiuiQoE7aJwTl2i5XbUN7NpNC5
zm0v4ik91TiBB69vseoQkGXzDVzhNBmdfEKOHfWNGNrl0bRK6tOmqrWu8XQaOlmHoKuvES4BRgZb
EGSPs73J6Kzo5fMSrC1cpKHe7NfaMlHU+pwE4Q5Bja+7xrdIqMwSJr1obGMXKjqWheEVqDrNzDsr
7o2ylOvVuiBt4WRT9oDLC6WDDA9BhV3pZQPfhrflOI0iwSpE8fKcBpnbX9dtvs57sJe5gxJt1A/Y
9rsXF5Es2EFy9x7zafE1jTmiOW+X+PzOZIvgJODLx2XXLcX8TOl81pzCkMqHmizASzU2Wx2vq1Fv
Sd0qsRwnFZYvaFrw+1FfXBFvDGUqyOm+AupE4QV3BZLA3NrAZaw6fy0LEi9XUdXlr6QYydBkkZhp
kC639kkojIFQ24KFlY9pYs1VUXJt88+Hn+Y8zwUDoUw9NxrOEMAzbyn3G9afdFNL1e2DquiI2NmR
maW1VID0eSyr9WFwKx3ts9J37+tWMOKoXdk89pnvAdU264s/ZMMsHV9mOcOugkoD5x957ltL6bm5
n6otaI+WO2wvsy/Zhjg9V2oOzst/LnHk4zfBs0RrX9MRS7QHg5t8mhngN2u7XlohHDtdM6TQ2Foi
b2/wB00ctAGOXGl63TdfeuyRliaH9IFrPgBMvrD81HLIPlcVs/p4hFHE8hNGOB2H2SNksqrt0wba
q9otrrY/sG+rVexP4ACOoMIuhvaIwFK8ebpJFskUEfkKLPVuMV2j3knbDMozs6blSS1MS1nHl0U+
eqIvvtM7Zz2UZtPJK78GwcmCRV/ITiyZ5T3Tz2e1MJnBBJ0AMBgEK33B44jp2rNV1MT0Jwx9zZ5R
p5+YK6MeUVpL+6xbaU+JDmts6SxTTJtdoIQAPtbI3e672hSpEeFcotDdzPOrlcKQaIeT2zJTo3Uq
DqdMAexDOZHzm50l9FPqEWk2Uw0oa2qg7OYHkbceQwxFJBbmVzwR2G1KP8STGOzJMJ1WDYCBeOVI
NGyz8+WiYTfdt5AhLH2uEDTm2F8XL7iafCdzP7Z96CwYrsfJul/sLfQ/ZT6XXkz4l4caLCe0rWjK
ul3gYcBIlMrEo61I8xABn5aDZvfQs5CT1dpFuNr4Rgakz6AdN3FfMve7jXoMQAlf7fiZMkSDQr5C
GFOQ5qwS/B16K4HgUf2y18FCONRcbLPnadrp7DjlRpmfZeVan6x5jaojsj0BMOT64VuBUasmfNFl
5kNoVu4+GCH7JJiRpMYDZqma5sfuefCoqNrLGjdbagWSuMcaQsLC4FpcIh5RxfCMBq/HglX5G+Zv
lfMlOq5/mHtCHPh36zxd82V8CqSZffOsLVquMn7SvSyq9kvBQXFLu7xqfgQixOWnuTOruBUYsMgs
NNWYdISLaxanAi1snvPAxO3Bs4sghjds8USyc9zNc7ecA448TIOtbZqvDEPD5Rk4AnMmhuh1a5fw
ej7B66UuYzSWLkiHsfE/DIWqRAoEnnWs9J2ev29G5adgW6kh8lS0XU9NAaATGlB9LG2OBNx4I7/a
UAtsrY3nX7cZMMnYDEk8pNnmEppc8pCsX7jYeJ8NNSjYvO2wbg+k+Vqog712y2TKF7dKYOevzNn9
SCmm2437fdGiC6kOaW33oJYi0FznPaL+ZgaYO4eQ6yAS7QerUrbAjzb2n6Z2LTd2jJ4bV/ZFIZLc
Z3ks1pZxeKWGxdhTcjLUuy3qqIDhSuEOEg5HvqrY1umacU73BcIV0QNrMSfvzmCoPMdhvlq3G446
lp7Nog6krq1cXtdDPWoY71v22ZuE96NjOfFox6RP4VyvEz1L08SAh/TzUPhno3bqJVFtRxNSmMP6
TIqKxfoaMEZLfRrTz3bP8yB39/ZsudktN/0WYpybln00sGjdGMzgbxaqalwIxrnnf6D/2iDxI6F5
nsKaHym5HKWxkchwqmLHxFmW2kp71+yStzWJCtPFh6Oa8MUQi6QQaMECsashw4RXUhSSCPCabwbb
jUvxwWpg7613AeOa6FZmnCMSyoO3MF5oR9juCs9fGjpPsjHcs6setis26Fk/JrKhrwoGs20lysbd
sMcwSaH3tJRsFIVJWuWlxULipeXUdBaPLcNwkt52hxuY0kZ1qhA0v2zmaCMDj13+LfP5rWPiNeNw
Ta2cY567yin9O5hH/vSz97Jp2hf4+KdjrTb3wVC56x3YUfWs+jjclnG34v2o9mxtoldLuvXVInMz
3PGvuISceqg393Qsh4wgJrs29wGiRbUHrk+8zfXUIK5zV0TqsfRnaaY+q9d0nMNSyI8BacxLHpJi
rH1eKLO6yzf8JDdVt/hlSjxEzC/WJFqO4/0ayhoTNOyfoKQW5sAQrxGPJXxs8gHd5FgjQx+/X1Pf
rzIaCsRS0kfAKZzcJV5Mi11/h0sFJ78x3wNo1QhbpaIld+jxsQcA7+aYml5dXguKk7NnV7rNA+5H
wu6bxBrA9jKvXsxV5FH/jtL1p4bETh8fC22aPgWxb0Eltcg97AFiPGBVa26hQHxuSfDNO2bGZtLm
y3t03otw9k/FBnQIcwJAIiHEDpBbF3XpH6AjysiGcl7X8aDou3jqnTyPeRKox1kOY8q0IqMzvp5f
AM2MN+x33wuO/7uXRwCALoZ0hFL55lQ+hj4Ks2YqYeYz9qWxMWBc9K6rP82u7J8iqxc/y6HBOdXk
/bXhGD//Lo+8ff3LxAZ9BDc3XwTJ9Yt68o+Pj3xKpQtpqQNyTRPuiHChwrAfO2J/GvZgPLr9FjbT
xY2HqZ69ZZf8/Q28lSUuKgjzGTY7Fqo0bTa/v4GW3YQJ5X2FF4adHM+1OBl5az5HfPTr0B+nV49n
8TvK+x/shMurIgXBC/MZV7LN//1VBdk8m8onWPNG8cTEJj9Ncz3ENl7VPDEVKQehwvCsLOgaJb7v
R9gS1Tv6zx9fPRg87xc9AYax7USX//0fX30Y0oONI8A9SLahzcnzobqdzXmcaC+JnG47d6Cj6kfZ
ufp7FQnzDqbK0Kd///p/Ccf/vP7ZVEE1gV3AHNZHJHvzTQBmqWkVwie+zmCPUU4n/dXUVFt91143
T4+4Vuwg1qgp3iUjN/y02YjnaQmsabgZVG+VN6U728Z9UUdN/3Me2pIQcO4H4szTJXLIlnI77aZo
gAAztVu5z7I2WFi7JXYkV1J9XBh6HfdFhysmNgarNM/bEuKnXTrZzGnrmhTVKWBW1SfiF27zgk88
tG9DNRK88CRlXldIwC3gCx881VUZjLMbF3Q2jenYRG5JhJzE4W4xaNeZCQx7zTNz99Xaj6NdfSc6
ag6U3+EejFvAYR9R3y1OO1BTynNRLZn3jkj+x1wysJgrA5ChHfIiETtvvnETD+0aFDPJMrDOyYIx
Js2acEu8zs6fFD6Qa69saOlrKuqm2FzfQZP3DkV7GZ2Pax43Zttc/f0qsP64DJiDMX8LIV8GiGyQ
336/GIetrYUBhy6N+hDO00zSzDgNtbKMp2Gt4AKE2UQyEhtlFwsn2ur9GLAxutXIZdwiNazQp4WG
Cn3E1baaB8w7FqUwE5rHd7LV/VNIbF5crdQZyv1cG91rQM0DZs9l8V7a0Qt9tq5B92z0ulSnRWEA
LgHldqmoTEq6XJtowW7sbEiwi13jzYCTgeGlyla2hgLVb1/mWYttcCym4ExcY65PiB+e+zA7amnT
0oUu+yEcfNEd2XUOJjOcRropQffZ2A2GCq8L+IduAsree7a7TZf4fLtFo5WPWf3aWgH1GOvgjhx0
AXjotFGoJ7uIKBwn5AnlKbaGwcNyYdmDul/ZpwYnTj/MuwFPb4puaKXHO9/WNQJi3elHV2HVJ8Vg
TeuRWj/lP40W3CxhKAfvFPYM/5Pgh3qap4aOSMMb23O/oL7spYTXhgPWzmRab0xXMEj32HKl3Wxb
WuIuy2/nQc+cj/st/OhOdPrERSu2x54bq44bICKUDbE1kGmVGYhqgVfNFGC6Y0SGWBFTwMvALIwx
IS3e3qSiJgHTgGAOH1Lv+RW2LCFjuBZp74Xjl7akWwp+sOpOiyXwxI5S9em4rIpGz37kI8hR+hiY
Znid+AOo8YyyyjL2PVj5/G5SIG5OjVlxmXv4iaY4EG0zf4N3inl/xwUAmxna6gCahzmY4VwLHV2O
r1ZPuRJTvPKAfTVc79uiN9tdTlvXCycy9sE4XzDC9YUtlzvRR53/aI1NecLLZGEcD/1SEtvJxwOe
p8ZKM6sQ8lAbi+WdSQLyoXMgcfktQIPshag7DPSoCF0NkgEaVaWt7IcrB/JQ5TrjF5uhNp56+oz6
02ponEyGX89PVdGPVM2Zkzm+8xB7u1MCcMi217uU31zKU5w3VgKI560paTuGrgUcTyyRftg0LS/s
ZrZjzYX2H45xL6/HNuEC9eL3oG/39yWCveg4Tjav51SG8wF+8Tc4PthOMZx8lZ6ev/59Tfpjhsvr
gcoOI4ojsC3AYP399QIjaksgMaThAo/cTKCXOymiVJODfFUVZBmgVlN5HiPqTqN8dq3dENnLgVF7
+Gr74ksRmDXnY99ljBuAmIUdrcK4zuj1TCKMcjHboea6aKf6WhKLJm+au89//wxvp+6Xj8AnsO2Q
yYsVmm9WVY5nmRwLqHtiAftC2MBKA3JRiR9sSK7CBohmogJej6QSDn9/afsy9vzngx07DsUMPvg1
nuuw2N4MY5tmxBY5Zn5a5yRucC8WAHL7uSZBlpneGN3W9kScCLcxTtfeF1g9jFltL8vQeWNiD1DA
Y/aMkJ16jtgE9ZzRvuKMSbQB/Nb2zS99rjV/Q5cg6ckZJibeE8k09Ea8zKKzjJs2DyKwOchP0+7v
n+6Pa58ZAN8tphGWIKq43zxDjXrKRN1MLelkWn195J6fQsFztSyCphjRDfXONtW5TON+/zohDQKx
x4TGhpEt8+9Xo4A1CH5IdId5NRG9M0HdTDhWUOpIXvIgcPWcnwPUiOpgC+3bO8W+ykkIADnj3hzy
YqXW1yRfAp0jYqzj6+qppjpwwICQkxngOEYOOZBU+hF7XkFWVOPySdhdLo44idDq80ZSQZv15hVp
voojq6uGY4GF41vL4XA/X4bHrL7906+v+j9qJLv7/6xr7OJM/N9KneTL8OX//KjBIK0Uiv/47/8i
dps37e+94pe/8X+bxtzgX9wyDpF7ixwuFxg3zvyjH/77vxz7XwDF2C0jdpFNxI7/v01jlvsv6Gfh
pePml4/pgknrgT3SKu78CysAeXV8KDZVVyh0/0nTmPerYOT/XYi0jjDLxgkCIBU+NFfPm2VflYwh
Bn8hS8YANzhNlfbu7dbrDBdJWWgqiAaB2F9eCOC7wmT8EtC1uRmvvdb60pfl2vqlk9rFwBz5IHDh
Doy2PudBqV6dOZpAeSyogAlFfTkCMnW8BbJQ64fHoSPYd8KOkBGMq5SFkLYF2StXfXZP6BOaFCMf
C2WOidi0YyhQfR/auvjMnM+isa/otTgoALcf8s5G58w1h9OYdAXSHSOhYIhLwoIPTucM95lgtrfz
fOEtB9MD0BXzjzCE2roZsiLOKX3GLS+8E3srem5K2hkJ+dRea33qczXTkAsliVtpjUgNAEYS4qhJ
+2bJ5GpkuqUyBRF+s4vMO3Lhhj5UXsDAt8hgPuCyt8Me/oi+oFstQzN4BKrlONGdanjIsz2G1OXH
fdat+MJ95auZpz8OIErVN5NaxjoIpNp7jb4glYLacpcEoc5rmRlQ0bR9IB8n+o9TwbFsO+bQb/rw
K5jSZRnPNbY0c3yYMI6XGcAHQ6rodpxNv58fbWZtWxdXPaoYgvO0QJHdKONC/tkeN1/ZiEx4uroW
HbuvIXVMk0PGMu5psbR2JiWvQVo0uMnRkenJ3lV+57TnllngcMbrUHy2jI7qWJL82Ovv51UiFG0L
Y+6dGel6+iBK7hc0z4ARqrfYVv3YgKgobiC198UhKKcZ2ahU2kj8OtxkYhHKg32qaepkZdrA2fwP
e+exI7mWZdlfSdScAepLAl09IGlmLsy19gnhklpdXsqvr8V4kZUvEsjsfsNu1CjxMoRbuFOcu8/e
a1sZj9bTVXkNvaLs9VsRNqCsOX065gAJcpj7aFBUxG+PT8hWMndMqEGJnAFAAV3iqkpG3TrDvqI3
F0wCGUiALGMDSV7FIEZWqOtkJO8bAbYwBFBLgeVeK0V/UMnqXad9PxuYXZhwsMUk45GfUH6VOUXd
nuB3UBQ+k7t7FiKf9CJosH5w3eIeyvauPuds2nrqisPMHTgielhupt2Uj+jMs6OchO9MBk4Grc0B
u+XI2Xw1NUWdOgIt0mhjjUN3ju8aKAkV9YwoREiSVt4YaOm3+JYnwtqj3hP3XWNIdQEbCmk8aBIt
8GCm2eTsM671dl+UbDtOk5LKm9PYpxl9CPJ+dfILqonR76jYjm33WSfPWSesjtPc3OXK9tLnkbOR
usIgrjD6Q7u2KY5PdOwwDrFLbU+qZbNqKbDuNFHNpFsuHG7+8RKWXRKHTU3R9AfLi3UOqXF3r3UK
nAGhkqPaDSykGajcSl4aRdddgiHlEG6MhnfTrVibAfgQiA3sptfOU5/ph101rhNsnkNrh90MAiJ0
8JfemIlTGjtdSxeHyk6IVIHQi4qKpDX27pjxnRP4inKg4TaDWLWUTnqTzFSp8FWrOej9ldJ1IBpE
Cu2u6lXgDpQS7yEoYgOwu8aGCua5dZRPA5Wmruu27w6Dg7/LYqh5war7BJG0XPPPvMGwkgiMy3jj
LrG4ZZWZujuephmzFNZiyeu8gN3LeoAlDkEdUpZEK5OHvBmXt56BrNh5FeR7hqPewFZus5WED5qV
X6imW55NW7z3eTU62oP1Tn91laYbEcEv79ROHShpEx3fZ3EMWoI4mOZZwQhjtWbonSHBxGjMJi7+
2GT/XIwTa1Y31c/WRLZcODDWvwUenHOppP3ASr1LT1mvQrx+whQ43bnO9hxZDJ8oG45D5yyzeoOB
NI/b+4wm7MvW0Dv24KPOos6a4EFGs5Evl+7s8TIwqQVBrPfc3jukPOhw647udvjA/Bd47NvYnRMT
pHvN8tP1WPDMu64LUTg7Cz+lCBMGzzqyyVi8uHg1eE7Yw3IjCXNr1DsksZ2HCSRK72qhiJ0RteRI
S2edriebQNn7qglJ6c/OzJbc4kcg8TVtq7LK5k3nAQt42rbikG8VD69AmBptx/RNpCBOFpnMECPZ
rYHRTGWqgkVz3Zss9wkY7W2XjAzvTGf1grLP9Sc6FjV15i55hkMFJIMXTr5XEYCrbePT1KVW7xwC
R/VZC5WQWnG0NgCRtcT2ZCvh0+eFJ/eTSMwqD6b0OQhCIlWseZYiI3BszSXcjEqr43Oy0nhsCDwM
4JmJ31x0Zp0WS4Bruxl3WufGVtBl0hoeJt8e7uLVEXTPY7S55hbg3+q7+oIrQWrjaQUIIA3oUCHL
aXJtsJlJMcsYVCkXO5Zb/nDuUldK9bKTdU7xvcWovVOujXYN2MBTugLSb9w+JJSETeFI6zrkoF4+
iqInTj0OcAvutdTR2ks9U3b3joSW8901GyQrKlGQku2dwijuIVh5XZNFVYlfcE/+il7n3muhL/U5
VKWoz3lMh9Vq5BipJpFrgd7GMOCaVAGMWvVyueZITzy0QgjAexMrIw6d0Sf1VWhF+cbvWx7FqPxb
3G0r10g5L/d4jcXl1JfAHgh2dc+OgRUkwNYkrLN1Mgm0ckz2v7U+X0EqF0N9CYciu/MXW12bftyy
xILU9uSr2H7lo44v+EvWi2yzTARCZu1NSS7+3kLLRCax5mLYM9GDdBsIVKntEmvwDZkZB7yKgLsb
zF42WUHqw4EMekt3GWWsZpo5XCVNTy0FnUw74k3rMcZEpaCjVskJb1RF1sQdC1gwHTTU1LXVWc0/
BQZRUchb0APTABZTbzbPoCTNSvnLY090+hJfqQkujEDxrZe3/Se8O+e2KOLKjgy9NZIdDTHszN24
Y/ZTqRYfSjQGBYt1qpGjpkmcIl06tLtNreEG2exU9V63yubB0bP2TAPjKyOzn9pPRWsMsdV0ls9M
aIPJQJlaHzxgWezPtpMWm4FFLdBxYklqrMXy5GORhvdXNSXoDp/mauKVwwQbPM6qcDL64rhYrcnA
6bX6h9ulBY7RbILULGHyJYG3LDpILwxp96ueAAafqyQXAUhXZp66bpQVDCSy+oOfegsmLjm6L7pR
EN/HZuZy0OcG3cLdMudhrw2wMypl2BiG9cKoI05/iRf1QhHFKO1+fBlMO3/OLaPjr61Sygy9FfBM
qDPAQCf08Q1Eo2YkwBHFqn1KDJN6kNtVRts5MYQykNkSqwgPHHFrVy3ew/b1p10/0wCfYR3sFAAh
6F0w/9rYof3Lq7qBECWbWCgYLAGMk4YNXLUv2tW9mmMLE5UyoeDR1z0XsBSaSrsYBPbgA6gYJzu4
sOeTABuXC8cyHfSTGWW2j5q+ItNaytjbU5Mw3U5Yk5LD4jAsajyxbb5jgTJXeh3qfHC+Gv5J+h2b
vyFq0UDrR1yPEDWC2LYz/zBWOecIFpurfstexxD3srf9LHJZ5x/jphy1sFKqvUHK9yv+eZN88iFW
lNQR+V7S75fNEApASjSa4wfuxFIPghgATEKPdcwAuJDsLvAADdnqUMjZ+Tdy9b2rRNZcI1k6zLex
iz+MgaolGF0brqEHOmMkG3yzYZsbbOkoAi2qYlro4AdFNrSxYZ+w0H/0kjJrz+tCM9JdRbU4q1AC
Zxu5oU3eWgs3fTCjbF7Zvje+U3xVuEDDcHVEbSUT9YeM8ZfO1hfZh2zAKKn/tf2xj6alnDlJ1c82
6n/81/9rJ3D0mX93BL97g9Twt+Pw8fsp/Oef+uMYrrn6D/oQUZi2jIzQiQX9/RyuucYPXbA1ZZ/g
8x6j3/XPB3FCLhxDdJeVLt7qfxzEDesH2Qlf8Cp0OcBTuPhXDuI/Q0n/OIfzwUwK/DiC0zism0Sr
/knbk4ujMARsufMFiZIRwee+1tq93qRn+EGcj8p1ursp9dWxNCTOzcXqsVAvzXnmiPoLQo7dBEKJ
5YZZzLM39tj6pryEUlhCtsfV1fMyIjHZqQChf7gyZ3m0Kt++Jrbuv/G8zK4xj623WpbRCuc5aXdB
8rAij4zhiReN25CfrxZ9X2kYTHcKxv3j6tU3WaEPPMLKuDqZVfKHTPaXLuh/e6n+dolfjV+Aw+XX
3y7e2v5v+6H+fFNZU//zjfDbfdH/75+/nHw1m67z239gOEXjuRm+5HL71Q/lH/fQr9/5f/uLv5Si
+6VFKfpohlptf1vCx/qtmV5H//vXCtNtU73V/3Rpb3/ij0vb9H/QKcbwa9Gz5RjkE/5+ZZv6DxMC
O7WyHhojWg9X768ue9vjlwiWbNe9z32yRUt+KUy29YN9tqdjZHAxTOCd+CsXNpLUb1InQTQ+gzDR
3qkr0okd/ZPU6QF9UCtqVtjGydqdizUbaM1pbcM6cTXNXa9HQ0IZC0S/JtWttjLInM/kc5uOiH3V
23K3YkQ3Pqt5ezFNmr62p4qzoB92jVFVOx8QImSmJE9jLMG6RpcMYrP/NhMYItteJkZ3hR05NY6L
Pq+wL/NqLkmmJRKbTFEC/b7AvWazpbIoOWiOHMASxCxgQCdj3ia8y8amMcQpLxWFKxP4R0ET7rVF
zQBqy1DYeFeVBoqnap1kv5B7vCLG3nmskgThlqAjC1a9Y4HDex4oq57iYywKOdH6YGHketAXq4wv
O/Ca7SElHezulmwBYQVhA7uaJ3owfr6e1i92WqG/mwTE5pMaG4QfsPwCsL+4cJHDdbBUEa0zAOiA
6dUbeJXVLjZlzdOSfeUyBewTYEfIST1E+4tS+f5FZc3VXVtk67iXXT8d9XJqzKAg0A/chJKKV6VW
dbsQQgAOlSF2hLAPrf0iIVvtKmBC9p7VdgZduPQMJjMrGQdgqzqIgAvbbKbnNqc1CUaHFNmuTCTW
SYe0GNPOMNhflKctj0XqRUnsL3jssp7YLrVGNyUUSx5ZlbADyY4V4Sozkk+k7iI/aDGQxVJ3FhjQ
ff+Gx5/6qCYBJ8VdwOrFXp+I/Aei60LhsPk7Myuo+mGcp+ocNBKIfM2UJaNTMZ62rcc+v0NVoXzM
tM6MWg3vibX50TL8wIQKyw8w2AZYBhzQ2KGL3L/i5MmcEC/T1sdB8di5ns/5a4kaKUNBScAcgsqg
iEtOs/edZIPJOIGnjeME57/0QCR76CNrNfu7CgenvpM+iwdSaUgtNB4TcEi4Ti/g3o5kwNcUy72A
ZgOLPqcwYg/IlUnQMQvqVhJ2iLu1w4gb6LaCSE31iTqRcHahaJiVup3ZeA6BkXnN00BXzMRPtlgf
WCMj5sHFgy6pbDzgG2uzviQ4vn1UvBLrHrO+vAdum316ZuYojhj5+DSlWdpFqrWW+6F3kUlTif+N
5X4HI5YSPrhnPcV0nxzx0gcJzDmNzHg2mwMHSCaeeVra765PSi+qYpkDMPYtBT+QZDxKay52+WzH
hHd6l908i/jyZQJWz24X00ISmFpjnFc4ROBCJVr2GTemWo4qLSaTdZ3l3hh5kTxs5UEyHN08PqRZ
PqBB0Lr5bHJDxRwbMOOiBXX5VVlCfAwcJrrvKiXxF2gDv8YBWNAR1opxOibCtu4zTGy3EvKOCmzR
m6d4UuKJA6PdPwFbp7BUdMNyMja2DaGljv2LjJ0zxWJ9l88RIhERJbsDMRyCINKvPK2N/X2uMKAH
JkrvcGZ2EPBpvND6z3bSpq/Gkmt5WsNnSa6dtqNzZzX0JcZiyTPsfY0druPeMevXhM/AGdQdrPWo
rfDrwxnRGZO0VRUfoPls7LmcTACwsL1+UPOIyEDdkEDZGxvA3t1oFA+GCyYjUtVQPWEQos2T/nfv
Q+LhvfamEkWydPDQ7HSCz82+GlKMCZrRaXxxxn0OPWV7L9SYolOgX5d7LTbTb2z+IOfxCzfPboL9
70x5I6S3zprjY500s7dvMRavYeuiOO16MB1gSN0i7QEdWx1FkPnET8pFGHqwgEniySyXqidTMlaX
2x3r71MawU7imQKjIDHm/LprBTsuKyvjm7jUwCXZVt1dd6pLnpFY2HHp7FKSE77oSJmpbsfxaZ9a
INkcfmwqGi1/ybAgWE0a2V1cvlX6RHJFTjzboo4b2Q5bsCXlXkxTTH2R3qITWUnX37jIDAT94wYy
z5zS9RTaCBUiMNpSO0Nm2foq6KH4EHHiPdAyor7WylsvShAT6BWUzL32+QiDwmjchgVeafDZ3UlD
RJDkOWG/G94QSZzJErOEMbL0L9rlDkOKkx8mB7kCbUDUxJ70Cngt+ZfMof2gjiHfNF6VRwVQvEd+
ajRfONQ8fHpj7mCdJlSchNLigUpewW4emq6W55SdoMQgGgDQUhNM70PbF/ptstbezCHSojOlze3h
dJkEcHFwVUTG8PyT/63tfg2cvjPuSn1IrsSy+USWqoIWU2VN74X63KxXdj/5pLStZOLFamAGw4c+
nWUoNNsOAz2TGMWihnBZK3XDTGByji9s8QyN0HoxSBlaoaPoTiI5ivzPsdm3nwY8V7dUdcw8G/qM
y1WMrTiZjJqW+RZ/VxfpdGKRKtDAmCG0aTax4drS3zgfSANT5FSz16or97peBC+adegI2CxJ2VqB
xRLnWiv4OKHE+jdEsLz7R4RgE1nS8NC2F0UzymJlxgOvp6Y4c1h68W4jhbTL0szSdj6Ap5btbD8A
xOat29JeJ+HEYd4c+I3gYp5Xj1Izdjy2RubRJ0GPXsdVU3XttETgfL3vMSkhkRF9wPhsrWwyAkfr
hw/+DqpoOLaYL4mdZtftoGfWDn3F5P7CBH5WzeQNQ69NRQwd10GNWlWK1NX00tvZDAooLmvdn7MW
gDSDlYXFSbqU3G+DoRfvqzPnlx0U3QSJvbOBVdr8FKM2r9WNUZOxOmMDN7J7w9wVLrPbEU32FtjY
AsAVqkZuyjlMk7h4NiyykpFmON0RWzUvMUxaKuNAr/HYXsiYPjnNsFKukfXWQ1PAnz1YwmT/XStt
HfYoWBLZg7JBeweIH1LE3PKVwiJlc4Ywv+AyaOpWVCH776SPNq7qvQuiCXUT/iPw5jz1r3MfgtqW
08jsI2gxEg2oneawc6TmLcHkMhcH8Tqa78QNaoM5Ivbe+iJJXtU8GN1Z4YieLBv9OyxAPRDPQE0l
9igP/36QqyUb9kQXbTgw3Tjc4KaSydnaVZo4rezBZSe0etuttKDltrwSchzvJDDQ90aI/I0nEZZ6
wLS3GG2sW6oXi9dJVIJjWtPnB2cYqnzfVh7w1oyQp3tdsiFguNDrvt5XMEgZZSeVKOei8QAp7y13
Ltzjmo31gr8s43qEBWYt35M+TPXXivI/3FGQYOL7JjCji2OS9CNhuGrOicbqcQ3he1kt/8xetYZE
lWx7SCyDPhkMwF6Mczg3DOIhJBSxe/XK1u+YJ4R5pLBtsW+tBSxwqAx9Nf8PfZ6cVf7kmOAYgaN0
+7lQUEYoFqbS746JODex6mMtj8jIGBc2q4/Ip1Xk408Hq+s/Dtx/o43mukEx6P/zP/7Jyvvzy3gO
7kVgRzytOdj//mV8UEH9zy0bfJOlZrQo5ztDKB6dTJW5tfnx2iOFA+RAFotpUJdTF8VAgO9/fpC/
dPT9/1PL8XBe/euz7iF9q0E2/GGwOP38z//YfvsfB13jB2dVFzHGxGGOg2vzP/1hpdCsHyaUKhzQ
BqXNEGT+LOHwx6Ci4ExHxEHL2boj/37S/YGTAps6Z2b+NhgLzl856WJe++0S5eK0AKJAReHq4ZPC
zfr92oELNJap/5byjMoD7HSEat3GNUPWEpn2IDtTO6Ic6iKY2bHEpJzpWWeQ6sC+LQvlIhUIcuBg
ndjgyK1uvZh4nfMTSSysOzNWmWsAwd264Z0J3zRScdZY13HVOeMZJZUbiKAiHkVjjMry+rzP5xn9
m9xYFtRQK8fzeDTLDQo7qAiPH9DCwW/526w6z/XTEu/XeGYlTh/O/D/qXsODxuPMtVTUK/3LdNs2
OWq8po0w7uY0P/h4u54K+pqJy/vcI+cmS5/ihBKH3nkrl3Uhfd+tZnvi+aNGx1nSVpySMTCRrjSN
8duTuuh2fp6N+mmT8wag05lvDEhZ7DSUSY2eduLGhXOAcokLXPjSPjCcj8POW4VqAlRg2Z9wIqiT
nVOWLZhYaKqcs5LRPc5sSfrAGWPni3Owdr6BIH9SKBY3tPwc55TACPrg9ZVtBmtvtHQodzmzRYtT
88QpaDndsZrqXlc3q94I6QK987wOFmisQf4k3lnd+usE/CYrfbwlCzjTBys38i/qnZIm0rAMXbS6
V90I3jwtUF/dJoutO6k8zisdVPsEqt3XsIHcOTG42gPrKAo/QNzDJfUnXXLd4OhzDmlDKjbUfXj5
SJkFFcCxH3c7V9nq3c7hyoQ8jcSdToY+Cah8i7UoTjCpcyo2R6rJeJnEJ+NCbgOBw1ORYzO1UUJl
y3dFWQwBSn4uhBV8rXhZ1qZ6bYWWjnDSFGo+UE4rHLWZWa/WUxacVUJ3MrsRqstqSixOGcWZViyi
50OUFbV2ZTpy1UJcFIS4DK4sEu1JRjkR5tL0tAC2yYpnHPioHMb57hmpRoa1G+BxstPoCy1ci7ri
bOsN6fW6+vk7LWdZf5pAifsaPbKldIOa6t2Nl/pZWi60BI3iOlpydBrudwRjJxpg1+Yd0iJ5PgWF
80aH3ipgnzvZ14AccWl5EpttYVT0OJocltZoGT2Jri+T6lOjp28Jx0WYLKJLJqnQsibxQPy6YHwu
xz7FaeKp5pwdvfFUOqK8bGyL1ymbH8AfdMJx7AT1V9y1sqd4gj1/0x6sIT53R6d/JwdVpGFSAIjV
82SiUVrBowvmHBh3iM3a+tb1nkSnp6cc1wCkwn0hYrz1ItF8kFK1l8lPYqocjFkQAvTvlzLmyFso
JcIx7pOW5OuQfEOHBZWSjGbOoLRW/EAzve+OcUxZw2Gz3ENvzIq4CPuuYRnsJj41UOz+fG43Oco7
eN4ce720Z6aMR5tpt1MuuXRC/nhJCj/7LPMaS5i0C+CxtNrg2CykPe1oVJhB4oyxdmYwY3/HyHMj
cJna/IwFHdZ3WSqmbyGy6Rs6dC8ClnLNFCGAxFk41J7x7G2jvzNgVA9lYYAPzyS844l88yuZt+ba
bSQb6XUy8u8MNwocyBUJGxWMVg4IEUhXOOj8Cwbz5Iv6LvL9cWvyfXG5JMtQs5wtx6ev647EhxbE
Gj+WU7xOxamssDuQ3mA3+LoCab5pIVEtj5ynvWe5UEZA/cK2YSdrnof9Grs4y0UyWaFSfgpY1Z/n
6qSuWlfeKst0l5dyjAtY1ZYuTnlqELx2GjG6zOGNhYFnbcQTE7NXXlpi0AUMt9j7LnosDEE9KGcJ
WtxhF0aRaePBKzL/3TCh++4TN11YyMtJXhkt4mcg/Zz4XtpSLcfnswBxsNgLVnqPRcAsTL8x6X51
jfeWcxQpXogliaPILdJot9SRTp/9fNLLsZ2iHiXoHkhP3IQjR+irbIxpzOX0Lm9rrVxwQMnOWXd5
pzVVuJalfcOhYPZZqtIAGqaK1UOQO30NJdrTKU9hT8dWOJ5MgBV5LdV97okCIpkLfpFuSGqroR2g
ZPFzb46D6+HygGDfffIyEHWUGaCa+W4RnuGBK6FmUd5MCtkx6F7h4MRDLVCtYI/WLJIuXV9rmPlN
TmUswo0+F8+mp3U8JYWtqQtyJ1N6mnB9TiCe6SfANFTlVkiy2QV+Xnf2Y0d8gbrjfDKL88lexifB
dnSgekEvvX1BAQXWQL3NP9wpSxojYDGetMeRJaPxuJWBmeEMOdkJFAiB9aaVca5vu1K7i8psVE8E
N2YgsX6zUm9OeEqbAwHJGpCujnUMQzWPZQvE6WtepVjiSqM1bxI1Ld+zV2zCRsqiGkoFZ4vXhE7R
EwMayXBZU/tVPM98LOuesqS14KrAdB/VdBcsuybxrK+unZHXqREjejrnKBditeE3wOeOuNeO1VOt
LLvdnIXDfS+A86A1eHN2lDxz2wjLY1qz/vRiPyDjOn/HoJzmwM6nFY8WBzy88IxZ/qnXAwrAcBCn
T6QQy/ce8IOO7/JVeGhKeIdEe4LlU97FaddqR601eOSVuL6eW77S2oAuScSGwCbkMX3n5rq8sLN2
Pqukgv8/dTYAKMe3dNDKPuHtga2sEf7P1K2WbYw2bObefz12H7P3L/n7iunnn/i1PRU/LEzCnMd1
G9+AZ2/ry1+jt2H8IFBheTq/n4zAzxXpryWT94PCFjauBFEtEiWsNv80euP50FkE6DoASptx+a+M
3tbPXOef1qfCZYPL3weFkb2Ry4b399HbW+B/G1AGJA+OZi8I6kNOLj0qBOOOlC92BJ1bypxqhDSN
hy6KPv7Wa2IiLWZ76ihc7GVY5iuqSap9PKz6GEAOwL00rXjko2JtUwxia6GjY6aiYLAXw20KXbYI
FupXkr0/JMw9GquOwwZYTWFjZtyupQYdHB8ZLw6YmJ72BT9b4MYYkuocfkMjqSpZpzOCmvPGDoOs
yf9hoIuJnrg8pADNP58c03oqLaU9VapLjRMbNu29R3XyF4cBceppm7Jbafqumtr8ZLawLe3wlHmh
y/omiwAM5HeSSOP9lKG2BxyiphdVlHBwijZDbqXeB3BjLMbXJLMHCrjmpRgOMVkXnUavGjNSC1/4
OwZI9UBgynHOm26y98MkmVwaBmQ3BHEJT146ZLjpF+29O9FDvQbOM8dmpKEg3mLDsN5qpKbTHr6P
fkbjRfNWzKa2hhUW1CPM9HYIUpb0TzPty/Uhw3PFMyEzwPhaIkFaHXJrPE866bGFGMzhBffZdF7Q
G+2iTKdkHtUo2ut1aik0aaoVR9MqhvyQtzQ/hm1vRDQKT7cxdptz8HnqpTOstgvz0cOY3HtkVymK
Ul7H0LsC3qVmwdxAe8YljmKBArn4SxvYSymvXAurUjTlljrHF1w8C7OWZUTXJD1ELB/0O/A0M5s/
6JD4R5c2wZ2UlgYSkd32czRO/XxV8lfQ0ez09pc7s4FHTWDfU+SqDoXr8IagedCl7M2vsig2ZA+a
0V8/R32hbwqhh27fhpbO8yxpVXtAU052rpdQStpuSzZMQ6V1GztZ/UVCp/lMNTUBGcHKcKB4YKOZ
YzG40twmGXZyMWWKg86ezZOSgNRJXNMVx/UXu/S+t0N9urSaNHcUUCAW0l+5PPloVzBjgBHVILWq
mo1bYjah2Wmm2pvkBh56RQnkPoHUcl8paonR/Qkbhu2sLS886gdQXElBMyJNxe0ljZUZBPCKdggk
WjhyThW3DCk1ntudk67e66JD+wi5zouJFLnjjheLMW7+okxIyn4KYzMSUodGo7WkO3gvVgKb9TQN
457C0KrZiY5oPh15bg4cEGm9CDNzTCGi07ltB/ogsjKiTK3gBMVx6X4mHvxtcOqz9hb7hQ4M8qA9
M+ZV4PLnBrtn1ytBRGxwzGa/aJP/3ABcIDOxQH4IdGMyuA67/raRi3GB8V+84NflxQoninekXkht
2JNcnr/BiACBqejnVKjClXbdd3qGHmmUA7LrdhpviXf2QcP+y41YIjO3GErT3vLUsikDMjH26YXu
e4CBSvfC64BRRHFsOf4JqCMNslPKIZJev+FkBSSOcmhzHtlr00q9FOqvs1vsvu0pf2WcdmnBvSKp
7oIoYf28gMaZS/3WN5P0zaOaQ3WBszrY31JPX0XkIoVQXzei3t6OCrz+Xm1tMNcqNe3LbuE5fQMq
NaOlVC6otoLnirdjexbTmWI3nGgEIMSAZEIOMNHr5TMGZ3lGNGHh3mnq6Yo+IprlZC3lzsMhuqFR
vOw9Hlr1Ms4+O3IIXiaBzIQDROHOBDoGd9I/vHHRxG6akVZuM2rJWZKk+vrI4U1/rvKSh+sYD35z
12HzzvBYEhnJr6ZJWctVRQX3si8nOB9RYgoceSqHC7jvS7Y34axK/0rGmsjB4jWsLnd14tVkTDSa
tAN/6dmEr0RdaXHux5wWdyemgXVGRL1oezhlYcJN9to3fK8iTYFiOROa3j62EP3JQXdOO1JbYPV8
ZyjjGNLQGhWrz4Wdw4bf0iqNnkvB8ctgTtdPOXoM9h6sRo/JcFF0jvlF8wKgS2cVtmT6OVE9eERA
gCU3Kx1491TKudVJznPrYln6ZL2uVyyeB78Zi0MyJzXDe1vzztOrQiZEI4v51p1njnO1Ppoc2VPM
C+CXQCvNV0KpGDKVmDmMhqDG2itnxQlLVUBt6xRtFT29cwsJXXfkkbbQPh5Tp90P9F0Y0ML+Z277
+9yGn+bfzG1fXC1p82fB1NiYpP9tDbJ5GgIjQbzbjD7/rZia4geyJ0Zcy9Edj/9hNPs1tWkmc5sw
8I8ATjEExDH8cL8UU83Sf0Bc1pFKHV38BD//dBbiivolrmOowpT1j//+TWwHEfebZMqkgZzPzOY4
luW6Fgah3+c2rluv02fgewpSdNTlhcNZUGZBMnlRgbJ4iU/ylp3+jtNYeSx1U+1UA2bJ6l67aqQJ
eTzp6K0KHD0dDk4x7k2gYUFjUuLaiZmEY+ZHg+/fZEohWjzF3dt2RExmjG1JfrYw95SD+zRuHdqt
rS5hdt8vIlNXGEX2QlnAwcSn11kfY4U3gt3mnqata0n/6qjI1tv+ikEdoYjpc34EuYR+aDnw9yz5
GKPtpAJLcBb7PPfH6cqqaWPlpBWBvznWJfZarb92CwGlLDVGnuXkrGmWbEbTjloI2lHcsNZMh/6L
yuRXjmW7IvfSjTm5Byr5Dchn2iN70li7vudFeeUW/LO0tqR7o0PmE/mr6/qU91iSlpX6W1vzJkTV
eZayuh6Wqg59vQdg4bPMOdoAQbP0cda68TXXHbwz2yA00KSzNaKZIWf/CUlg4dGWJK12X9NbChQt
QAImrGaIW6+gZaklsx+2a92GTrc+uyUaNbVEB52zfGlZlBrP6TnRkD6wBjrzsunGHs0rIorhalK+
btAX54MG5LT3wiOvhLI2n/lFIkKl1xdOgwHBkDLbzWirO68wAclNcX5A4LxJ4VMxuxyQ8WCBrDd2
XF5YsrrEYnLWSxQhYK13cshvE4SCUEsA7yBmhZOtiQ8aba414Z7NwsMs3PGbQZgycqqlO2hUDEdg
R3xePRVhI+4VVqTYi1a3Oemr8rJknmCKHK5pBLqDCKrdFRInWU27VGBMfn0wh/VRs5NziizusGZ1
mNi7d5ZKeujMlvGtIU0xIbrTySh8wmHszx4zzyAqZHGmaLLMOsUrcjbk+borZ3a4FQiIcEFZDFnn
d1GR2OSO+msp42/G2Qt3aJ/ol5I0atp06DrFVUY68mjZ6d4chdjzjqIsIHbmMO/wq8gF444PtVTR
0En0M1DLcLkIECaqHXVW1oaGn3S8tTMF/K0U+FyanM/Vpc90kQSW6SWIgRnrTF7Px2LAuV/6D7pW
XkCSojYGzjG3ICXHdICeUkE+RMuQv0yDUUSx7HDjWO0jyht3o9lcTu2ESkudww5T9Ttp8wsSqczB
ws13RBNofYINQ4AnzmifU7SUhhUMroB2esMM2FCfazlEur53lwMwyAr5iE4UQfiEcaX8mKCmBlTK
IKwozeG1Ppyjnzy4cIYjNVUnoL24wVMa7RJkTYxcH5QKHkc1wPyLHeImPaBZWZ3h6Qs0uHSUCJnv
NYRe3AdFSCiN3rKMMCfJiRPcYzIq6GLYcA5peYX+3aFXUeKpbupY2/v+a250ADm7/COZjuNg+WQZ
5XVqY4KgLXkMbFvWx2FcGCmHXCR3ljm2J5w1uqOrUSjBsbXayZUmRhNewul/sXceW3IjWRL9lfkB
1IEW29A6teIGJxWh4Q449NfPRVX1TDGbzTq17wVXJDMyIgC4uz2zaxwu9jWssW/gbPvNaITGcx/U
dw4lbMx/Qg50LfSUMnIusgmgfkNbfqdOLVm07FZXfUGxpk1F93Is2a0EfYfnIyiJnYoraxrOFFEf
KgONkJ7j7NAZwFG4na6xVByBLB1VHnxMXnefpv1jXlAHR05lVQzaZ+J2JOEKql71KLyKXLm0KbKx
u/HI2ZATtDO2tD+mS5itFi8ktJ1qqA8fya5vYQIUZ5PZg8fAeplEeAZEvxPg0GK/vaQi41mAxrRr
aYVeYCY5wnw5MD0wV5Stursp0E9toT1XbmPOc3n9MwXxT8hsxvKYfvqGHF0cdDL/C2MYaCmuB7yP
Jaj5AjVReXT0pGpwNhzINxQK3qHyvxCTEaO1K6FHE22bBTo7XzcddMEpy8f7MN9Poub53Rpd8whl
Vp21yOQQMuFfLQ8xCDwMEoDVYf6SDewdu9+0UGpZH3Bn9cYk3/WMx+cIa+icufGVNiN6uryhELKN
47XMm2Gje9FVX7yaGaUHOCdS0jvjJR9t97Vr5UeC4wpUTmwt7cbZ1QEFpgL8eIMKGQoavBSNgLF7
gOC79IzkgtX7cXKIvMZdcSAARZEcD1+nlqRQ0IjduYdwbD5HzydvHOVHN/TDvTnDmweA7fQQSfoL
ynVJz6tbteek8R9ql9VgHnVk/YduVJTkksjGP0hUJD7LSP+sVf5Akfu0FnbtbOKai0k4OdV8MXPL
hGKrFZJzthmbEOgmA01sYQaxn6rdxXGQbKyaBo+m7W/tTn8ZEijw3pwCEvVrpmvNkrZxYj9W5m4I
6WbnIGAF6qb+JfFCcjqeArZdqYTzWeNzoRMjwslKKCTVUEpL5eo7s9RAVkzTE6gwmqUwViwcWbBe
aXB8CazK3eCIDtIynMRcxOlbkkbdBqsEKGeiew4pdwIzMH7FMnYTuh5w5O1BVGY7DRzOUwIo/3EW
Pl5GEsY3FKKv6SSm/ti5mq3DjsP5iqgmj947S7OfijJT96kOwWvynkrpNHt6ZuwNHldSeH0Oekfw
kNUyr2H+2aBhgGsJlOcvPOzVILH6Ak8bQlQgDoMOeqysPnvlWqcQAWjFgIMo++hQ5ksIp/ScfWFo
+l0VNU/m6LKWebeh126bvrOe7AjwLHaZsxWR84MiUR56g109iaIZk8lqmWdgXBEJOQuD8GfCRa/V
FcCnQxzo+3YwOd1T+2qSCnXKapeEzqr21IrykGXmiVNB4j1FLrJz55HueaZULpm3nEMojqFeBRsa
4xRMxoReOF/uxsy4J7rAHLzoY+LNRJQo0Lpi5rIlE8j9CMxcwkPPRorYqDpNU3LIozjprbYeILVQ
CbiQQXjlx+1dZFrfRrT8YMR5ldcMxfRNYtsPkHeWlkEX0pRqq4A6Q5jUHPGQD9sARE9skEzGYj37
QXMN+hFSnW1+mmQyhHkqdX+VBCN9ut0CBWlnO9dRmbznpjxOyp0n8MWyG9gvRdwIXrHytGhbhO0u
JBAnKqC48ALYdm1a1z1oTUOpLaM+9BAtw3k2t4TY021WMsgUwGqyAtYy5N0HBAKd36TnbBq37a5q
+0efo9qK9jxsfaN71c41fo7+Fnnu0dBZz6ha+E7B4jkhp79xSP2GpdqBrt4TrL/iombLl4jlhPvM
rYJNL9w1qdhdp8Jz0tZvtcJ/199Jm0yTClfSuhMif+lk9ASrZCsbf9MF9X7S8lMRaXuPo3zlFKtB
S+uVYH6BIZjJkdSTDfXLFlj38bvI/GcnZ6ni2ZC51QuU8U9bD48wTwHGi5NKaIQ058ZEMHdQxJxE
bjOn/+j6Yp24/aGzu5ep2gV6tBVVxG6+3pBxOVnZhVH9N5L1JxWddPuWCtIbMQTHNneWtq2wO6eL
msG8qyP+hUQtY4MHGeWKx3q2ao1Re26z5NVlr5sx6FnWxHZXjizfzMrcuUpbyewM8yxE1KrAg/vA
RCVw7cWou9/LjAub3bQN295DwAnOVSWusPredBoR/DQ604C88DL/2hmY1te3lmK6ohcEi838iggD
rXaVedaTcdXUprXqNRaTShfwP714H4wvhPxpwsufkgTPPRtVRxlHIHuPtOM8yBKH6UQV9no04GHM
bLWkvRaG/pKQjF+BAmtZEtrd2Fp4N987K175KdWdA9zl0tcW9RDs2zJ4bFw2L1XTHsZa3wymVW+p
KLjpLOOhks/egN3CDd65ksjmNtmtCSpg0blxuOAwMqNk+rcynogjyoz4gm2fy1Fa21IWu2kwL5hP
rgH/UEvIWLMGj4CqA7Wy8D7dhGrIuh0fEy2YTxTx0mcZi+bLsgteBvZKKUuZXmqnvPSW0/Bgeeib
tP7yFE0gbtjdbQm7AfHwqiK6EJntMWMNjLXBhyXHEtAOzj6cQibm7kvXXWFpvoxRfbY0/y6g8C2r
rWc7bBZE93HYN3W9bE350E5vmfuaOtrnZB0TzbnW3bVbof/w2LsZQQqoqT0Lgpc3tUg/YICfhe48
EoUGgGTTaIufkgz/Mg61i9Mna7wEB9PuCH3I73DDboaoWwv5DHj6M7bUrsDJEyX6cKGQAPtreCUr
pg+qs0C1HDitkdRvUJ2ylD8DzZywWo1knvu6H2UlMkDaYq8JPHmzSW+p9eqcS22L/28dgQOH4fIt
87WnGq94NqbDxtGZ8fu1mcx2ide86PdaH10cuHwEXHnYWBzT6WvoDZxIBLKxC641fea99t3vpRTf
wSgvpBnWfE36XELlrz2Dp3nidc3Ka3prb2DhndOaoD38+1DGL7KAwAIN7IRafJFV9dhNeTF7kPqD
ZByzDEfn0S4mSrQpO1hZVvrWSPtOaJbYYpV/jU32kpYvqi0704cO4wYBt2qvFUjCrVY/A/R+KTKC
mWzgITHHQ7H0+vS9mFkc9TToh5B2oc3U+u0i8d23qBe3uiqdldH613WaYicK6RYfhbpihHSmMfWS
2Xq5SFPCzEzDuaOAZUChtFywGYFaAJ580eDhrjRlFzvPj/ttSkUkg+Bh2uoMqjZJR1C7lzRlxsFA
MYybloeczDsfeRI+GUZ0H1cefUxJP8w/rb1Cxu0jFjBth1K/4cvpFrXmkGgwGR77LaK1ZbfHPGQH
j/n0Jk+b5dCbt6VPsNeFkp8oOpscegME5dGecZ3D3gPpbixHj74paDeZ3IB6K89eYnKYqFIKA3zw
jEM3NhvsK8HShWR/l3REy/lIIdoM+9EkD0On6ADlfrhuwgzNxu3CUwIQpmB2oplHuy1LrKuyWqRB
Xy4TTxr4LDDNO1WVfwt92kdcLSH7O7yTUF5ir9yMNtdG5j0LzT/1METQeA/Qqb77rLXWWHyLCQzs
xCgyntMp9VTQT74VSf8YpuVes12O7hGpfMXShkWcWb11Mjsu86E0j2xNcRjxrMJfn8Av7BZSs0+u
wxPOM8R9y9QcDCT5DbZ9GrV5icTCy8nDYEBWORArR+FvGJEnr0Y+GOsh6/JtwNl6GzVoMCRcenwC
Mg73SZp7xVqfMIzVPqq+zt3H0yM8plF4HpVlUQUxucso12CGe+Yjpre3FrCZMRjHzisvNleir+LX
iEut9LT7xKd025DZOkwxVNTUK5d1xFjSYDQCAiQkMDE0LMspWHJqrTP8/mG7LolSmbBMXaM/RjUl
Y3Uw139rA1BgFHnhlOi41iVlq1aY5QHc2KcdZNTUdQfiNLuuiI+gGICyPQCDvO4odcAPuWl98+DB
S+naHAyQDRymU9/CIFmqvHirs/5S5fExp9DJawG8jDeQ668YJj5rpTzJrILQCvlCOMsiSA6OD85e
zOVpcClqLV6VWn9iLHBNiAUlqYW88wTm6JZuFbGwses4vnxGVbD3HltiNoxCscRqNhKBa0WbPGqM
TZ6OyUmL2Z6G1aUNzQWDlfEcDt1VbgY33Jar2FX3dgSaf9I+bfZ9k9USbKrAEyiitGVyy0gyuHQD
/MxqDvDQjrHCTjYb86yVpdV4esqFHsI1NoVx0lLcnCHrFDZy2kFU+tCpCDmr6oeDipOb0JLx2tGr
aJGV1aXpTPIe7XQ35YyAiXIsIdI80RV3RRUDCR1hsruc7HIJ8uM5yoCXLEwyDoGq2RHljyaJSBw2
SBC5ZPveBpsMkhQDSqZyUfxdZbXYh3ofnMtAjkg5ODM3aebvAMJduyaCIpNfmFAbJfxHO5oezIAn
ZwfY/hhO3h7jyRlhiClbAUq3rjGlcEpMk62ps8kxZZrhmId7FU8QqTrbu4vK4S5N8ucOes9/bRhE
iX+3YXjkzv+znH9Jos/6BzF//vd/2p8deHEwhAKPGTiqvI4x+g8Phv4bGV/i6yQcfdOEuav/f4Ld
tH7Dzo7BGQeOASJ4toH8Kebj3CBOQC2Yyb7I0/F1/BMPBmH6H7R8D/AzLmsgm3qAS2SeK/yo5Sd1
NSZRJdbA1szuWKTEMJY17AU6wqva+cBDgmletaHu7WgI66qlUBArDlYhQm1rGZy2lnHWjdk1Xrku
P4QMJ+0PwBtJdd37lnaBCjNlW56CNNXYlJI/5RLq9WJwh/LdGZr4TQ2pfw64n3yU61zGS5eDxaHV
axG99aYx25cpCTj45MK4qt0Q7HTYgffVS/JroVHoQ7+CpeSxngdoMcF+rIlfncem7hTN36p5YBTp
Qkiqw7pYmCmK/XpSMQcCJ2KD+32c5OidsKUZC8h1qdz5qeula4lDJloPLnT8aZXmsa1v0VTcelE5
DspUWeVBVW44Vna2j/NP+B5Mmb4M7F0xMoNYNyn1dt/8xuQAmjujZV1c0Vq4sLs2JZtf0NvNVgTn
n4XM7YQfbSvapyobictUY4hcM/qlvmHj1qll7/rd7cjkkMx+RYXhilhIfJ21CsaY1WryJISdEGgz
q6pekJgJSQjqeis5z+OfqFNp3sp6LDZNFNnHkJIOAF9j/jwamkUDkRakF5oWfH1pceZ8Fx3m0GUz
lPFdoIhVYaYNdODY9MYUODm/FVYkSa/kAZQiQyTgnnRZ13sc0cg4WQBml1SSjhXDEKF9Ya6vJMdq
yzJW1IC8GExsKafxJ8rsY2wBYzNssaFYmzo23dtE2vLdNgOErLoi67qAyPI8Nka8m7i/0GoHb3pk
o+l8lDRbGlTz9K5Y41rU8g2rltEujRQ/sW/E5l3BrhfWN3kY2NG0APFZUe1L2tqyiNbd511jSeYt
ptd+w52C6R4DeO+fSrvxYSm1jjta4Zado7JeaV8qAgODQKCmi5xgMmF4bCSRvIQw/oWaMSOf74tM
bHRli/tpdFIW4jpYOcR6OkEwOGi+twI+eSDRIMcQ2Rr6yz7q8nFZanhM6wSZHRRhsybKe8pVz+CK
oexb6tT30PkZpUcRA1q2OxHBX/+9r2U1A6IpQKtIbxld5+yyfvI3NbDEyJRwYbDf72BgkduMAXjn
+iP2ZWsrbPjxU59li5xB2lav2tMgg5WBr5hQJ1LpmONMUd5jqFtrUSY75TNAME0nQJlhssXBgZHW
pH+ooXyeRvetcvNjgsgwDW60sXvb/5xy+0OjNSX1mdGMk3lXkhlY2v2E+1lk3PsMC5igmCtrDAjk
pHG+AvxEoTrbSjhrBgzLPlq5AwYuArVbKGxXE3uK+fCllviUo8XU9Mlbx/d9HMJgS8H3KVAVFw2e
K2SM6KkR0YEA6Te78u76FCpdn+TfAmAdK1AwPkppe5FeGr2AKrgB3Luf0s7aEQNg7tHWhxmwt2yk
dhXFQOfD/CmGx42HfipXBpiopTL18AEjunurpHxwZP+iFc1VP7EzUA3BchRuZN4zftzigac6mb62
Ed/d1NA2ohfRknA2D4vBG8ZDL91bLJlsZLoOflNEgR7ekh7LOpJpndvm2pwIeS2S0sEro0/JAgPt
tGRvZBI2ycGr0R2B6tbKXZo33xhHdJvUcT/8tM7OFfCsSxnUyFhdv8J6wyAodIMTrmE+EQ97/+go
/6LTaoi1zbmtFdb4XqfMCbtmQDTipgkajAekDSzh7DHzkPYOX2LXfiuh+ZAuJR+a28NTM3DeLoY6
3EST7qwp+onP5TxfyZpwzaQ73UX01iCh02laV/XBkcrmU7DOFm54vGFmemg9jVB1jJHXJfOCD+GO
wP211FIeIZKjMnCld8fybzmRVwe3y+tt7/XPCBXFXS2sYZn3zNV6HdBn0pi4bMNmR1pluPg1O8DI
Q82Rur5KrOrUDIDJTNxFDB7SFwIn29qO3gpcGfddb1/lBagkyovwHXKZphX1T0Wc+Ku4YZbj9PWD
GtqPwmXqmSXHUqIxVmP7WAjrRQFtWPKw0S5Dw3mWSw7QuQYqLCGHxjjtodEHhgG2gW9wOov5Qd/n
W48N79JQkM4yF1s9dxSI6HCLmknVpiF2FJ1h0OnYyXN0Fk6wykeAWU2lXXdt9wEw/TBG1QU81V5N
urbvSvuG51txgdgRLRq/SdBoTXfhOPJjLIcHRy+/m2o8uJwKx0pGqwF4RpeMASMITrlz4TyW+Zle
UHOvD9q+qOyD7FTzRpXaWoacH5np4GYyHWpk8pwI6lS9CzFeF7PxL5LNO66/ceXHSXm06wTjYs9x
u1HmBhT/7dRiFfZQU4su+GB4ddVAoLwRqXNwe+88UfpIugTXS1HuWNozckEhcRr/vdSdpvquN3p2
3wguRowAudDtRYq1LgXxZpGhFBPjbeHpmngfqBiD6x97FqkcDO7GIz7skZIArzEadEKTa4oddVMN
7x7xfQWHq6G+rlxPRgEBz4o8q8VDPfnJvI7Btfa9e47sWU+7ID3teNEKjWY8jGSJe2P6hQiqjY5h
shXfTQMWV7GveGQg17TEjFwdUmNKVD+Joz4FO2nZip0T9DTzmBjMdb7ZOl203jqsy8E3toOeBbm5
tThZOek2tIQ5UPncUDW1jSNV7khUdeYDX54pOpQvTT/oI4HZYayGG6US/a3SuY+AtbCHRHPrYAPe
1eRPhbMjI0SeiqC3tak4z0bOUwb9imwVlE2gmXMuXL+hhys2tTVaTa83e3vG1Fbc3Z6jUWudFils
Xx0za/EcjqZFQFyIB+yEfa5dJTo0EGOPjYg5T5n3qEdx2nCyYuGDgDA1gkmybVfDibGjT6FUmFSx
fWsabrhKEgd4J+a3qEq3QN+dKOZ76NXWDNKJ8y4I8Lxd5aFVj2dsHW2FgcPInQKbPk2VPh8vYElI
dEQqPGPtC6ssUPELizZBP/d4LmQTCw21U3WtrlWo1zxka3bXN2Mxjt7SUlWxhYU0WyUCEg10RNbf
GhaC5MGIlPDuYF820R6AixRvic2FumYLdY0jMGU9mczQqzdQC6NzrNC4VgXSP3PxPpn6GCJEGsu4
7LaKeAasXpNTL6OSmhP/Z9frY3Ld49xvnhtRoK6EnU4vclyxLVtSjEG/mJ0kVIGKfJju/cix3Q29
HH16NflWjjUvqWufurU+6BCfujDeZj3yIwP4Lh2eysJUt2HhUE0QKdeo0TwlVJikg4l2iTugkByR
x6TfllgGJfD8FPyDBWiDzru88rZIN6nO7W3jSGPLXNBFGrCATgzpEYvDADdGzI6GEFZSFAwTAg0r
NCgAymZB6KimKlLiM0Y8XtVjVHqbEJNavjdkadqPcd9QDlj2ONYY/EwqWMMcFoIPbVZ5AbrAwhQJ
ps1xahhGam79TDtBsjCJMeL8zfJD0ZhUTDhjs60HOT2ZHNxf2jxt2atZkO4CXCeQN7Z9loZkITSy
5rAc25UVD80+SHFjcDrQTkPgib3rkqnIOjCEkz2gnyqvuoVPCKFx1FqHiSYRTz7ugztR4U2Dhrnz
gG4edJ/HFu8SdAD85pVXE1fClK2ynctI4uhPUXb0cwZHaHZqY9F0eK/AiS6VTvLKF9I+a53MX7Er
toeUIltqID39BNik/l6OCG6MPx04YSEjiVpOAyY/UKZvPvnyfIFlV17oBUvXRsFEOkVuA3ngV8bG
IFXOvicxN7FHEL0KHP/dTzIJaW+edKZhfUO3IjVyRvHGsvImoewvgGmFSw0L43VluNkbR1bG17XW
YOrM8KcPNKUsFUvlvkbY3jjx+KYJp9/XSBE7pyYQukzgYCy1dsD4EfFc1KLM3VORynix6nxU+PKZ
VYeKgHGQzzjDonWQaf2yoEnvUTI6oea1OQatauASAXhsMsnpxGtd+mjo2MUG0lndUwCsZlWPiYcm
FMNJGl17N1TNJ1CDaKOcmIqyvrouyq44MUAh+jSDQTKfpTyb8rkF0Ms4jxWBuTLJpjwMSfsQ9na8
T+njxEDhbuwI35MgjLqOqGY5GBETwRSmzntRz+dYrxDnAmIPipABriNVOcPXmqNjz8iptzv5xDth
hzoGbbcVRTdykEzdvRca06UvlNy3Ye3xxrtha5njsOKdNNnmv77KP4SYX8dh7urkf06vZfZDEn3+
L39IMb4BTBDBw/D0uf8c6eVfUowX/EYYw3eJlCGsWDNW7U9bZfAb1j+clqDa+F86xM7/E2IQdki0
z8IOIoxNzsb+J0LMFxnGxlLJb+VQFWLi+6Qk4EcZRpahayINDGuj7pybwB2qY+Ma7JxUWvR/XB//
0cH5o32TWP38Wr7rYRUlSO8E89//pXQMSFaGBb+kBZXTOXtirTxPkrleyBT4OiPl/Ycw+B9f72fv
jfQDtlSbujXQPT++Hup9kJWeHNZKqGjFJrtgCwIOg9NZ/zcvhQH2r7yJ39+aN4MYndk8C8Tux5ey
E09Tpjvj4oMwuDY0Vb+14djeeyhJWFLyMDzXqS/GBfNs5a3/ovr9BEPxsxefMRQGL23ikP3yHQ4a
TYhjpXE8dspyZ3kU+i7KSS+viLuKs+4Y6lo3U3+f5mH6/uuX/sLZ+P19B7ahO7wNKmvmi/6vX6mJ
nKyhZQzrUEuxYLlFtsPfmKx+/SoGiuTXj5fwB1IhhzZa6cwv79DLGbWMohnWlAlnB4HP7kSDHfu1
ojLZY3JJRUkJldXNEQRdRRa5KprxmuM1nopf/y4/eccGAE/XphnIwdT8xYMcEqSna1of1uhO8+6I
0FjP7uH861f5/cf8f0Tt93uFahlufpRMkzLKLy9DQGZIUp/v1PR7irUKovyniZwBq6itjd/gWmBZ
wdJXxsQjXOJiLjXe9wZLmfE3H/4chvv6m9j8Hjx1CDDPuu8PXzF4w6BLGn4Tlkh353dF9Gg3vX1k
wY3ek75jFONRUvjr9/+zT9n2eCD5fOVQU7+8KOwEamSZxqz1MOXLDaJPYwyiv6kp+tmL8AValEoF
5r+/SNBIjBS5063BAIcLXHQZJwZGff/4rZgItDz9dZ6vPOh//Pzq1pZxn80XDET6I5ZBCoxxYBz+
+auwggAsCbgTff9LpNFEYnQ7XKKMGrNwpfxYLmuzCP7mCf6Ta4H6LR5yPtVHngEC5YdroaZmw7GN
sF83tGOvGT53kB7aRDyQDcJjODTalrhl8zdX4PxTv1yBmP09gtoWjxnd+fLerIy22aRWfII9YrJN
u8yMKhjW7Omtv3mOG9a/vxZXAucobjq+K3d+Ev1ljcoriflYTd26TRgWLoIysV59X9Duju1TtxbG
ZFfldjCIMeH3pt1gKbwx/TSUVFcxInAFQb+Khr0vjCz+m+v1J58D1Y2EZln+uaC+3hQkwq0EB1qz
rp0GbBeGcXbcbXDobTP+my/6J88fvkibFY1WIXqAvo5nmk7vlADCuGaKQ05Vbllf7mELHDDSnnBY
4ZoBwljI+Eh1efVPbxnKDulAYq9ERaVu+V/u/q4NjRFwmlr3c/sah9wCSivjh1/fMvOa/MNlRf2q
xYLCa1gEle0vNyaZsNprEtmsJ43ohpDQV2sdnHc+Rf3W8rX1r18OTu6/vSCrF2ce+LZMo7hTf7y2
qP3AHKenYm2OnjUXDuVotDp7CmCSMejJJZQw80NqogZ3kA2EyozcS5KdLj1EMRdmyYxf42rcmDQu
RAfUiNJcDJWLcF8YoHOCphPvYRQXBpGqcaQpNS9Tf0ENYGahBTQ2CiSH/3HWcTX4MtQKQsIToQEV
o4y9agshxuPAifqNnzEqrJsYlQrfsF/oj17qY3fI/TB+LlrAVgipLMartvDJHjS5bxqEMqzWWKeO
r8yHutYw7FHpTbudR5+OtXLBi8SUcUgxHicaojjwDVRLrEnK8gn0dhq/mzjo3LXnZuGbTDvtUU1x
cqhgFj7DjWjvFGLIHYcqrM4mShvwDc0LiruygwcEMaLFnanyJIfKqVEotar8jkeFpAWClHJk4Hlt
5q65Zev0+ZXPoBuajcjkdalbWoJY7lav8GFpnNXhgQHKYaB9J2Jq9JYh+ZjXsFGkA+owGT9VVBCP
SfVcfYaGPuttPHz1nQZgL6YWp0pOiAEQVFF3hbOm5Q5oTNUxOoIJl1FdnrUTOghpj0gcK8dScIRx
txIBcP0RQwUNdpoFKSaq53Bc54DpaILO7JYTpQpg7WH7uSuarwxw/TwBsn03V7PtgfmU3yAwgZGP
qIzAF0Hr0lvELA6fDsUG3lpMBcwMK9Sbw9yLfDGtwXtiotQxCHK8MF3rGRfMLSpNlx68xtRufC1z
jdkRzp7KGkq/W/mKzcgCJLEql5mBMroYfEV0tqkroqi00ASv0g3aHG2kcRHfcx/Jq3ObRCNBXtke
v/7Y4r5ujPBsl90YHjE1k9etJlCYFR+ypJYptdNNYDehOFqdpkcrwsJDuxrGEAR5FFn1QTMrBxYG
n+b9mE+DOPhQUEZKXrK6OQrPbq8YGsb2KirgRqzIoUvgU8NoLue+c50k5mDOvJLkNOSVUistbsvv
7AXGJx56MXFyarFeorGEwlTJ0MNKYbYWeMgsrKJtXfgpriVasd8bn7Ym7Bpj82rn0jEwALPJBhBY
1N9zngS0G+Yyv0vcgZ8xSDAC65jBdLrz4qbaOArD8d1g0RtPpNVPx5Up+GrXtd14w/WEtZxEB2Rk
I0YEIr0ZOFJqSykdRddEoyvVLnUYg85K72yYKWYFOXQBZC/394IuGi5kHg40OhMo0Ri15rJFJK9i
pkNDEGj0trTyQQIdG57jqFQ3Q+frOn201vzMiC1S1mgkU7jRKFUhPT1gqsdfxwOMhmNH31stiS9k
sThsTnbQhE8W4PeSeVUK/6QNoj+Zfv+F3IHbYKn4zz4PcBvjD9rC7//+z9Cm8xsRTgMVeqamoCOw
YfnD5xHQ/QeSkdJI2O30gM6AuT/VBcvCA0KBJX2Sps75go3Gv1weAXyO2RoCZ+OPv/0n4sKXFZaz
qG9Yrm1xkLFZ8tx5A/6XzZQaLerikK8WQ4d/MWgYYa39UkuuPSOq7xAth+u/fC7Xfyzef82Iftkh
sexxCnVwlvAW8Ht8rbeGJcTgu4uJMwBtX9WGra0UumVXMiL89St9DaOi58yKAooGKRzUGMv7sitF
4shTv2HOhY+Dc/A6l2Rg9DsZEMoemTGAqimXsTdjUDjADHpKKR3raFbnxqaoXRx/CRmWJoOtGwIH
3oGksnxMVL36gEM199Qga+5gdoDdzF1LXjygycsQh22yUsLJ7trGd7RN7g8w97TWza1TMCR5tY/z
AKxubEiaqoVWGPNYignPxhG9F7E/n1y+ERPUbrUrE0WUhKZtqiQKDg4NY1WfoJWia9W+kOgo1LXA
zW2uGSiO2RnC/fDeykQd62SS3muRDsI+ozZ715GThGccLQQXCNElS/qCip7pi5KojUBMJhvTcBqp
xiGXn+XiKk/18CzQlq0Ah2+m/EUMgESOKzesnbnn0MBDeXIKDxKEpqycSTJ03pjABgxZPhgu7/co
6oz8pdTiBvNQrxVpdRzGlqHLAHoRxkQQjoVx9ONqoJnMGUD9Qx/MjAkoemS6Ciy8nhKPsJi/+aU9
bHNR4MRZNAkELfYPrQRKX8VpX52dSCvLe0SHsWeEIvDiAB2s9I59UT9kjFEla6nKl14SWgHm9Z6A
RLNB0BBEXNxBA2eF/UKzYov5X9UH1jrTVT3Zh7TQmBwxj6zcQt0kWlF5+UoSqAatovdhQXy0sO0R
5p6IHW+69prKKDOmzanlFVdT67X6bQiPqniKUiZWaj1CeCfRMuHefs1LhPWAO4/d4A1vgMMjYF7V
Oizdha3qaunIWACPYHTnAPQ1DWesbhlCquK64AB0FTYwhDfKSDqyGPZUP1URfqBt1SlOYrI2hbbi
e6TUzkragFlAUsf0aeJ+pFygcdNi12XQHJYDKa5oA6m2fp+Bj9O6kW3abSddWtFjWxeCMCk/Tccu
PiLuRFfaoIN76tj5l4zv5zpsSsohtlUe41BMqQHLKQ3XcB1tLfKDbRg4yc7qFcgK/JPMkcuCmKCX
dZiZCWbzgZUkrKyP3nB6eegVnXkXw81965R3Q4WRZOxiC5OvDgsCCPjE6BLugVK7sKrmf5oPVrow
uSvMi6tlWC2gcvaus0YgA1lDCC/Tdyn5RsZa5GXkpy5yO5vdGGN0VC4OKswbRv0G0MChH9NJhn2C
L10/SI1NyOy3Jpk5HWqCoU27VsDLkPZBaE3sq0JO1W6xEc7guMsm64puO5/PI4iesTS2SumQZ5tW
loC44lHuzFG5nB9cCG+rMIGxg60lplGrlRr4Tt3Br7IpulZf9nXqlDtS966+iZqSOLiksFNfW8zS
gusskIHaSUJT95kRmdE55Eb2t05ltsZdNNhcvmsNplv6KEQ4uDurGSQRessunSplCqtRX7eUAfHG
s+uX7InmOg26NhVZiFXLpobf5X/ZO5PdyJVsy/5Koea8II3GDii8gdNbufo2IiaEFA37vufX16Ii
K1Pu0pVX3NFDoRI5yETmDQadRuOxc/Ze2wxVZsDMn4rzmSoa7KANJOUGdXnwI+N4jsRvMlLSMhPQ
G5BYAn92XCCsGHJ1ugu1hHhFwyyUnuCZrNzHzMcYhkw9LZ0ubY2OpLAME1Gshe1wx6rsreUYUBU+
4MrET7TgSEChjBuYejf7ShcHd8GmKhwZTXjuhNRuvUCbbLTG9jDm3xiljkJ81fDvzWNIiD54LkAM
F2EGWIQuqUCOREir3fY//DLLahj1HQz5vH7pSsMLdRIxx06R/Y9BBHVaPrx+kv5/ffQ/aaq/+Tq/
y1RehNX/uH9G1/JWC/v6z/yukXQ5RzaxjE2O3sw65jT33zXS70LIpMMIbwxUtBD/rpGE+EvlXwir
LJgCfC0on/5VJAntL/4c/kfdpvYChWr9SZF03NwW6GwNBi+MRehEMqw4KiTYQmJhTyO0aKertReP
/09fYxN2ql9eoQdlzdGdVgXalyhuNGgJcGF8tGhdhPzXrZUu9tcRdnzjdw/2j9bTp3lK85/075Sw
/x7ZSK+BQX9fSV88t1XYhG39dqW8/jO/V4qJ/hmOCdM6qCWzaJqK9fdKMcy/WDiCclmfg71o5f57
pSia+hfRRxalNtM6RjAOT/BfS0UhVclgzdE4p6dlsJz+iBp9tFZmvTZK6RmlQkQTSUzzSn5bUU9R
mZDQaQ0umaYaji5reABEXNGDb7EqIU9EsF+X5jIqGwD0DdKk517trV9lGYy7N+/YB7X2YTfr9a+i
GeTbSWOu8d/NZDLgENh+CU0iOAHBszAnnKlhu7WKhLWaSugFse1730vqhhP9wcNzBVoX3dRBzVCt
SJWpl5ybuG/OFZR/FDcwAJawfB8JTp6tqMPPiMAQRIz6iYvNh5T/tAlfL2Y4ILqhE3Jh6RxdjMg8
kwANm2xVBX3ZGLTP+JXiE63djy+CIH/eothXji5CZjCQYUJNlyINNSx4EfRY2pZ3nz+yeXUc3Aqd
R5snxegKYI89w9Lf/m4FOqAcbGezjLv8xlA4vA9+eU8k8k9fm75CLdwx3sHw5Zxofb6OAY8uTDnO
Hko3WcOQwMvz9sK5STgs2iN0VNTD8AwTqZwbXYmZ2e5D/8GjjdOsPYHBDjag+qx703QBuMW5D6RH
67Lsci9dtmjAliSiT6gXRlgtbpE6w1OoE4ZKk0SB5MNhB6sNM8GOECxzaly7HvR7ZhX8QVUQAhvo
AIdWlGverszG6RK2BZHg9OHQJglRC3IdKwVfTddSVO6w0liI8irZGi5gPeUxi/THip+MjNSqheWo
NS2aL6KWMJXrMLsgxJlGM/zpAuRBMwN05tO8MLTXPeHNas+NglC0zm/nLM/4QlHxa1WhY524yrt3
itkRvWmBCp1ugnP8TjXhQF8PlSJi1qZcOriHF5NKPJWcHcMIzTL387U4f9UOl4TOcMHQNQMzCdla
R189UyEArQ0qUrFwPRKplNHLNEsadkWkEm2V46kc4QN/ftEPbpKxDioEuiE6LZGjlj9ZU8BATY65
VtxeA1qLt01AUHevO+S6hMmJW3z3Us+fEchXUkODwKdj/tu8eXBqASDdRxKFA19Hizmo3YpPt7H+
/J5ewx4PfklCJUGPGuzBko+WebR3UBKIEG2nsyQiZ3w0I3q8K9ycNJuJP7bv7a44ryCZcspGm0Av
lxgc3OJUNffm2BlX0JNt+/ed/1Hp8P9mHsU8Jfr7+sJ9Tl/yH4dk3Pmf+F1d8P7+ZQoUKYRRUCWQ
tPh/qguOBpQQ1A+/MxTfVhea/Ith3/xG0tfiSZj/KS6oOyQ9PFi2fIcJsuAdOuKpfcZXE4fL1SIR
gxaiTagpPa25zJmba2+Wq2BkMkVD12zjKvJ3Hilv8MRqMp/TydiXRddfZz3gL6iaybaB7Li3oty+
qZvIvhu8SCETqU+uSzA2K2qY+rtSJsq2tAiJipsazkZIqvmqdCrjphMoJ8hCv58Q7qzbSiYnShMK
8Leby+utIB5QdQeZEXd0PDFuO+KRkfjW2xLtwg8dTgCcozzf6X0brfqkb1agEuJVro7GXueuv+QG
bXeVVIsb6GnhZhhV7XKkw39JntUWCUS5LehkfUVVrK1C/JybSmcwB3Ypm/Xx1de+Vvvv9pyCnEdm
vnPI7LiBIRyev1lNH9Rcx+Pp+RlxWNB4TCwhpD5HH9K2ykuaD1a1rayI430zkDbBqHBVDEj2Rw6p
O0+o1Ub1UpqLfR2sYTjGZ4WvmWcmHPJNG/kIzD//S73/sQ1ps15gKRuSM8zRNkeUV4Q0Vqu31nyF
ynEiIhqL+qJ3erGezFZx4zA7NQv/4KKGgY8RGQKrn0r9cLEyjmkbhjrNNuVBf6WZMs8zJ20OB6OT
dh2PWbtFx26f+kx+dF2KT3OO4CU+ZtbyvX1JUKPg3pu4bolKl07OlJ/1Sv4QDRWrQ83rb6GS3Hz+
+2qoHA7Wsw3yUOPogFNSh+tmg2I8vKpJwZSBpO23SJ3Ockl7yJ19WWcjDeQfLa3A7xZ48689dIJ1
k6nkGXaiuK8qGZyrzgByJW1Ucu+0HhJwj4znQaFMXOQhGrXFRHpwtSkKHjE+4Sm0H7oAo7Xhh8Md
DrcStXP9vQa5tM8CE6JIQJyVgeRoW0JiTDhuqPVTiwgc9k+5I4Fr3IRRkN170p5WetT036AB5pvY
9K3nJLYWfHRDKDQSobZeC/+xseiTgCDujHORFfY91UfAjlHYxoLEphmAhSZnxZBLhzk3zf9d93Na
XTlWz6UfhS1oKaxnOfvZnqlG8sxbJ1d64TTLsqq6ZteQgKBsk7Hrvykiro2lrUoMmWWK0joDR/xM
WxnjHT/gIN0wMwN/kWdDeOV0VHJVOzRXwLqbe6XAMWmykPeK05frOio0jNQxs750EKso9ayzEc/W
Xg2Y47opAoDBDRtT/Mhh2TBeT6ptHfQdBk8G9Z7nVU/QjL/I0hQmsZYliHp4PulNaY8B4Mm4vU9E
be/zSs+3lJ3JgMufN1cPKtrPrQhuiJvpazwxo1W7MICZvWsj1lkYW+7YZD9rkRQXoMqTDTF8uju1
PH8rBZCQyay5qkNy3xepLenLNXkE3HCCmOgOsWac+UHk/ShJ8Lv3lNTYO6khSHoYCJkLKgVEvxmf
R5b00QD5czBuoMX3OYQz3DC1SV3h2Q446Ez/pjWhOEeasowBRawcrADwanAPmWqzbZR2uggHf0Nd
YlxnBqP8DNQbaBM8aAysz5QheIFtdj4l5Q/HVIK14ydXus7GO0VWvAI5BlqRzI9bGuzpmoCK73U+
Se7aspet6O90Iqn9NTEjRLs6XYWFMKZ7jz2Atq4RXGvYLrZErXcXWUvXksZnIFxi7+wljxkgdCpz
2vWBh0+gjEH+EM833khiJC+9qB2uc1rDa55Rc28GigW0hIdBjkiKZo9nyTs4SSfnaTijt/Nbs1kp
YKndsi4EVB6GIK5BmOcWsJtyZ02q/jJEjrJFsqBd+zgsrirCpy7AWbYgr/Se7OFi3OhVlJsbR9Gi
68wrrLXQ6vDK7Cu5MYLsh9dBRBBx4K1idoirURbKt0x0yrqLp861sy7cVoUKOnoYx59WPSJBa+Nv
oVN6gP7gcWC3qXOVolA+lWp5VZfKoxjscTk4HdXraAb30K7KMzzMzR14ZmhCQfa9HGNnq6Z8kLYV
XimcbqMT/OwSv7xqW0uFTkayyAXCDVJQNKuCSAg4m5N6zqybCXNWh2djBvulBfSTFNl1pFkAX2xF
jxdhOtGwLWyxGsqat6fuzCWOTmMtRJR8KTtnzmrm3ayxJaaJtUAYwuGLubxKm9hvlGWn93qyrHAw
NXTqNZREbZ276ZgF22wGFZNPGixEaxNSMVok8aptQlM6886j0HYQQ0jnrGrxlJ9rupyekJ2Ybi2x
fg6Vet0Z6PXhWukqf2pjnDV9sBdCH2NXK+ejTOiDqZ4SuBBYd26gUJGaYnv+FQIFvJT+cDZkxkMm
/OFan5RzMcci12g6r3q1HM6klb003RepeDgXNLmPxxAPqC3z8JcfK/d1quubeeK7sTl1rixYuS74
83rpl8VV0bdMx8rcuNeLwSO6MUOkk02XWMR5Ajakc9Fp6Ubjq/V9zPP0ytQJmebMHpAF5BGktEDY
AwUNCV4W3bNw8c1Q/G3tyvAjmFBlcxkz61s6hBcrmwLp1lnIaQtxDVUY0Pq8ZOwztky6VDA1t5iE
hwe1gMSlmnm8lUrmAJWqF8IOrD37GmS9dnatBFieAKZgA0JUAlYTDP6KR5k/ldhPbjynTlek8GCe
z4RFyJDiVLeyUi08zka7Czpe+tZb2dHAXCcf63Otk9mmQTlxOeXeuGHuckZP/ilFjY0+St/qY3bW
xBNfoSnFqj4ORI8uI22CaVFEmFjLcBXhZnPn8RKPQ6lWdZP3X/mWKJALR2XndHw7Gy0bLxTMpiu9
EteFU1zgtXsM2+CGuEoQezZgy0s7zkC1MX/fIi9x28jRbiMkHwxxm2Q2p/CJSPh6ZrUFOrBFS+wO
RU/JYihdvfIVT/sOphagpQ4yHa95ekvB+lA1A7gg0pg2Pka6G8E0da1ZnGK7hrzODOXsUq26YpeL
wjmPOuxlAXiwhWV7KgwYs+E7o7q0HMKzIRaPfprteiywEfEpESORKWPb1MtfYW8bS5MQIHyIktCL
otn74/Cr9cKbOFUuWqaUC2khtcI0abuGrrQvac9SaBKz2Yy2Fl9jniNtvH3pC0/ZmY6CpLI+QyfS
u2Viv+Ah9Jd6V/Y7tFfmWWCWxp7tljiuVmtXEBxL45eXmibj57K7x043LKPGgWSj+d45ZiP631kW
LkrRY7uv9Ru1V8wv0dCTpRaZnE8C4jL9ookuGR1NGILtBQA1FYRKR2DrGJCkh4NxQ4BUtg0DePiB
4lwXtvIlrxiRB9OznXTRvmQMH3Yy2ZD1jIXetuybEM3e2se65RIm1SxNJ9d0N7KC/hugSYFRlVyk
SbcewrjCMdosccQ/W/SjUCZNP4q+ugOi7t/YPjHkNHtmulu96gzm+jmJnyVgqou0qsxll4LJKjWI
lCKeSvz+2IGZsm8dcqQWpHAL12e+vg2KhuDQSAbPauLRQVOH2vUcm3SC3nzUtfjrLGzLrch8hG4E
FIkaqbI9BEtpIlyrHCO21r65IEzrGdXgxNy/MFwAYrcIfB5ESqqdpyX1FQ1QcgtUDNdmPDtjg6ta
Q2LQV2ZFSFBB8ixeqaKSbtUEZ0CK9yp8Kh/pvWJSZCEZ5DntahpmtWqcRXb4RVWzmwq/26pA0baw
rB7FxugTRtw7X5sShppCzjtKc8MFnbwMi/FlNPN1YFrD2oK+wd/5ye7GCylskkdTuWlRL557RE5s
RWqSV+iMzMmb+NyJdQK1YVJ9g7Z1B3Cr/DIkwAdz62uFIiyqM2sbVLVzI5xiU5m+wiRWe9RM1NM6
RtuqC+VDrg5iGXQgjScHcoQRBJz5YlUuyzqFTUi88c5pLUBGnsn0z/aHRygL+7iQDGyM6H4CCQVu
Q2NhWxbON5RbxHT8aAMgab1akbkkXkjTU/eK7sSXnp2JjWMNO9X2p4sIrvUyTgrSQTJl8M+qxO62
5hhf5RzH9904yBuUwFf4P6NNMBLcS0UPo8CStwUPf4eEudyIZtqZaX8dei9WHJJ8MHTrOEcj7msB
ZjbV85e2zTHAsDOW2BSiE6iKjlgwkOJq06a0iPGTcmJ2VOUsa/VmJ9RszYf1IoH7R5QKzBQ7tDca
AI1E6Pe+R0HU06q9jgEsgmbKr4Mhd/mwuGmdhc8IrP2lL3kLy9G5azlwrLKuCre5EYXfTFvj/a2q
ZYE5eiYbad6mHH8NCOer4LHhzOAbwSZRBlgeOO+cVWd2l1PQEthSVJSFxTrri59Zdk1s9AUtk3Bt
KEYFEBv7Xx400aIbwA/mEAjz2NyQn63cCaVzWJhaexnT93YGggtwGSOvU5Qg2KgpBl8j0KBYO0n/
LCMAAkg5UKSYlnIZmKm6UEZtZ5KhU1Ov4CrNnDsqih6Xv7lsYUbfAkJQWp45aQuZqFM8K4h5xZhi
NSQ2b9pFwgQJ72t3sUVkdasjNCgH7ZHug4sncy36Jl0hFPze9voZ+QnJF60iyMXpzW2I4oSfwSFw
IWl/VE67s8aNlT1odrD1vReAzksJi8HlyyuXqjZeot5J54LedCsSPBYZdKwypoRTNlEOegIu+rUO
NqZzzOKsmvZmVz8MVb6BdQJurnsYHW+vAWXuDJNvpBXcg+8jQzqFpV9ixaULSiYwAXIDI/gFw3EF
9HEp0IomPTqlPAO/I3rhrHzdtN0oAq5toVu56lJJCnjQXdbRrYfFv/T7ZRcMeGuQKTlbsuO/52q/
7DsiPTz9rnfKx0nH2m+fRcibL9BDXQXNrcAf3g7PBTJMFw8DwS1wh1e2dlcnqBPASBeg6ig2yMMo
IpfEmLXhq4/snZXba2dxZPI4jC2ZLTsOs0tDPjCdgM9t+pS+9rUXPqBkKXiT5c5sq1u9YOdJqx3s
oY0W3fOSiSUSnKnC0ksI5jNC4EtTznjWZGUX32CKaFtb/0rUuLHoqnhjyutBzbeC1fmjbuv6qUsh
tHq+h+9ds91mipmMRMWd0iMehc9FKGswwTIjFCpe0Q1O+IrbI4eNpm0WfmshkrChCF0RfppfTp13
1QZx8SvEI9RGo3dhOTUHH2ic9OGHh6ROl0Sq5EvVipZgjBDuADREqitwiQsRcP4eFf3ccDzrRmFr
AwBiIv0ckZcuGy0vznsIYj9smSXLCJbPDgGofz5m2dKbTNIS4c4AizXltAwGX8BxtMHtC2rfIR1Q
MRFDjUlcvcHo1V+R/mFf+WXckzFb/zB6BTGcz6PAUw8J0dIBCrUPNRjcrZcKDiuVEkN3SKyvveqH
vM4j1EK71zqIHLoCfUNx7tLhS0mi41c1D/r7klkhhFCNHpSsmpuCYRF1cdCs1ciMkZWhCUcWrKK7
i6W+MzRD3feZMrpR613p2HYgsGFMu62CFOJxXp8LjoY3vPrVUhc02IWqAJIxgmbX54oP+KSAB2SR
ySfS6S51+mg3TuF0k9qc2BcBY+JnMl4A1E1wBtGdkGK1ApQsvoc0IAwCTS/6BlsJXj7CyR0f7a/R
OwBBiqzfpV6Z3QFXMs+EMuYr34xHPhmQpGurRzwYdADYvPoiHUZ/WeladY3Ob3S1GBKFJnR2DIiJ
lyR2OXvhiXirmcMO7J1GlgNBe1BOCrRn/CWlApcVbTF67YUVDt1zo2rGJswkpxsTZf9SKbN4V3L+
Xsd1+Q0HAHHuXVDuPX30zyGAmKvQKNqfo10730XRDW5PFgc1XyMTiSgxk+el7ccT5KCsBUw59teq
r0UPgxQEgwltpBRA8Gx/CXMt4wsaG/F1pA/VgqNL8STySb1H0kdqEUNvojCFkl6DGUmfnQzOlwpf
AEafIq/DWE3O/JxiDwGh5V3GGarMtcNohK8xkOhtTvhCkcX93qodsHgVgN+th4CLGAOkOvGSvE0K
j3zkzNSmAve0ZwN8CF+sqrFI7eGzE+niydIrRJCc80nyiOVPVU2LYWECQLqkR03Wbqt0GWPEksAO
eqA9372EwI9elelzQmOpBtOwthC8LQo9zoWr8nN8I9ZJOG6ua1AEJ44JadGDmum/GJDFtQblXqBn
UAzttgI3TSZRusgLxqB25l/ATNPXSivug2DU1wTGJU+e3pwl9CVX/PyPvu5XqxTWD/m0zCrx/e5T
FTE6aDTq6Tgwdu1YgqZPO8TpluxJlCfCdmuK6cYcagasTqrdTFH92ArHuaSiHW8qzYnaVaDEtx3n
v3Vn8VSmSHc2JbO2i8Qf9+RLyEVHuOtuPo4vjXGSUB79cQXzHHZxgMr12gli51Lj+6yOFlLKQBov
PEViRa34GyfwQHPLClLRAh1hfEm8mL7RKj+6tMo5d1mwPwJLCUqx9KHZl0DhLpCS1ls0iSRJdoly
ixhNPvEdKO/6THgunwya1NA1fX/T9SIPFrCCIBvkShT8GB0VLapWy/68cJz4irN77HLIkT8HpBR3
stLrM1+Cc5EOWsG4JP1UhqW9VZRKPVcV27vte8861+JYX6vIrDkoe+l9zi7buD7dvnXCFDedIL4g
iaNey2xYC0u+Nijf6joad5Gchh+TNJoV54aYkifq02+hR6XfZT6iDzhgj8yDm4fXjn6HYPKhnHpl
16MSemr8oFjUsp7TN/P20hiIA1hmoLqW9ASMvSJVZa2OY/fVG+AIISyd1pyXLho7BWExNdqlWXQQ
T/H5eS4pVsaTDdACgJ6iXHuDAqnU74qvpuXZFxyoC+bxldOca6S9VisedE6qdtpM38n5pR/vCRwt
NaI8Up1t47ocxm4BvS1blVpB76fxtIsy9LN9YGsm/aZIfqudMbnogihbqbVOJIkDvvk7klxvraWN
9mAmffE1Hn37xlPscRsz+YSJQaDiwsMiCLbbop8wVSmtWUxj6KubKW8enCZONwlEvhrKpdpvSORN
qejbwPmpKBwhKL4SKs8AnHMr+++j7+WMokfw53Zr3Qb+yNhEMYvr0bbkpsyUlyGsEh/Am27s6b/q
hJdppNcR8WUsBLnrq8kIrF9anAyrSCv6jKAiNb9Occ2gj6YUplaIX4aKNzlEZ31T1JrY9bUpXrRS
9SEoa3PKmpjW5G5ol0bGR3h0hgLWF/9VjeaEHK8hdwVIOO6WonloAO+dowi/iqwmedCTtDlP1Qa2
jAfGn7hVI7FvEsDHoPLabGNYGT8Sjbx8F5tOupJelq7Dokc0D5iNRjBH/Yc2MpJqoZYT6NOwlf4F
82VA5qki79Kaz+2GoJOZrT27yGyRTBsj1NutQ+6Z20W99b0Z2RcWrdUUX4vR8/Nr5MoIvxXSxdcq
8QE3CMIbKHtNVuCyKewVcX/2M6lUYnbJ1PnGCzIHRHTaAcZgOnKZtVnzIAc65Esflxkg1wbeTzDm
roK0bhVIbdyamOIe+K5TzusOlCvTj9Tftuw/mmvf57yt6f86EL+9jl3/LYX7r/+70ffmZ375nP6s
j/+ogz/5v4msbmYn/P3Y++L5x7P/XH9/rg50dfM/9HvybTCpttCwWJigX0UfzC1/6+okVhTMxBAw
NMEU7y0DQwE5ikAEPwpEBczTyDDf6OqMv3Buagid8VaDERX6n8y+D0ffmFTQ7tHc5m+Irg01xax1
ezP6tgtCMjVAQ24XJMNuAi1F5H2T/dGglNEtsj3m+PylTTSCv2Np314Fv7E21MQXdka5D9TyATrB
U2sMK86WBT1njtNvnsIH4+Lj2+JSyIbQ8vDbMiW1jiazg56OHiTG0m2QkFwhDvfoLfTKCVHNu6sI
SmDuSZ01sRopcIc/XhT7aT9GYzWbCMjEUmuxkezeJ6w9R3JD8oI1VLqMl2HXWggpj1QuERK8BBsL
Qb0pc7qpqhZN6q9jGZ6DvL4fouh7O7Bnff4Dzj/QG2nNHFKMC5mVCwkXO5Gcb/3NExsn32/6Gvqj
5Byx1BjlrK1iVFaGIsZzjDmnRumH/iVWCPIrhB6zY0qotrCOJBjWOKqebZaNCyD1i+XlFhMg9jjp
x6c89e8fmi6pPvAuwa4y0Sgd3pk38q2OIs5jGZi2M2qy2BUFQ5DPf7+ProJkTaDVn+flr47oN79f
F/cwZ6FQukEZkAYVUV0qLMaSWNvPL3Q4ln/94QxqTjRWPCwDjc3h7UTS6fwpcDBVJ/hmSISIN04H
OtxGdb/GUS1+AbJLt59f9IOnhSYHIQ+CHjajY7eZankm4bRz9KqQ2cqUeKzwLyvrrIR49fmljn9I
vHi8YMg/ZvEHAuSj1c+J32z7UqfV3PvRJs9tfedhDjpxlaPlzuJjh2Kt41LH6fka5fh2ucP9Un1H
wBMdLaRxsR82pIqQ+J562ik2zweXkrzQs9yObg8qjsMHZoCnKYahIN22Hfd64Bg8L8c6S4AL0pMK
khOP6qPLCdMwWYe8VsiVDy9X1vBhyxZaLtZ8o16p9jw84Nia7Luko+nQyrnD/0fPjF9TmBoLAxyH
QLghj9aknplRjY8sdq3eVHaFdO7i0qj/+MYAVbDoIUKg33z3yOhMlrVRE91hDX2989VU7vAQRauA
s/1q6PXqxIt2tBBfb2remEwmRCyT4+cm7Xm7T+l68LqH6xax9ypxfOUf3BWiUBPfN9yadzL3TEee
VcA6RJFABetlSrLMKzG6eZOidmhibfXHj4ovGEuR54XO+/iuLIkegZeZ6tdLyRiwZQxpqBj+7HPM
b8cjorzg33MdcMxoccacY9VI36kk7H3ZdPUc+1fn68/v5WhXmq+CbE4TeAs1zZlFgQffrIYw+xA7
CZi/CinL7CxZEd6LzkPXvRM39NGlZvOKQ5GGE0A9vpTQfGvqrcQdJmCeQSuHu1pzOLaJMXr+87vi
l5utD2iU1eMXuJ0IkSgmJ3E9OrJF6w37LsTsXox9+8drAXmXhmWZrwlrbyavvd0EPRXhSss0jC+j
T3hONwvYhjC3/sENsaujuKbGnW/r8DKBnlsQycmugfReX8AFmTSAEKXnw0V2ij+iA82ibirc+TPP
h16iIDzaiuCIl3ZlgZ6HWKEueLu6CxVk4+7zZ/R+b6AKRH9MTDBiQMrow1tKFbWfKV2E6lVFxRB9
+irHxDqxvD+8CC8S9TN3hTDu8CIhoorA07gIkvFkhfNOXvlN2Z/gb32wshHd/ucqR09HFD79urRK
3dDrg61dJDpztbKlj91bd5//au8vhS/IFJCugOKpVGWHN0TPG4Jup8eu0fPpJeXHiJexMKKnxG6V
E0/og2sBvcH9gQuD45Z+9IScOI5FL1X4lUaEtsSysvOGZtgzpwh5Ym94/5xgpM3fJkFxwrWOfsHe
EwrRO1wqZ1+lyz0qi1ho9YmrzAv3TYHOwpYmTj8dzSQGOkc/Wg1ZZPWJnVkkV/mF310I+NlfSCiy
m31HuA+RkwL+yIkV+P6aHD9A/VFOYCZkpzh8YD3HKgFOHQ65hiTQQ8a3VGLDWCb4R1ADM1j7fIFo
81M5vElj3olmvB/2QCmOLoh7xtGCHPC53zoeemzEjYgUnALcZ+OM9qPS0/PYmOyH1WyfrsfVGBXq
VwTL9ZdGszvTRbVGLDP0Ww/SvRO0V7J1UqjshEAnG4mfX1m3UjH3E2qeb5//7d8vOdTer9L1eSVo
6tFfvopqH0ggn6N+SsExJxOWbI4Dk/eiANsxTqyHj64GytLBNMJ2x092+GzqimF5VVDn9TTDxnUa
G5CIZNlULsxl41/JM38LmPxgJcDiwr4CCMJGh3/0qRBeiP405fsndfq0gwzIHs66JIZGq6OnXAQ6
oqTPf875jzxaC8ivsJWwWSAQsfTDG1QJI6TZbhKo5BA92Zo/x0kl/kKFp1kWjJRkf/f5BT+6R95e
OBUULHP6y+EFW1USkAUzxiVgTEGLqD9BmbiAROi5MU3VE2v9g+fHj0mPyLKlgwth3lXeHBj1pNMZ
rtFr9DmlhAsFGtA987CYpnioX31+Zx9da/4cAjagT8Lp/vBadmFU/TgHo8KrGphG5Mo+7ch5h8Q/
rT6/1AdPzcLbx68nbINi/WjfzYLMN20oDQSNFch8yth6ELAoyLW1tRWHx2iVoEc68Q17/+SQx0OJ
ncN14Ac4R3tjbuNrC0PIPb1Z1xegEchEUHtt54QRCaaYQdZ/epMzj5aifT4S4wg4etMVAUI9sCnR
2n7oN3aXM6Btwwo4WdCrZ+SjDNcztWn5+VXfP0WwNypNXggt/Idjq0ctR5lbxOG4VT8lm6nkQ1Yy
FHOJuD21OG0WxOG7x/4FilNS4oBtOf5B9ciBf0gQpRuJDHHTNMr0GkOLmi30bMoeE8KL7hiKTsEi
HInVObG1vV9DNBpYryo3O/eHjjabJORbGBZEWVtV1VzgPjDcEtxYvAA0Fl0qRhLde0bK2Obz3/fd
d1zSijJn6zMbHd23o6cad+U4ZiSwuoWTOrsB5dq5owenjHkfXYU9VOqc94RqHW9rEwbDUS1Dzuep
UeDOIz3T8e32xAp9t1ZoefEizL8gjl6+pYdvPFEGVacZ1I5aNQaruSBbaGPD4wr66Z9cim7KKxxI
JUng8FLJhAw2NQCwixSljjCbYSnVkflZpAybP35CFFhYWdjL2F7gQR/smQDOsGEL7N8D2LtFqrLb
LL0qQYD+D64jaA+x/Ol2HZchvahx4GYTB6O6L1BJecE8NlNQGX1+nXcLfX5KtE44trArU2Ud3o+v
DBVUIiN1nVKEDDNt1O2uXTgV6k3UJkOuQN8n36r4J/fHvmdCw54RjUebdKxHRmRmoJsqwynPKojG
z0asE276+e19sNQ5MeOm4dD3ChE+uj2AihVOqdTlANKSAV6Q8OniySxOLIt3rIC5waurGi8TYgPg
1Mf3A3E+b0HIuZJ8VXtc4Wy5TwJUV6mR7HJV3xYhzZusRzpU2u3GcjJx4iX46Fbf/A2so73DQSFo
tabGgZABKj6E1syeWjn9C1Txt2XYqcscfejMOhxGKDikZOvDcJE69gMpcd2JltTHF5m3D4shPdX/
4WMTXQdRiRgJkm/9uFrbql8Qfqg46onH9tHqp/lgorth+dNXObxOVoVd3JaClLioNBe9HLTbWoqe
rhQVH1obq/TONSTzJwqvD28PeBqbItUevebDy46tkTtqzmXlFGYt3J1oekr8Vr/5fPF/tANjFeRg
RJN+5vkeXoa0O4WOJfWdB8ZtAQlUrkmto80iex0R6ucXe39PMxqPF3nunfM26IcXE0yuu97gnpSi
n1GfQRGSH1qRTv8PrkMRySF+Zsi8O8HrhdbKnA1Ln2wMYXUn/Y0xVOGJeu79b8fJHc+8yp4I5e74
JGXlgyyE9DtWwtguQH2NyCSxddtanp64o3kxH1Q6AL/54M9dSnAAPKfDXy4Z4cNiDmdu06ceuVzo
iAuC/K4CE5spRpH6xKlGm5fXwQUtTu8wAjUquLnFd7RXRUZhjAKiOLJQQn+vSAI38mfkxHrF2cpB
uRcYhfqUWY2Tr+LCSgQ42rG1dtQMSnH3+eN89ztbwF9ox2C5xM9Kz+zw5qsMTG2Ro1yLrVJZh5aa
blSaGbBwsS99finGD0c3PkdzwjpmjyZAh5bW0cUQ9eHE80KoqHmmsFOOGXrkK2uUsv6S6YUaIQAn
yaols1Eq0utxUtnTdEWSmt1sJJ+OyE1ow96XRM2Hz9FYV9kyJFGwRniTG5cJJ61bg5micRYPuAOw
X/basBorS/8iwQmZ+6FMkRiWlW4ima2G0n9AgI1GhOlI2BOq002Ue/pKNLLDpCIHMhOhg5owcynR
BtH2l2FOu+/Ww2fazL6ywfMeUzVxtnUaSJJj/ChGey6dpDXTFV8puy8WKkodrFIC9QwB8qGGz+3F
QxON+GuEGpfdjEGsWGR++gr+g4WGm4YOHBCkOt3nsc8iaBvkiBVxkL6uX9Rh5CmoKs06+N/sndly
3MjVrV/lhO+hSMzALVADZ1IcxOEGQUoUEvOcmcDT/191t+2WHb/P6csTYV3YES1SVYUCMnPvvda3
8I64MNyuGlWRLLqP47HBlIfstiUjhpSvhZB138rMRehH5M6Urbua76DzG6i7mxw0DLvWqMIGtKxN
sWvF1pTPrnGlhzKlWLPgPlRdHJ8T6tn6d92i4/AwrIE7nc98wU46r11s74PeWwHj5l7ryp3u4hK0
8roE8Q1hMGuc6kmZ/iqrhgHX1zbW1pOVE5h0mWHhUY9kR7vQLwpbXKhctshmAMG2n4OTrZ9lt1jO
lbvopk2JOgvCiyF0a7TuXlWO587Y6uU8z7sM0xJ4cBwxgbT9lGUQxXWYZ/kPj0NVhPUpJ5ccgKHX
5peuNkTW7GgGyuLZ8iRByED+QOspzxvX7+3qMs1PXDuTJe7mHutANiBLesiyOgoubL8nBmqqHOO8
NsYuyr3bknv6bkYparKa+qIhNmmdnSFHITbhE6vkaMR9Lk8pTJ6FN/+2rZxB75ttEHweFPQ/R/gJ
n2NHHGUiQmIWsQ4KJPzx0Idyryvki4e8E9btREFaJf2kC/PoLlig03ryIL5hyvDHz6HIxKvrygnf
RcB7QxTW4zTdMNsOWDpbfSUIHq0S2nliex4thfMkHAusrCLT4UxoD4eXxB6r4sUZHezeNiorL5lA
aA+7hSbjkhqZd/ked7bg3t6q0MVRYdzvtmoAxPnxZrVpzHgMwVVM3Cz3YVfeQkywvwtnqopdp9bN
JScKtnqctdF4DvZRT3tJFgZppngyPaIdW/Lgm7of/EPbC+czB0wIjT53QgCKFOKERNmb0YdMV/Mr
VADXu87XiBdetyAgr5t7Fl9CfhINj1VnP/bEDqld53Wxvgh7n5prRCteXWACEStBmm3+XXeUKXun
cVw8GHYwv4Vb6c9PBYfhJR2BL1HxAtEZDzSAh4cJROl6HVa5M6eDlkbSe91mROUjhJ/qpu9ENh0A
s/orAUiRFMRgqia7ln0WuWmezdF0UQ5L7mE8Kt3HrULg+LwRgMeXUZblmjRFy2S9nG3viYVfPvex
ye5Zu51q305BUD6RF453BT+I2M40a+bPUXjzq4+HylzSNChf4aoVDcm9hGgnGXgss+MMnlk7sVTN
p3Ay+0kqBtW4L0i2SPzcUdaRJvqQp5owzeBNdaoQX03X2NNz06/iXpBPdWtvNs0jbcXedsk61N6q
zV/qc8A2cXfmZ2O1pfSChod+VqQag3ONfkK7jrtzsmeX4Yhu1imuemmLV0sKPz/2a1lbRzRB+aer
bZssWDTUCL/jgYjWuS17CzsCCI+DXQxleYU0MrYvPC3850CKKYCh4zkvpaBgjzjvS2vgYTcRQstc
RJf2ujbbVb9IZPqT31WETmkkiynMWtLa4aTKQBN7Nrl3TWZJe1fhblKJqDYv2jeR1stHxjh/uJ6a
LoQEvkjl7llLQp1gEV0NGLpy+1pvtNTeRjGJtyjI8uoJsVNlX9aTRVrW6oG3Jz/RP2UjLvZM+uRS
AdJiLVHOoYlwRxNfhYXA3uVWsZKf55omfzklvnz0anCeg7qLsoNnk3eY4oi3WRsK9oBxbxbQA/Rj
3Hy4zyzcDY915Y7xc07aYn4Max7XxHSUIglxmc49NHZBDCjg1/LSzmJ3SKiKmjEV4FZh1Q8+OLWR
ULNsh6C1bG+ROfb1c9DWrnMkITHarsIcwdiTnHt6vLrv2SUrqWpAk4wJI27EcpzTWI5aJrMqLXEc
V+7yV6teZJCWs1ougJYS9uZtfHn7OCpAaSLIqbIkjru1Omsbs3U/R6b9KzWTat61DMPPAaDM+N1U
Grcsd9Tg7wscMnYC6XXgkNA3gf+NZaN2cVRntYi/sloBMO3ITTYXPc+omxYr6dA05cwsTOLkJFM/
OzgkigcrWoTNzR4F646UtWjEXlzl6r6yCS95gAI+e+c2DkVuabwMXrOPVNg2j5HYMJwQXhAt3CWA
JLrrUWpdXUz9GNdnpD4T1Ke2yFuzpKCeGZ9bCyFolcb4c0FGVJtrq7c5Zqr/7uPuyu8L1TfTdxeO
J49QkUn/Zmjy6NPrMkz8WsTYrQtkG9hhSnvdztdAWcUe6oXvHbNgJkY7NUHEFU5bvPjDN05GA7cx
5FMVnhFZZ3uPXgXb5XZs6CU+B0s15Q+GK70ciRgnFWD0tlOO3dxIdSzzkwcrcpf6WZPsst6vimxM
bOJghj+Yts55Glert5z7hTOIc6Tfm067dgkBi66he+FPxTq99CBMM4wNEBoTn2n8ZSk2HZ21YUnz
3NhxO6TlhC07YZEQ6mxclePu7Kiw+9tpHbFD6V7znWM/n3kwE0nmg/VGjJWljzaMA30AfLb5V9gn
NNraiM94De+0NakBDhOAThOlczjhjE9k9s0xJ8QAvl8VuNbNMC5deKUY587f+1gofePla0e3BTeM
PT0Qh8zNhODXmQ+Ymnv7LgTTGh3F7MXv1gxP4FuYaY0dMuhjUn3NYi3+nu2JjqhllZ2H6yYLVoFX
S8tIvPf5qq0X0hgKtlLiL59+O0z/JXHu/5vy9v87quWJ8/gf5Lfd2H3/3v2ivT39xu/aW8s+gUwB
1qBkpHNxQq79XXxr2eEXqv1Tf4j+ue0BmvkH1dL1v5xmAL8x5f/Q5f4dfyq+nHS8FKDgoiC8O38J
aclU+JcSCMAeRe2pVRWgUAXm86+ygWjjgNSu+fvICHK7bNbKaW56r4Sn0LTLMJwT7cX0J8nnxut3
swGiCiyabLcJfyH2Yb8ujnXhtOTULG7eLuudNvPYZ1cVfe0hTsXosv57gkQGzFFbZZKlzaP5sdSu
xeLVE+vrZed0fAxNzQZvzeIlwTDFw3PuoD5yvV1mo5Ecd3QjDaM9qmEKqQhSI0y+6JGlvPMUY3sp
5vY69owzq8Oy+fXyMMpyqe/WfFn8F5QMNfbwzrjdXQAkvEmQIov4vSDXtLyAp0HpUwPxDPZxYzp8
JWFe1QcqOSEucmeyMhj6sxj2ZvXAwkoC5o5s92p88Nnp+vt4Adt3e4JhvFpDZ4XnIe3aEWunEt2u
jYL8nTg/0mYy7fT1qXwribjMIyMSf+Okwn8fnZ03W8O0A6I/HCIcHXAIFtAhhxbtQndL2QPSo1J9
GZLMsVbW2Tw2bk2GsttCI1KUqDs5Eh1Ddsbgn03ML+N0ZvTaJxKUBIt9XQEpMdBuX5DFrdcEgQpW
t3k0PyHnT8t3L1+q9qaHk2df2kTTPEJ9D8iaiNzsO3OZqTy6GAD0U+8LSHZJn1PtVvtCRFvx3pCN
4124DQ7pz6FfZflCObqNt2Gfx9OlUPxLe6RWFI5Shcq9aNbB+6o0xqeDF43mo3GaJt/PbVbNOFc9
cU/GKKWGZ59YDxYhzdm+2E46gz6X1LSjDw8pLQZ7xE7mRv6b3xbtw9ZMubsbTa4eMWd4YLZLhb29
GvPwLnTAC4FSCE7T+agy7o6/oqTIO7SpyiFIgCGuUg+F2xWUZ2F7ghVIMd6OoY4qrGALOIrylJw4
9cOBwwgWddCYI5ZhGALtsS1WDoaiqOMLSq0V4o0onGk/TQPV4dxGYCw2+n4wi4yFwYSUbNzm5cKW
fgChvz71i+ivSW3NygsmMGYD5R4V+W04FcDk84iggGTuA/sNUQptyU3Y20+hYEYdxeTxwAgCa4Lr
moaft1tnUd/jWrOjc60tDFCqhm6eitxbkS14xXgo6qL0cXx29X0dahibCuMmVWcxwhkIcI5uicFj
BKRhrnCggLASdeJP8ziSRL5FA9KsPrSOC9ro6GzJevu1GAWmdavuOIynjp8N7vk0hvBFqRIwkaVO
nJlptyxLme2FVtaY1GUt44QvZSgwb/qSYmbc9NNAllZzJEO7+ipl11vEfplhSAeuiUo8Whgw8SDj
Qf3ODEbJuqmtK/pUOQ7AaMCmOFRQGFOsixJnabROsO+JCDagGEP7keU2f/B+OyFk+PeivZMRAvtI
GgK2pGLxdX1TWCfDVp5VzZZsOlsguDS2mA6lBbj8RSmjbD4ADC3uRyTxu8009jtXWes70wXe13I+
ne20dizrIR6UOuODW/ulbaN3m0D0/tzTjRdwwRsYfCVCxzAtRuonAhQd4x5Ui9g00QtgkwTCVbUB
x5xMO54VplMTzbDZrg/OPJBLlfQOg7bd1kROj2mxay9R7XnundNrNI0TGzzYEDPD5RlIqHzfAFR/
bVTISu6YYAmP3dZrN/HKfPgZ0uE+U6zy/XOzaJvRHCVOdCwG5F9XmIQoBU8VUX5cFid+WSGqP8IP
42qV2urNFdaTbdsHoVJh2qg2Kg+j8TU3fINmA4BHSSZ6QtjNKm+06j3nmjorRI809YHzbenD8D3y
pmp5nqzQnw8ul6bfZUZW1YOfmdhNRku4xZkOCts/90wAQIHxlNXdtGDoH6j5hykBmBOUF9LjUHRg
HOd8ECfg50lc6bDb00Go3FvRSM13Z2FvwqBbNXLnraHlsCxtmMfFMq9rOtHG8z6HVXoNHrTGBhyR
KrvKAUD4eRwRYiFkNax3svSWEoNXMxULfIutyBaez20NjZM4BWFNTjJKzKcXRJDn8tKrEALM6VYF
c3jlkzgxfoCPy3KXwm8caxaFetQwDfwm7384s4mqZBU0H74HVSeepmhcyy4hpKuEBxtbTcbCokJn
CG/HfFm9s07XhNyH1TCLHclNShKF0ALGZ+djXF2qslnugCYBJyjalf1x540KECEwDCdrd5xMSgVF
2q2c+yY4mQV6RyMZM8bYp1LQ+NtNOUnbYI0v7DVZQ2/Jj93CfnbC2DhfvagIIdeQuT7k5yK3Nvvo
2xLuQL2Wk3/lupFcjjg5ouql6hg0l0kJN045aR13YOGp+iXFZxqXjZw/i1Oj5HKqEBoQl5X1pm4P
mW9F83u0Na2hsuYJa3c2ZJCoTaZhddpvZV0a19lBpwtw0bl8uf15XSIcq+HBrDojOnOe5QoKKwvR
YEjZqEsP1390MWH4DY4e0Ge+uE3St1jBbRrieD12uYm6Ad8x7BiUsSi3OmH3pF8UMTUAYDPXNv7C
obvFj0fzHE9tUi212M65dXPWJmeNQ3ldN64VvA2zv07Xyhb9cqvbUQdDAhoGCF3vuL1/hUrMcVDP
EXZ+KaE6VHfRXHXtLh50COgnGLtN3fUBzvjHIRuFep27SiBWtMYByjLnorU4JwQHEyuLOAAbWs5h
0E8JRmX3Zzd6ZUYTQFvt3vPHOnslraMb9o2MwkecS/E1Fy7cAF577UcfLtmAv2cwpXrT/lRDt5AZ
NuK4rwAqFJwGqscVmrN6r9TcfAztnPVndYeM/8oEPMbnJMdrmCJ0xvRd1fTKTxWH3OCsWjrgfWuO
k/EC+6huz8Kq3eaXhjudu5C8kfHZNKX/MDZL+xqgb3eegsZG+dBGK5y1nrSS4iynjaWolFtFoFHg
1GLnKD0ucMt0YT3Wdd3pezz7Puo63QzFeBZ50q0TNUubN4VQ9R7kCgGa/y19fk/etn1mT/+h9HlH
UDx//lr68Bu/lz6e/wVTEPLq00ifauZEYP7Dduh/ESeBAURN/pehHYPIP8KxLNv5gmyVGT0iH8IX
mFT+03bI3wH5J0waXweTPnR4f8V2+G9jNhyRSImQZiF545OeZsF/UrtZcAFY9lhUOjeWxxK749VC
Cu0B2cF3Okb/N7/Sr4XW6XMy53FZE9GSYvD5V8Av9llN6xpv0jyRJFWtQZ9kfjGmf/oC7n4f2v05
g+vfZ3mnl/HZmpGr0gbxTvO1P30qWVvbwJGZ8EdaVvtQDflFBZkqFVZRXGDP0mfZNLVMdVbXvrFB
mCZMNp3df34Xv73KLxNF3gVejt+Eunzcfx3KMskSCzS1OGn6sfsocTZ93SrokVn5s6Nf9IPIQi+x
GDFcNIHTJpstFYeslnZiO1ZkQqpte2YCz6R6AxZ3bG27+lmFTn8/qMa/pwFXppjLqyu0syBGRFdT
tFjohtNwqpJIxhkZeGb0znPObIRTgfRPBx79al8KZjfNXIsf0ZhVHmlJIa+PRu8ACmohZKbVb9u4
3nlxn+HGr20iC2V3iCOSeDgvtCkI/HLXqAhelx3q8Q9R63/bKH/7zRb4v68lD2RYyv/zsPx4b/+8
nvz2W7+vJ6eeCB0RXGsn6jA5Mjxhv68njvuFwzt//mlH/vt6wpKBkAnJlI3x1yXOmlXgj04Kv4RX
Ako1o2aeR0wTf2U1+VU5wmONtwh5OE4wWjpYf/9lNclpr5twrF/90haPfpW7+9bU9UVHOOXO8fDN
JIVia/3Pzxma3F/aN6eXpZRnsSRAF/EIz9yvj7sfNx7ybvWNJhU6VsZiOTTe1c9e0JX38Y6BhNbJ
OjX111iFek4buYSPTl/OH26wrUdmUq4PeYfS9cwKkKYee6CazjcTlFBOnGAyP1SxFhdg+yGBuqXH
P1GCcvL30zIbYIXUBP2ROOrgOu8W9ZLNrAWpta6jf125G3X/qdtwm+dcBpr+uP+OVrjoMMnqKvre
8m1X1ydJYpQWEW6zlCAdWyxpZ/W9byWB8q3650yHPnvlZOKCvysLVDSo8LnaTr8fCJ0auz12wrA4
Z+DmTfV5ZDhHvci4WsAH5XFG32Q0cvTLXY8mN/4ed1amIczA9fnqkHfxobVdvnay6EmWlv3o30dF
5157mhHNN/7KBHSKI4aJByJWXYg6i02l6dmcVTp7Md+siLEYnJ1pQwHOYKY/xNIboYoNiwqFleRN
zom5Yex639Pzjw4dhJM9hniAsFIu4mzgppp2ZPRleZLrE8V8MRbZYgVDq+uiNBUjBapDcsrwRFGr
TF1w2+lRNwd7Q21/ZphwxmnUWYub2ApH+r4JkTXQQHKqRaTklHr6a19Es3ykxfDhjPS0k1j7Edin
WE+clLbgDUDaSNFJsaagvC1AWUICIpCgwHJfdjZw3ilhUFrTrGo2KGWVaw8ubKSmepFewJE0nKmZ
l9Veo52IwZnuiJj1eiquZZTJ6rjFlsym7HsGilsrLgVL8CEYdP9UjCp4zWRESagCrtuxa7sZxsRC
nZt0WS2DZIzJ6zoz/BvncJlyjBIrry3D8nPRuvlslmoLk7jmpJrKyZefyNHIIMkFWOEwZ+Q2SJ5F
NozeOaPhmA9kl6DghZBC0yv1xyYfOeo3+mo01UyJQz+Q8iUKmFm7RVb8EI0xTjq42fiybNIHnjfp
/gcDE1B5gSj6i5aG1hPyoAEEzxY6dDAJoF4S0WgdnmuodEficLFHm9XNjmE2cL/QOiW4GyiAYIBd
ZY23o67y7+Oyn340cVzc65xCD0ZNM94URD9/84QKBsKyJ33FDsTTFFXVeN/5NhzqugKWGhZD3hzV
TE+plGJiGNKbEFLPnPPCzLSu4qbasp2zteQo126nTQr7JiSmceP1kjhzaQic4hMDRvLI4MCQjTDg
mkpDN220mtqTo6JaDps4Ja703TI+EuPcf2VW1amkIBrmejCNejX+5L91ebw9u3EGlc845XKHILh4
KKulvdlOyZo7hivxT/JgUL9wdZnX2HntwnzRw/DiZQihEZcE4Sn6b31cV8NDHKg5vvfqYP1GfnP9
7imwRXvIMzaonA7sbxKpGtXHKur1roMxw/QuBjG27y1TQZbcoAgnkZmw2k8OJJ+dEBLRIhF50tln
pV+JQ7UQVl3sgtqvorTOyN319oNABfuTAHP9UOFIHD8Ld92GBOflfB0Hqz2nbtRRVMPIPaVdly2N
MM0wnhbAwu2eOls0CigtE/0YS3ptcdiIBme8jP/BXw5Vy0e9zsfe9380IeiFiykfhqnY+bRnxl29
bRlwQ8G8sgLHR6+ZW1WY3CvyA0KkXmMlGxRcTrVM1je+5GJItlFFCBcCVwb7HnQq8oNudhS9Ad+u
wrOwozswHyxaeKY6kOQUBR+YLDd5DIKGJNBD1heVpsnaRy1LkUOvxd9tctNTed2NyBN306hn2nyd
InRAto6EH7iQyAO9zAwrKlYLVvvs3FQecy9ueRWsMdjFBsQHV8MKKjjqpBYfAqcTxCDGYbWegeQ1
HYomSRPt4rRFMXGroGuEZ0O5EOu3RU3MGieZvIvxitz4TV+vU+zWtCfLaQoeCZrGE3HSF9ritKq2
4bEPAnDc6VozKnjMVCWdV9qUjdmPYwkpmaACBrB2oaefqz9k3zSOM6jmlhKfHcMI57wVuR6SkIAF
HPmlppGaSY+9zpfihdUu+7lNWl7BNGp+llUWndOZGGY6JhY0gqmMhjYp6WKLxDCtvo7Wyivp0LvQ
6nPddvcBARnPPYCLCyaI8/vSzLCBLbo4H94KBjEtG8MH5vS+5vts620mMCVIwl3QsY8nlvIFsYtj
L55YPDiEro4iLYOk0yrh5oUVtlpyOh9Du9R7NiHAPkoNGamWKKMvW1vaMiFUk/ZLEbbh+0CCiJ34
YU9vsjGuvR183W3fp4y9P6HDjN2iqBrxg17O+Li0IkAPy0ZXJRuZAve5IcN0H6zOjIEAdxxJaHEt
vo+u121J3Nc50PLC+TAb9zQRTZoPuqy9EehVLDWy6ZJQKQ99LaUP9rlaWW1kab76Ooq+bbS15r0Y
8FvsCHpU4Z7DwjoeTec2Kh2ngUZeXeaodup2Uq/aDVmyunLFIoEWyWahG4YmS2doq0/w9Ct1iJsp
6PexRXj6Li5mCO+qC+v6kEdd+equGqS3S3r2D8NjjRxtW+R7HvD8kAPbxk5qkDUYOPz0sndkbZyQ
W3Di6oPXleENgjuyTkmkJ/LeYczgJQaeOuEM+VzMyeB24jKWJs5ScvI4g7AgA3hv46IPrhs11uxC
PejDxLFYvjjibAHnNev02mMg+uC8VJ71XGmGZKm/rU6x20ZYN0lgPHvYe6bphrMolx1gxLhiRQ/G
tT61HR2YZG4NJBWo5Tqsx61gYTqsHecfJnIhfLFpqurzSXeAkpmcnMbxaGm2dHbz4hA2bRhcFKIY
zqg6LbUjFjYWCT1PIlvyiBWXfhaJw+QWZFctPxwDlgIulGQQ7tyU9ADuVEW8vX+WMyUFmbqZ8llr
lGlp7BToA+ihT8RoWKF9MPRcWwimkm5s09ao4AZ4M7DpVfSVSg7GJLOPKYmNz/qRD6tIRWD5N5Mr
27eYDu+1ByMZumldbaCnQ/MGU1I6B1K0aFF6MxH3EW3qW2GIQUgIZy0++3kzd3rzrflg+sp65pPT
go9KpkiWJaolmVba0qk9yXxOgjXy3ruwa9miYveTGrzn6fQIkE6BuQBuM7LJb01bWm9RiVxkJcqn
TGW3xIwmyJh7IVe3v6MBJa/1tFbPfFvLOT2y4gQIH+wFoqXd/2yLbSt3jlU4jzT4AFx7Nfn1O1Ob
UR8R0mzHbJjwLiy+FZtUdVH5qqFONEm9wGYEqUfuH8+/pTb0XV0nEpQNmM+74ZTGKqw5fKjLbqaJ
K4OsTTni59yhWFGf6cqhwKwrlhimhiA6k9NRnxWssHiSCkFWbMLaWGZpviqa3OhGcz9xGTiSGdCB
9tVLvt37tSwlodqeagCJxrhFACNXd3CCrJ++k1sXm+LAyGDDDl9abvi7qS69r/Roo3MVNv7ExUf/
kEqZkxNttDVN5wPcJHjQtMyjZB03Zs2em8kbv5rjz7bJ3Tdkd51KJxKq4esBmJM7nyN4lYTW6rWH
uGoG+5yajewMY05bTzQP7aHplhL/VrFFCqQ0i0Myq1bA1kUJPOz4VU6hgNqyYU/iwHhvF3VDQB5M
9nivZ//04wNh3JDEs2E+Lvay3LWDRfoXJxnuwSLuxluo2+WU9gEYnHIj+gDkrt/ehtqOX2DHKTqt
xea6CD7b4byb6d4fyOiGtT0QpffZwpvFp1LkS3OFf2+Su4nX2xhs1aXe8fzJ4CESmdvipeKAl8iy
2W4DETQA+YqCQ942DjlhCKWiD18EI+TsrBwYC47lcAcb0hrT2s3nLAGWXBEP7lQnZeHmxz9s6H0v
DQ/Bk3GHuE8obgx+gXCNZNpbWfORR6F5LdTE5Ub/7n5Em7MyR/TgzO54vsVbCw3xpuidMEtYAbyn
0bGzDPJ+1t2pjTeU4o7h/VRlUX6gheVNOCqL723Q2EyGyj56rAf0CjsNbRaelcKWVkNZ5LboIdjt
Jhtpwm5ytjE4C/2WiAvsgaeAg15Q98yDtV0xnwbdHJ/EunuLZbUF4j3FQYpP24X8686IM61BEUvo
SoIIeBLDp04PwZQO5rRMFW3Hbig9S+QXLPZc3zheHVKfNna4vWhy62VpovVrmXEK2fNEVWo/h5nN
RdboZBPOVD5lVgCb61DWU00me+OicSg1wF6KK6c7Ir9iRzShbcI05+gSMdlV28RdK83LRCnyBxPn
v82lv9Fd/VPn5N8yisnA+UWg89uP/95Vsr+EcUCDiC4wA3iENUh3fu8qWeIL0Djc0Kc/BGieDoD/
6FNDx7NdbIwnlwIVHYOSf/SVgi9QiRkK8SdAGUE63F/pKwFt+LXFA6yObi78NXKQcU8Csfm1xdOL
bfXD8mdYVF5wbDUj77BsvfUakyt36xjG4/bec6y/cdsmtq/kZJia6CKWN5ZjNz9D6aCZ4ACQ3eWN
yb6V9OXfgCv3Tx15SmLv8EDQQvUHlwIvFw4srVjN7/j8KPAtgh0YezoyZ+ACIRM4ta+W2362MvIK
YjmTxBCF7ZhkntfdubU3LmfOwDl7v1qD+0px6qFhR15pP9tM/+VxnKjbjkwApSGZvCrO421oToNL
OxieWrvvYuz7BKY9ucRFVfvettCIrJUedqomOobJ50zkLgJD8A/7UPdrnISdtJZzajHVH8uBSIiD
CVq7xLjVE4ow54b1cLG84ErkeXNNzAjS6TLsZo8g1jUKSKiZxg+rNBvCm2AulySH0H+LqBFt+BQW
xZ2yvVLm6ZrZI54GNFDNdtC0LdbbcZlWSdJOGIzpPGwq3nFehLCNZ97PrlZaSlnqDSFxUrZPMRQ7
dLwOG+cWimmna9T0g2hVC9AyhNMnfzL+DdpBpAiHCXcBpZzr5MtXmoD2jzgvMpUKBOI/vRnbgGpC
/CTl6Ok9Ip+oxo1c6e7QK9tvkqjBapBlgJGpKFHpxOpk5xdNbUec+2jEJrotx4eogo5zZLSt1t04
dJmbKIJNAHM78SbP4wxM2HEty+EKvaikLaR69DmDAC6b+nBFiSOZcnTS1cxdwFkzG9OAAyII5jIu
mZcO2/BjUtEkj9B3mfuivC+8JBQSKfAmECczwJ3ip7ImD0x1JO2w8zdsIxvn+YAk0iF7meqeo6XD
AeEdxwjcfYNRkycSyVebLdUD0bR8sKnyqiElcmijL+WH9U3sW+IZ2dTUXVYglAnYYZSJ5tbV4VPA
jlDRrgvprtAkk2vqjnnzI2DlJ7H+tI/tJlQbVO4RocD7OeiDG8rq4nMrIob+hCh0tA0xrOw7PD4f
dZTry1zSbtxn5CE3O7fx52m/khT9Ynxn/ijxemzEHzThp6OKYoJJHpcfeVzKO1KxODMyPi8tXPMo
XelpWcjqVB8gIQrVQhpC2YNeQOAc5OckjRfoPAUq0EtdFFIktj9uViqr1rp1Wt9bdtgc9LpDA6rP
y81RhzofJQ0WISU1l2WMplpZie5FJGol8zLxrQ5zUL+51EOv1kxkCrClykHwkXvjR726DRT0Jprp
I3ehw/C/CbMzCiPFzpqbNuB0QnrGjt4Kb3W2nOCBFjHk7WDr549xi+KBkCRV2ocNqcMxNooSj88Q
+sdIi9FJoT0DpaGJAyvLzLP1NA/ZYKVaFdlnLVC8H7Ao5ePVhma8TlrbRc8Wt6b5ui2WvCZswGp3
5VaXn0Z61ZOsY2klPfc9Gm06Dvc5PQJO8P0aMHpyVJ2qURBRt8jhjTsGerWoqoiEN1aUmI+c9RdY
nJCcuSYPnhx8QwQ6dZEJUs9vKbQau7UuPZX5n5rIV0ZouSLOwl5oung17LykmEBN7Pu6HYlj3E4m
ng5ZDLVxzAS7jSGT76Cb+0eJ7tA6CzqwUb9b2v67w//N9pmo/O/jo+v3uvjz3Oi3H/9jDv0FOznw
lEh4J57tb1v1Hzv8aToEYSFiFwdCEtqnTNg/BtEOM+rTDs4ckxgvJhD/3OBJfgVMxokAmuFp9PLX
xtDMwn/Z4CNk4byzOIaxy/9D1joNqv80so1sa0arMx28yQj/rCsJxtnVlIrzi6t5Z+Optxq1e24a
cuxYA20N8og24WUcW8v/sHcey5Ej2bb9lWdvjjLAHXKK0AxqkRQTGMlkQisHHOrr70JW3S51u9t6
eJ+9SQ+6MjPIiADgZ5+91w4OjksfzT2wG+FdlVnvZdhwAHL/AMled2dvjAZcrV6jT11BA+MJNVZW
+7h1Ye3iiGuSkKGaoahxcMB+83KjazeTXEbr2C6qtrbWBKubUoe0jniQzoD0H5hVnfy7P05wWblY
vMTdmlVZdt+zJE9vStmpZou9cEy/T50glqhcpYJTNtujfZOkKt0BUeegrM3M9u7SZOEJPVVcxmRj
Eit6NL2RTkxd62mbzsZjPwafxKWuBkjuW6nyu4j+chpgAepJo8iooHDs3j+UhBIR1s2+p/3UrwP/
m2mqNx00Vnya7IgOaOHmAMpN78lOk2e8scHF0gZdtWvoAuQtzVAZDxoW8bxZGonTr4q9DtEWRuI3
u+4iDjnSmOx9QeYkPo9B3l54PsUZ32wjoxqR+GPHPIfUgGqlFhjl/AaqOuVoVTeYgqNLzf6SPTNr
lBOKdVxzQ2vKUyfcokPaVNZj15EZYvIdKhhhOvKj01IbQb3Bk2Pdcy+ug42FFRAyo1Un00fmT+m0
ryM8u3TmAo+6JYwSyU2B6/ZDdFZ0LaNs8e5gsyRMkrFCLi3zWbyKVs/vOc6yuzF17RAv5tUYkXND
czX8MPVb957GsKel6sUJsVp+FZ2VLIfspwq8ur+TZF9NrEE/7Uk7NNAlXU5bgT1P+qrJpqwEHRQM
L6nr+6RN2T4eYIqq4i1LUYhRLyw6wDNc4vZu7sc2uk/KzL+ZesvMCF8Mce59cQYqrC/WOu70gCJI
UdmsOkbKYoKwsT4hiQNharXyvuwPcsEFKMOaJF4uj6w0MjrpPZHl5qkB8i8+cbN6xMkMMmjZDq9f
ifRKh7L36pmzmd6ydIz0V0poomdFQMkno6wa6mpgsRmgoLhMlHQAbgXj8pWGbe+pvam4KHfI3UG2
y0n61B9BhPxxcoap9R4aPPDpk4w7iolDMFUFrar+UhOoxB7cd7edGaTFdY8/sGjJLJqFdeRwCY3I
w85Ma0aqrYDqI+llsW+AxZalJ05uPXKeyVz/wBlcHcTYVde0MJWbtpNXiTMsFQ60bH7oqSpjn9fG
Z1RdsY89Z3jLK0YFVuv5B7ToKUypZOOBbTL4Yt5kVURedU8FRXU0cnD9GXFI2LCEP7twXp1bm8xo
aEkbp+UsBp+jlDdX+SNOy9qju07z9c21/gZ2R525x2VHt1/ci4qZeBsF448ss+NrZPDHQln+fZ0v
8YWJhfW2rMGn8jPj5AqHketBURp1UzaTfGSniptt5QseTO6EF/Th5RXJqmzcz8Yw72Nrcp9Mjj93
QTN3FwVnl0s1q2Ezd/S3YdY0Dn0hcYnjkRmebbILw25oJcJWGnAz3ZP7NQ+twKfXd9I/mz6HgpDs
XnXIclq+FrzNrxTikp8S9Nn6g93svcTn2GmngiOGpI/E6udx0zcmRRIkBE6iSCnmG7pbq0fYyDTr
cjKCNV66BQ9clLsMGoocMK6n6dGjpGUbZL0+T2oKdgUZIzwwyEsuvWp4xKcPZzDGo+O06r7vpvRo
mKm/sZlWaYIS017YebQxbMM62+x1L+ZkTF7iGTexUY/eluJGtfcmHZ3SssUiq1C8XKSukSTCYYGN
EMaFzq7T0qkvMwO/ILni9DSk7vxaKuoNWF8axmObNB/CCfCLT6N+QfHRd5DcyG/ENXvmdi54R8aD
yO3kzJFUIJKZAQpPOZzcrHiPlyGtQ4s/vH7lrat4KfkjvlhCB2LIdpo0qcMG5rrNknFn0DR9TIQ7
nvTkiaspMewXkQn3bPt0KQ5sGS962n0HobotqjgVdSwhd7XS1dGmV27bOsN4pd1YXkxUZ2BFSKID
FXLiODW1ekeIVjurk+3JbbII2aikLWHpPzw+wh3xMXHfjsO+LIvkMo+z6mi5szzbS+S/FqbLlsMk
rranUwPF2o56FqYYym6bCuTTmkx7FWk6FeyL2/jQp051IqIpb62f7Qhx5JsnUIh6bSseq28U0NxR
c8IT0TDFvcHKamt0CYkCs5m3hsClgWXgYVCOd5Rl5r4pbC2bksPmHg8Ea6hc+hcjsfbnAFV6mwkC
CLEzfZJt5NaS0oXJv9dHCLQ0PkoXC+7aARdl8sHMXRMa7cTJmNOQvu+5cnfJCMedW5e/UdVa+xix
GTdw3V/1wJ/YLpkL0qSq++vEWp/ipIiqZGNQs6z21SK9uzZ220uRT9mPcYlld0lKPEsdHAKG1CmK
sVdrMnhqP4+NlfR0XydZIRu247g13fhF+7Gy4ttUjXpowrbrItfYJbjF8beHgUOHI9yVActEwbqZ
1lIv0ktIyU4izfUDV4n5APpJdOZ0GrUb6c0AiE+zBTO68gv8tRu9C2znOevX2Onf+s4Cbr20jE1t
FeyngmEnL/u3oi2x/dIWdcSvnN4iUycbotvFY+5UhX8wUGjNvQkuZp2jVbzHIZaVG+2X9T07C2db
5TSpZAE9w0o5jRuyYpz3zIDLMV9Auo+SbqjRa2ArEB8J7aHTyab3pTpZqR5OhjGnl5gKym/Ej0jD
Fyg5n6OIOFg5dUIJXUoTUlRV3l62xRNh9CBMbcO7kLhDNsrJsyvDi7P3pi3lk6Gb0dj1PXtltToC
CozcAd18i8+lH8zPXUc0uqzzcj+x8fjK5tneuCI1qDL13seo4RQXe9Yde/TgAsm7v/d0zW2Df5Cv
TaY9fQrQbYwQVGHF8QyfA8rxQ9P5/tbJMsqfnNnwP8VEWiXoGbVbp3yJorl/qDjX4H9KMu+uE4Pc
t+tNa91KMo+Slt0X/ej056buVLCdYiUeRpsYAA8dGuYOi6wkjadL8jZNwYOFb/m24fS7dxONyXFO
sts2o2uehFYXNQRDmqKFCMd6DjNJ+TYNdomJxhVHgBzNFTVZ+NZpmT0UiVcc62RgU+8pXz/6qTtd
pjHgATqR2PxZhjOcfLbP29JpXR4YyweBNYcdgSUIHNjVS+/NKa1fAwI5/VGTA+CgZsKuCCrMxx4M
NHnrIpB37uKbL1q2wwIroGGXqpkbn0e/tT/JSHRPPBmpDe+hOPMG6vw6oU6TBIS0TqQarMdk9sWV
Y2BGKusItVzN8bSNdT09DcJsj95Uro/yckx21WyIqzkuuqvEncyr0iqji5x/ItjYRmNeLvh8Hiv2
3mfsM2lBY3hu21h7OMc0zpw8UQATX9ngnOjalEb/MFijOPTYFHC2L9NEhXZQRt1bzLavhZFb2+PX
VFb+PT8p+AZqe7IaCgJuyya1xIff4nq/Um2n5ps5wrPw3OaYf29IPQ0+phCXaE+I3DnqR6us0+bK
MOpIhDiGJb6oWHcVdzQmGKqyEP6y4SIoW57nWk2Gc2UN5kJHbykh3AJnmEjix6NX7b0hWLtm2b3G
R98Zih22tSWEYgIku0ujo7LKky9bHsjMBSR/22d+r4aNPBsJ1XBFJdRIkZYu2uZUyrG9RP+cz6N2
PtDFpiuWg8Fd15JcL1nHhCVyK+FaiCqudmC/eTaNwtZafGQZMQ6O7Jw48xhSytVQiZuWJ9eL3ZPj
lK+kje+0GNptYfPQ99ZCKMEJveGq3k45HAJ2B+6RgHn2gwtUPsTcujd2P4rXfpySJ6y9+UUwUs+Z
eq17xc3U5cjtsLc3pJm+dy5k/Ynt67vZ2F5/PZr19Dl1uPyPVPjNCaPSBIlymBkHt1bhquyaU7zL
stQyl4uROLSxsbOib2+sXmfFc5nO01ds2Tz60sn0i2NpuUN7SoqIn6xqPHFsh9F704QPqp1kNQon
oEw1oWxZ0BU307lxGhuE17OR1oywS2lBqDbHeQCfk2eGycHOZXkNhreRO/qyU83slfAV9kpOZidN
Hsy+EKSKupvZn9vp3Y7tSOwSraNPFluSlvG2pnOokzx6Qr/xSv9SV7OXvONKs40r3GVeeWd4A28d
0RvwALmW3M4dcoQXuJ9qrIaWOSVYptLI29pTA5bAkTr27oqIDl56H7omvrOcwouu7AG3zrbDDUIc
f8HUvTP4pb4G16mwYDD6oYpB0XD2ml1OdMyzgqqohXVsuzW8xL5MAFm4IYgzj+fA0hb1ccGjitFK
z/poZPobXVnFBXp6sJOzjvZpFpg3TVKne7C99lFEmfo0lz5504PEpQf7/ZlY/0KZr1Ud2LAhglcU
E3I494uwFYDlwqScio95iOIsrKQsjrZZiLM/schsTfelUMA6NonplReJ6oyLeBTTzlkjcAAivG1W
8dfiqq0/BmKa4Bo4FnyWKW402ioLzIZzWaC7UlR2NBzVf5+RYS9MvO4fDQoK90CnkcGWwAqwMaup
GlbdZjtvqh5T0S62GQIzUzYHEOwzO32gFKEZ1xbGI9HfUX0RnWd0toNHRPF2NqtlhzPF2ntx/42V
B7mnwiXWFeXqPNTdWjlWiUvMNuIqzjMPzblR/kuQlt1uESaeV0yS58JUyX4S5BLL3BffjaZXlKC5
QHFmUtqEKX1wLjM7Fton2aVqsCKADbAQboQtmd+54PdOSU1mvJg+73B0J2fFZD3J6DwCRN0yXucn
L5GYz7CYB5d9P2fbyIkwjEKve+rjOD9VHW/IFjkVgEHUziGhMes0z222LWA4nZOxHrdCWPmxh7ge
OnHf7JDC+yuzoNrwGEVt85qlP5ELlBzq4Mbsiqq/oDYXFLYhHKAThiMb76Zp13aP3FJ2wExMQrP/
leP7/xXH/yvQ6f654Bh+FWTiuz9qjutf+M2qLn7xXAqZqFaBksbl+0er+krHptiIOi60Pvm74uiw
OPQEK0gTJVKuFMx/rBQdCw1TuL5HzwgA6hVk9rP0LP6qf8uE0FT2T4mNXFB/Uhw9mGeomtBKg7W7
JEB7/LPiOEwSwn4knC3G+dg9zAkUMaxay1ztFW6ULwEcBsxFqhPylH1yP0Qi+9E2JuYkOjRAbASl
z7m67BGgGBHk/J56OTeEOAnS98hhzx62RBT9kHBhOuPrEzyWA069D4s2DSdMFst+dDlDU9CNSLbp
+2GgktIIGMixnrI96mrRvul+0RMFmzGKTLngIw0DvtPYvhtGpbAk1WGFq47HEsoZ/PYaG1t1nWcm
hSUYx+pHkq7ja0o84AXMTv6YdlJHd2nHnwqbgb3qBq+5PBtuBnBt3buhIWmCsiErzuZGjKSUOB61
7qtp43zEFWvJR0NZI28Cz/vkYOuFE6AscoS/2TO9Q9HyhhxwBLh3Rd/RpRqUbl4ccOXAWXO0zYor
s0p5SRbcbtD/DZpB6zIpX5y+wgOAuOV9THHQPJDTQZdTSvecTlH5PgN3Me48ulfTUFp98Vx3Gfsr
G1GyZn9pdg/e0gU/3Nhyrh01kP7U1JRU3LZNNZydjjkLnxJ7IIpcstHnPDc39VFzOAAxF81lTYeI
h0V63RxNJ7yznB6DGOTRyEK4vXEio3oerCmmG1m3jsD/RrsArdGcM0SZ1O8DGf2LvhzoEE0Fz5SQ
45H8keHQjl/ZK7bTVsZWf9vYeTCcmvWn3izQEyMWmEwPoZGTkwxtVaZm6Llp/gyxZ4x2eU7f466S
k+Htul44iFMDlri4zhys5qtVkOk1a1r2eLX4VjG05Rulg5LgAq5bphM8hsbOrZo1uh/HwbjNApB8
0C/hM4QF1Lcn/LcZ4B9KsJcQWP4q0vhegRzNu3hDR7t8W3L6H3dYT+Rd2hYIOGqyqmtwYdHDGDs4
wjVB7I22PMBl5Pmphc4tz2yOw1TyfVqspoH7oOcSY5LspuvZiyFxMVlOB2iVxXDKC1rf+RLhYTv6
7IQdGFkZkOQJnjWN3SwHGDdst8hxl1TRa1OqZNmqwi8Oumoc+rIhgWHC6tYebHO26Y3ulRGWVVO/
uloULzmE/Bf8si7GMNugUzvurHea3LJ4M3BQvzXRM9tVCqyKfdBHmk2y69SYlZ3IRfHGNvSS+i4s
m0QFzpoEb8ErRRyuca83FnbfiuHrkupQN9niSM6fzLg0SHCzI8SNn4n2bODqUbvIZAu8Yf7u70ev
dDlxEdDg3QSdAwJa9dU7gJ3GwxOa5ffWWDvptqsnSkbwETjfl6ipbvuqHVY3mm9dBAYWKcyFEY3S
C7Xfw4apovd3kofusq8scwYAgKXU52Wm9sGPs+WN1rjCCePYIZSqzbqy0XT6ouZZj/3pMHnj+AJ3
ZP5R5iW3st4r+7tez6TROTM1ZZglRnFEIr1Mst65Q6Pp70DOd6vtzILxS2qGxouottSjqKghCCdz
dlG76Lz/VgysAlY4nh43ow89gpyGpRYOwkyVqZrNs9MG+MBq21EcK0TSYwmPZj4KvYIPMtdO7sas
llhtRdOeHNvRt73SboPNgxlwQ+/GstXZgN928ReWipZ00h+p9LxzRmd5gkDvw9FcaPbDMGip5Mjz
Iet2E9Fna1smXfXqdNp4JMnBTaQmRLVDUxf8anDIym09dcVD15frd0Mgup7AkHBjwvAO62ypU4aP
eTBwnFoNw9kRO5X/QAq+vaYrIUl3rGI8Duv2yHebk7HEn1qp9tOfnNy4oH8bn+BENOrDBp/1NY2u
j+5eOAXfkDrJviFXj3oPZpF7S8fCtLhQvo9tK8ABAj8mUquIgC6GNa8S3rkPKtCYZTz46cGuqjrd
taOvvvCCdC4ybF3/EBAfi23Qmcwd4OkI95vZPKD/JeS36ANmGxO2ydxWCMZmfYFlccZHkc/8s21i
afgM8CA5U7t5r3dg+7j/+E7Hg4C3H8wdBD1UbzRSNvguOfStpnPcYHXU5edAu625M+KiHXZ5t2Cb
KHAE1OjJlfhBY7V4QkuqnnJD0yCcWIH65E7JUy9aFL/r5Jj59RytYSGskVw1s0/9HadQz9wXrWIR
0TVoiGE8jXx1as9D2B9cDppwdQo002CIGuMAkWT6nLG/5Kg33DRYrzsjuCrMzeceWtS+GxSA28LL
PX6lXGMtbhRGJ0gwfC8uDMt19K6Mg+qVrmNiPqIWOHK5aXvmrvPXEbgSM6NUOqQYVaUDIWzxG+Vh
2BgxVLoExK6pKWjsPQ7Y6SryMxqsIz9FbCXVDSZLGvHXFKjA37ZCpR+msp1vHVmgeF8YXOlb3A7Q
0shm2JeVJMG7TdIMvx3l4kFPzEN3N6C2gWkYU8fsn8lYjvdWESyPY0X7Me9OSxU6SfE+3zajy0O6
mpgZWPglAuaXkV33uL1AuslEfDXTrLEjsMp8xDlN7qxKRvlDdxw6QrqA5+9VOuBJdVuV3cRLrBFi
/BXfgohlxniixojsAuyYZEvEBxGYw/tw3VCpPWwz7p16349Ff+sOcfzKUXI5dolb4gWMVYthWMDc
OMpFt9jI3US9wsotYFQWjfMcMPdfpLOov5uYIAVyuOE3jPX8jBfsHNWl26Bo7hOhze6YGS7jSWoR
9kK/toZh15LFiEOrSv07woz6UsURUQflDX6zTzApsSDgIMDV3liYunKDzL12pQXyYiisNbVEmmJT
jj6HMI6PhAHx2Pi4h0x3Zf2ZtcsdvQAUglueU8W2l1k17JK6Lz5ZTSqe1x2/yQa6H4Mw+Ej5zaMi
R9zmqO+smANHjaxN6uKlqkcDY4hp8r/0DE1MnG5KZJqDwQCFlyYgkg8OQJ/9VI9OevJNiUKHobm/
tzSWo+1MQeTZ4eQjN12p0lvCivETx9Am2cqpR8Cc0zUyYUNOjDcpWhOze2m2X+yog7OfF+l3gqN8
ki6S0nIBRiDWhxQuYoDJrYIgw4qpEHzVHTML8e9Gt6yg4347qb5/FGng33oqs/NLGY/gdIwpFh1b
2AWxkveX0wHJP8BTdkwoJoR9P8KDaqR1q/UseXZiRvMp7pgzkmSgXR7XHf4nrdJOEhoUOJJIK9vp
TirHlTtpdZi+h6pEKk/R8MQ1XnCLz6HHrjKRWCO5wV4Hx24SSl1iMR4bTfLTzQNOompNyhMT8tQT
HokM5T62O0xaGJWJGiC548zDLH1ICWNDwuhLllgXqYvfh0OfPQ8HFMwaSGgaLPUeBt6Mw2voFhdf
LBzq+xbTfUOlbycuBNzX4Yaio3Tcyqgt+3Aom+Kyy2wr3RpqSH84cDqyw4BN/zMKPNZHpfLagGNZ
16PsgZsCG+TPvca4LVkJQoZdjhbPaptngcWNi74C7s5e3vj31L/pB4zwcbwbxqxi/Tii/VS5599p
KnVYkzpUItUN95d8EskWF3V/11YLenlGqsvfynzMASQGGkg/eKmv3heIfXkzBBed05jjRimTOzXp
Wodiee7M2VF0fXNXgcd19lY5Tk8Y/iTyOMElGGKcYV1uFlZ3WNzB1xueiI27KYxK+6Eu6QYnziBE
tjfjwmhe4GxM/S63ifNvxyowYYEFMt7aHkPndpjGJtjxbqLWgnKdjQ2nRuAC5ijXM33QEaZr+ywr
T1aOH0L1yZDu+zmoSsYKPomjFfQeZhPGjWRDc8yKCwncGaMo66ySbQyi2JF8ShmcU1doCpILnb7b
Cu18ZxPEkeQac9xcgScRt4P1YCG4DR4tVirNGWkicpG01weRNRj5Xgdp3WGgyrmlaaNpa5xWM1Ut
EYdAA3dcZL13XsbLDHyVvrUV+YJtQhDKpdFYB6eW/Umy7QNrKXajJvO2GwHb3AyWmVihm7SBRhiu
64akjbCfsSvODBIgCsRW+1PhvxfKsxUMVBJtYW8nVh7qAQomJnqfR2LQJM6lp4G4bauGHSnnGEMZ
W8KycsRiYmCYIO10U5C6ijFBeCkmtH7yp51ppURheRD4AaOT3d5NbdzCUqqbJguxcnBST7l6IHbb
clEhgBq+mkvltPctCqodDm5OTyixGHE/j6NlsP5VLJXLPs7Ho8lE3ey4iKtz5RV6u5AiOntcJ/XG
9G2H+3/pOMdcZWu2Y+zLx/U7H7HUVjkPDESJNEQlsnoCJhRC73kYWqhsGeu/EDd61B+R2DMYWlPS
PnHgTV6m0e6+B5Phr/f5IB5pqiBzfWgcFshXqwxFqkNF7gPL4mEkyte7yQmST/xYNi7MsFLJ5n2x
TXDas+0+EI7xrxdl8O8MauKLFRhuzUEqiPEfRJWraX7qm+jDm+O62psFXIc1bJebdHKwR8T4NzEC
NzLr7zH5ZOve2WR+Bgrfv0Z6NC6DoZHvhdn0aVinIzYJnQ/yUvR2/VKm3FNYM5OcdmObbEOkRnMl
/NnYmN24gOTkkkn5gj9K62g+JDAijCrGD+gQS7iwsro4sIcckg2t1vlXKjD+k2IpJ29b2brwts2w
YDxWfWYzy2XmXN/UXe79iF3I3qFXDi5kWrDov1Uq/Eda2/86eqb7L535V+9k3fr3Kn3/o5JmrX/p
VynNsH8hk4hghl5GOYHnexjx/tu+5/2CQc/0wATYzC7Urf5u3/N+kUhb4BHAoJirue8fYppl/+JB
faFhlF41/rsQ/4mY9mesC3Y9wBIwGFYtTbqWEH8x7wkOtPWg07eU6DKn5ikK9TSZ/4bzsFIcfsep
/PYiHrVs0kYdpH3uz3qdXZZezArtDRhhcgSlwDMHu9KFyQH2VwPpP9UG/8dfJ8BnIwVlAHJ1Pf7R
ixg7ZDeDOXi15iJvQmsMhntyKBh5/qCV/iZJ/hFT8/eXQUqnz8p2kTX55P7yMnp0BgYf52U0W8vc
wW/Xj5NTAIb+1y/zZ2fl+r7xMuClAttyHMf7aw+UgKIIGFC+LDjMwsyJ5HNM7p44gLC2eIX7fe3N
7WYoi+IERePf9cmvn8qfPzUBVoiJWPKQh3vxFzYHvBpTK9t8wcoRbaVVcqcyzFnCXAMo6ual2OJM
zq5nI23/Tbmetb5/f39pvijgktCZ/b/QSOqU+IaylpeW42j2NJVMIhtz6CxMpjjLOLajCHLipZL0
vZcV/B8XOlqxr3GsA17zG445//qT+Ps3mBYuJBCLOIuPJv6XH8glC1EsjXjRWWLvsI0+tg25B8xm
/65K5+8vtDbCo5KjcJPr+auZdjSMhMWffDH6vN1HmqPCQGcQZRlxfPrXv5L0/vYBQ3zx+b8djJsu
6vxf6kMq1zD4AifXC+f1YjNjK+23uDG5cPy6KR9wtkAIh+9PK55g/Xbh8fDrQ9Mt6YDoUIck0s4g
QHj3gPu31breh1HXpKFWrnwvQY4yr1q9ormwaqto6y4wUnbDTysB3QUCfV0Bh9iQUSvcs2wrk+jq
T0OCIrFByiPqrE8gwva0y4YF4KaNFwh7O0xDwuZ2jPJStRKWp0EbLwUYJL+vfGfRlyRQ52lPJNJP
9yMi1LvPCca+6gyMgXdgFZJn7DAL8oVk2juKLA6wwP+0gOSWHFg6MQjubTX6U7i4Qc73njauB5f5
hGOisNdlFuMh6eafDhWzKOvvGLoZJAsqV4ZTZAv1OA8Qx0O3UQbmqrw0PBqz4u7URE1ibuAI1NOm
/Wm4cZCgoJ3H9orOjGYyQg7UgUcPfL48LxUJPFyv6fCWGFXynb5Axw8jAunsLzijYBLCeGnGH9p1
o/tlIAh8Pfx0E02T4sC2sQjV88YeTCNL2ou2FxLfEUXsqwuJDlRp3NXa7dgGWtFUdSzZcIe2S34L
2+ungak0iiLA0CSjHlvAbm4atQ5DzVh1xjVrYvx3r01DW6O8E4vdgB1jd1p294AOLN2toFSDMxct
JnU/HRie1bzpJZmb9FxCtmzNPeGkQTD25U7SOP4AWTBekcjlDKLCfyyLuKXsY8PECPEXM2jKh78B
QpvAVDasXxHLroi99jkaBqltxkdPk1MsIIVDZiaL4rPE1cJx+kdgHCvBWZrQnBe1gp0z8ZPyPOB3
hfk8/EqAdgSGGwC6spEqO7jZ7Ixl6JSmUVVPXaKyuiUGQSuoQ0aokc3WlrxUChgmRtwM2m7KN8Bf
zPI6CTgPnochcs1DR0DyxzjXI5qqVP5VQCSmOdVW6T9LNVAH1iOSf2VFLeIftNBq+7pjE52Eqo1Y
g4p4MG7w26bRAeehkXwjyirajeVXpjh4aiqX26h2hjueEw4J7gaO5WoTy16nus+8A7kRnzRnby8W
b4YYp/o5EXh5DsnCxu6yp8fBPaa41sk1O6CPqbGJLfoNqqR9cXMkWtZXJId2Fv0KBjSCoBIHY5y8
5iNO8qln7y2nZTv5uBC4kCZzYsMG3zp+oRNhUHtEzch4msd+kI8k5KPoJu01KFh/hnj1AqvbkY+z
y3rne1D2rfvZpa0cICCUs4U25+hS1M9tbQWAWCcu9+AqM1s0b/YmWdBfMQnR77MZTAQM9tmdGrIn
kKUMfJtUJR7Sl6wpEAnrOl409xpLOJcGJ2c+y4TeEKJ27u1MSTc5ZNdgkmXCL+46x8XTaqUmd53B
gYmMoYoU2i5lydKEs27E5UilPHliQnV3KBXTrVZZhpNDdXGw7YsmpbORnXnCczu1fuiWN3TPmTrx
N5AeYI6wCaQvAYMkJuVyHJKrVZVgEcfqMj1QqszTNi2x1B3E5EZ3MVaUbx32c3MzVSu/hvqGiGg8
m4h408VQY8PKHgCFIAo81TD0gFLGpR1vg3pR437I3NTdCwOXPOo1OuImoqgCo6mXvnbzKA1u89l0
a9mJA9a1Ngj75V1kjIjSMTsLUCrlzShhcuFYS51v1P7Fb36vVQOuw4heTZHVn5qcPqegsc6wDIns
K6GhgsBzl3ZvrmGaV03rFCu3JAVIrXVv0sVj+vMrK/0SPLqTeTQ7y47tqmfVwZsTQBFmXFHVeZnj
3t3gRu6eu7FLXmffKT8SpAz2S6pqP/qyNqaNm471qZmQzA+JK0b4utZSnnLDNvXex2SGZCmX9MPx
SrYf2H+fLENLwOYG+ajBxw++GXrKLCwY2W/JRF0Mm97xkztUlu0wgqLn8piz0k3mKQHJe/Ax1c3m
ohGzEu/HFE8+2wteBqhqSx3dtjExhm7SIqgMSNTavF+o6mV90SsF/dhtQXSnDgASmEGRZez5pcmn
lEuQ94eCi6Mkr45DmyuRZiPMNQJjRpXJ1iLolY/X+MfG88LhdL6dHVv80GneX3bGMD4UfAIj5sEU
wmyVs0K74tKJrmsCde3WtX2Cr1UAw4IbbQvi2vdVglTGUzIAPOJTZ4UjKqf0aUrhhi15/DlnHpGF
PkhgjQA+5l4o3LWsS81OfV10kUfTyzI2HwrgKiUzxFi509D39k7jSGtta5djxl7OlTOEUH8rrCwm
EJJtvDRjdOBPqwKtsBvyXQ7R4DIhHODiGWa437dGlL9wyVTWYYwg9UC5WjlECr9lvoGm6NzLn3a/
n+ei/2hK/X+0CUJy2vznlpBNoritlO/d/yFK9V59/9NEu/7V3xLnpvOLx1CwljX/t8/j14EWa8cv
DsqM6ZhUbNEo87s5xCB0xt5BcqTgyWg7TBb/GGjX/7b+WxZODka2n86Rv9hB/pU95OfI+vvwQOCN
hzkxE8/FaWJ73vpKf5wBA4mKkSc2AbCmkxei4BwTQrbwkm2D861Og3Zhm1OCkre4oPaUy4WWMvP3
cpDjZamUj/G/Mz/wXzUnntK3UyzxgAz/Rd2Z7ciNpEv6VRpzPWxwcTpJYM4AJ4KxR+6ZykzdEMqN
++Lcyaefj+putJRVLZ26nKtGQdViRQTpdP/N7DPz1suISvEEJ/Wlikzvvg+D+bVXo7G2K9ZFVuCp
OIiguSj7Ib3863flf3dNWxMU/Fb8jS30+7fub+XH3+7ab+3yNnht/s9yi7+W1VTHbIn+78//yDf4
zydgoQv89A+Qg+N2uune6+n2vQG18q8vf/k3/6d/+Lf373/L/VS9/9f/ei27gkf89j2My59xmDpH
3P98B959h2j+90cdv3778e5j3PGvu89yyTUyUHFwtBm6I5h+/HOcYsi/C7kUdnqm4Tr86P9C8prm
3w1GJcBnOMmy0VnAm81ypf/6X8Tm/4586wGyIg70D5Tvvz79P8cAv7r1DG70n0+uknmNC4fBxT2F
d0pf/sN/vPlE3HBvLq7sWBqckEOdsYptZo3Dptlpu2dzFBAJeq1onDN7cHw+a/wlCIBBaDfVJUcY
Kc4SKSz366oey7UlBKoeDotovhQi6dybgSBQiFudiWpwiwe67s9FomdqY+mVV+9nvH1ErEQYHnlH
4rZBKSMC6ROVG/o7iXmH/pCpKGjSggg7d37Yqqn5lhnGd1tJboaG64+BFt4U0OVHnwzNJL+S32A+
v/b41OEuTWjiwDCuOK5cWR7ZTfoTC0FSc6jztH0gLyCxQphLHHB0pzm7yss8q3dpodyE1INmp7dm
PFf5S6M1zo0d0r9yY3e8nY4YaRvsNrSYoM0a8Pi2ec+8fZ8RaXPvO5Rfu/Hj3mWk4/VDkb3keAuT
fet6A4ZEsw3KHN953HsXfdlSS2L1s+PQF8Idk8x+mzPvx2sPjCW8NFzVuVAN6qmcnu3W0zAPj6qt
3lGbPOCN7WLJ/AY+N1W+N+cUIKC0GTAB8bkXSBBppIz0Bhk/qb9GthM3l2hKaOWWJMdwyJn9uh8u
j3S3N7pybt4JOBkleqCVxoIhds+2y/QzuKhZ6GeyLSzFCj1ClvBbOZfzPgn5ST5or5DUXRQzmwTs
GSU/m8rR08ZVa1ReeFUMmPTkmqC5lHxAyjCIozLMKzFsk9wLSLcpmk2aq6zrS+uyhzMzP5G7bWOL
dokYt+ahx4TafKUsuAmeZjMa1RfVDmV57WAiGDJP7eYmvocmIk7Qu9IvIRyFQzh4vOZT50lMsnpb
wDcj2a7+SSeSi39ARN9v3Bt6EMq1kGNIoHbg7JOrkPqMPAxHvohxzK4T9qDWI3n9oHtWJp6hk20i
9dmUJqBnNDHn1pXbVaJzfafrC5uyuMyjo22EF7tKRFJuGQ3MNxD4qi0/KvhPiF0j8gl+chQwQuur
xibktR4NNp5rj6PdMyFTIzkQ0ak9YMqY9vTLFEypfj0wIAjBQ3EQqH0drRZh06go3zzHUxzru1gz
x/lFCgKgoPjH1AYTmLDDvsrMKjUfHXo5ntNsMjdKaJQdlu2UW7vSy/otT1jwzL9q7hKES4QeYap0
jdwSqgvIn7U8IsaQjyXz26MYVLQtUNfVRrAjVnqZ8uCC1BfaU9xPTf8ygdgc3uid8NwD4xhMK1pF
XPlCYYszKTDU03LL9jYOjnJAuttEOtnG1TxaLP5XdVOV7R4SZ37LUCRJaR0FrcetB8NhPU8NSamu
qRET+sUNIZw+5zw7aeWz1kcq8hPOxdSY0CQ6U7fDM8MQAi4GhATLWKFjuKPPWM7dO8VsL2U/jrYR
Za4kUltbehs4dfba9LpM4XXTkjOFatRDGCnZ3VMwA2HFMVyKaAX6q4hWehW65sYcyvypp9yDOGft
pSeNE/N1iSct82mAlR2ys8D1kll28dSZ+fwewD46GTKeCUrEw1tpuv0mLAd5S/rmaQ7s6TZobGEd
Yj60AZ0i0LaD2aQ7itEkTq+ZegeksPDIfwiBYgwq5cFRsbGbebFvYgl3Bvdm0zyP3ihtjmla/IoF
QXvkCBZetcuuN0W+2QCgmG7tAq9bpUtrp/DRnQszy+9D+pRumoJ++GPgNB9Ar1q8ajGWLtBP1XM1
e+VDQnXPRBzcWBp+jAwFE6F8pU2c9MBYOjSeuq1xH1qL3EsJYviht5bzRMelJCzSiZa+Pvqg6jZP
smMna0QxRm1fhERx3c3BYoPIM04BZmmm57ZfdkeQ8dRV5OFWlJyk042hk11bFY01vnd1/9DWssew
P/Tg4wpd3bMCmPXKEBp9sXmupYfOdcWbm/XeZdxw8nRtim5wBk0XWd0EX4cI1+wZ38qw6buMSYNL
L/mVoxLnhq95PMjcS782VYdTyCjdbtvTHhVSPaqL2g85hUKn0y1zXSjKLfeVKWsiSCw2fjUi3O4c
6mZvMw0cTms40ROTxP4CE5W2Y2yEVRdEznOtY8Qy2D5umVzEtxVm+I2CU7DvHe3IPCWGD1vd6/jt
LgfhDcHVRNfdHlYtQeaKE/p6qO3p1EJc4J/bfWy2JiWSGLj23VToR2vQ7YfaiF+EqoojZtNzinUd
zwzZsC9GVTFDpYL9whHdVTq52X01z7MP9KdG+p2ptirJ88ENOeMFlWu7a+sb3FHlycNAAzYAx/Bz
HDTOEQVHux3wHlHqWZZXRAci30y18NmLCVWr3MEeo9vaR0ZggL4V+KMZDYaluGHSqdIDweARQjDf
wroZ+3Cr6Ul8xnX0QX3qlQeFulCKig3DvHaGtLkTSmmbJK7Fo9IYGlhxdelk7UVtqO5AzzWCplbm
+keA0I4uH51E3ehrQ4noC/RBDo1h449FLsAe92wXmuaoPGxruU4/NmuPXq7VWDNA9igruh8pvtjy
5nszrSDu15J8BGHEbuelSXli3khysU7gKGGuqw4VMjHxEGhqqy5ur0jojSc2Oe6eBdU70yap7ejk
sr+wDVoKTEpGbG8jjCUcBlmhbmlLJHxC1G4Goslcb0XotH3MskIP/FpyQvBt8Du532tUHlS+E9aY
sxgtp2qfk93ObwnwDs5z5hn9S0TWsPIBKU37GE6bP7RS9wFgf1Qh+dEtq1z+nvLOv3Q7+Qg4ISGl
DJLfADAEPEcniwmHSJ0s8hF7+OOG3+sYVbDLRSwwZIfoQdHVRYbRZ23LmCA3rMHVOI3pmTZZ94lH
Q5uA/ln2rrQsrB5lhNeMEG/3Zcz6WDtk1bJsd0boSHy+cddunXqaXgkpdzljurhsr4QI1A6Kr3q1
MZNtSjyd69kYsq99kOTZutVl7wey9/iRgSttk8ZpNuAwqk1QYTSn1THcEKqEFRWVoU+hKI7D2hD5
OWhj/nsovUHhn882Lq1wm1dFcZ5w9UDCIa9emtgNcMJCz9SMoSdxsiCE2DoTgxQNC+pKDvRUjrPZ
bZrlgEZ2vV4zXSOIWzMJefOStLgr0rh4dlPa4YjXi6cxiNrbkZ4YmrgduFi9PrmPbt20+75Pi+3Y
lW9z7oAuT+rMDxPdvcAKnF+Ucmi2cEuzt3wwrV2XCn0fpWiUGDQIHsNsvap7TOi2TDq/CZv4Fk9y
sXAbDQqU8/zBtLFZ2aZtPEZO9ZDFFI/NytV3DF8IJdiqWo+Z815yN+x6D2oGB2LS+BGo+j7tOV72
DW/TWIBEUJiNZaPca7MIsCnMTnhB0Sj3rAs9GQhIcAG14T3ObNhLPACez1FY3WJAKq1j08jcb7ou
fxRWrvlloWe7vsyil4Gt5H7JYyLZkM15aPBx70STF5fl0ImvQ1lk902Si3HFUYRMuIZzfdeOIHB9
p5iiK0FXDb1LSVqiErQkpYs2tdfMh72CzRnkkLWdmPA/7e4A+VkjBTHqzga7tInnLXYMMsFpy9s/
HQDumoi/Bzph2TUUdcGmQTPFAU9cnWwKYMuYWPEQAzx1ZzDUweh2u6YNzIccRovHzVm1fumGBDpG
MOhPqIX2hy2n7IXw0nCBlZLt4izqrzQsLS1jTVCu6wTw76ptiuqbZbr50SgIXMk56EbKrhnthhb5
W6XVqr/JMyeieh07BHu65jozB3HZ52O9M/SUxFiWky1mjHzZ6gb3dlNMOOJoESoQqOIBsYG47yqj
Bu0ozVmnLU4HREO1E6xif4TQll6oxMTyQ1vt2hgHxm3Uh4MPi/LU9oWZZX7gRPMZ2I6jX5Tc25lf
TGbNR5oYsax0ZXEU5I4dLr3OSe+hv7BsEYwMqtPIHHUfKde6VWi1e1XCbT72dewEfmuL5mGodM4e
Q8LMYoJth5Pcoe1q1QC0GR+7ZrqoTXQ8ht1pFrHT1qP9FBV0QbiZfW0FNFurUMhX2xx0ayGtdtcu
6/BBTGlyRoQIXwBQuc0h1EPTgStS1ptBkM2Fxb5QD2g4xm2IZ3lhHGf1fMKoD3yKIR5cY6cD4ZW4
7AJJdN6HuF+3TsnGcRVhnfgQLjRMGQTJQWOVeww7O37pE1qR0Df6p7psiqtOsD4ZEn8mY6icpaqN
tKtu7sIrlyVerAOz9B49z1q2sExucV4a7pVWtoFPsJvmWTsqXXYPln6JM8+59AgIfzPYU24mJcVr
XyJKr4vEJl+bJUF9BVuhP9Sgbc64BIp7jHLFs4NRn9mwYCK9Gqu2uq0qT9+qIstOk97qX2UaNpsi
CeRBJ+VAIwKRyDdRtcon6zzckaofbvQ5E1g6oXVixCQJx7Npxxvm5YLSOygfrObeQ9rTCGMx7t2L
1ukeRerSQFgZ1VdbJ7c6iSB9nSgJPpNUd49tUw67ClfTakA9PCqiy5Nv6+IxMozgULf9dDcFWvIO
PBAVGOToSZXcjh1Y01dytRgm7Sa6lPlIsIGFkZdP3IEG5ch0wxQs4yYbm2+lV3k3caAHW3P0mo2k
v9GWenfOZB4eC89GSXb5CtZFkZFnEHnwFd54fmFWNafuoYvPEemZ5fCWTpc2dzIhwH0WFNg1m9hK
xjVuMeurHQT5CT5CdcYXbWwgUt81MzuX1WgYlNxYCSIHazi2fpVM8W7IgvhohPj+gZzZNdvaOvsi
mJzTHA+Fl0UtK32HUBJM/Sg3buBmN4+FcrDa4/Ua2MV30O/WRhDO/D8G6d2EoSwrXrYVhQ1WEXHC
ZoTCzpo5GBZPXe5btk4FyBBbeD66XP9N1aV46sZmeKjQI+y1GG0bhroy3C9GMcO3KJLRO7SdXXmY
7xU82bl0PG8P6RY9GMS2daAMVI1bjDV5s2O//JY1/QJJaYbrvhDIer1yP3Rsr89NnOnNaZzdLrkq
EaSXOcA466s2I06S1OlLY9fjeJ/0KQ/vaOImT9UQPtLfLvfNKJo7ph848OJRYho3Q90+AEeGyqLX
4bQfxtomXZrbGB5z3fJyn2SB3LjJVBeENUVJDZHyhnPRFXqCZ9720l0NHXjrBfTdxqWy32Soq12Q
lkDdoaU3NSQD/GuDE2g+UEb9XaL0+NRZmpvRc/Jh3Rh9mm45o87DpiZLKw6VHHoeC9eczkx3oOlp
ocrvS16ZFK3BnKEDXicD2+uVehhr4DKrgmQAPSEYcZ08zl+71qCjIOrhCTryDgp479e48V71JqfU
YrKYB8zWeAcIRJzZpVo+QyqH/glTv9SA/d4Y2VzszIGwi1sXzgVczvHOaYv0kk/KaUzL02fJct/4
1FXX65r4Cc8y5OZLQhTRJq/nasO7NcEP7nrhZran6UK1CgyRx6wxwFMex1ubkNutRA5ao4KQUI4m
YdI00BfZtdTitFmPaL36heEEjAdTI6dMZNYRRo+0e8z6bZ15VFkq1U7ZiZFH6NIsb0YJ2XeiwCs2
EZp1V1dNGV4Ttu44vHFnDTmNf8zM5bvIMfy/dCFC8ja1a9Xif3dBIgA3UnP5ZYFr0ZrKfB1btwtU
IHiC1+HSEdErGWg7ygqizvMrDu/hLkuc1L6GVzOLQ+AkKd07/cBppvUGj4ywiQcE9nPMVaPWplty
rNyPIUHU/YpdOrCx+RCsnABVWrI+UzrqXHN8EKi73gLhF1MSNwcBTszdRl0ZuBcBh9vgBptUUEI5
Y15wmAcWyu2Mlyb34zC33woOzMqnvQTDOy6+GepMQdEuXVgcb8dVBerJ8yfbDIxN4Dj8Of3murXo
6lW2h+OudRuujeLtzB7W165vT2KIWmwmOa8aQDxOP29BUObBTudpsi/6xm3nEx2eVF3aaUBKjiFR
7pyyUhjdDtmcseRq7mYjuNVcWKZ+o9EF72NSEeGOceHUH8Ch5e31pLX5hBE+jaZdgpdH29LwW+SQ
OmhrvU5isM70VFpQUOXUmOWeMmkZnDN9LNgoc5bSH6RuSJbdIsG6z1FKDCtCL7Z2jRrIded2Zlr7
vxso2UofyTaiGUwAJOaCHbL45kVGdWz0wJvJTXrh7LtBU54dXCNgBKKe/mCJUD2ttQFrE1SfXF43
I500Ae4SKCP0AEeKx5MTSrafRbCTA4Urqwx6J2HLOd9ZGB3XbUo1s5Hn8gXFA9c7MIsHZhkojnrt
HDpGiIc8NY2TnOb6EHQBSSWTo3yK7WUTmfWrbM147XbgnkrAmZhk1AVDWOfezt36qs/YYhAXdfqB
nI0+QGwr3lQwPoxu3nIt9wnRcqQywTvGVXM0W6jei8N5ZXt9uWHnRRFjtBTS6il1m6kJGR+zwjrK
osd6ZtfRJxU0MaU166HVMD2IOd+oKIx20dhoe6evOQ8LtmEF9sc0HXCEOHLTugpuhj0T2c91TAYe
oSym48a13ahg3ZuhlW/ivoqCg93QpkE8VU+ZrLCATwLCglsY8DKsyN3aI6tsmjbG5K0dapz0i7me
k32UOSeNQO0+scp8IzCXbZWZ3Tau/S2WmbPklWx1E7qBseuRZQ8EipoDtT7mfZvK6gO+cHTZcDCr
VyyE2XU2u7y7FEgVtyq7C6Pr1LPQaZEhx5MRvK0JklRc7uuAEXQf2YXl5zxTpzBW44db0JZT0K5D
J2ic9rugMuRLlPTnfh4zQoZt+NhXmvQ5cTivoP+cF50IN1GMpHpyADGSyYjiu4nag5UxGv2lQfX0
BpMTULGZDuIcUhHj/p4uKS2EcFe6YqtX0SOVI1Oyaw0Fape0XULZiBfeasQP942M3wVsuUOspiuL
qSIV5c4DtpfKN1KNpVrFsPq7vqeyIfgQpDAORpS7L6UNwzBnQq7M/G2qLMmgmXr5ebYfCRrhpcLn
7kcDO3YNIuypd+rqmmbWb2zrtTX9Rcw9ePBWJT1rFAtQOSUhR7e+43Q37MFech7ahQPL22dMrjM0
HKIH8UBfVlQ8zaRRi00mDKqB4go+WhvDvY+TMbudy+nG6OaAg1unb2ZtgALThZovsoIYeqAb/pTF
xrqw0rskomM0UB4VUNg8DACHTfUNANXt3Fq3Uzs9TGm6B0ON5NGWT5pTl6ckxyNE6/pepdxXiTU8
F8Y4X8TddAzGngpl0CkrEVViRwiwPfU0m13A1xmPBjjj1cDe9qBMjbNPFY04a2xj581FeBkPLTRP
13hXXst2DvflMgd2sb7jwjs4Vv1KupZRD5Ouo6MctXbHcl9miCVm62VbXbHfSoS361HW/JCUt9/L
EH9/I59YQ/vnrhqOIuuByaXw9awOy+KmU8JBIkiaPe7nIxU7mo/7DMb9mNNHvwoMIoUtoYkrjJOU
LEZWa+ecokRx5PRWRL7B8zLsskDGJysI5KUluW0r4Jl7z8onf+6zx0pPeKfWgfEAHRFAtDZRJ44R
6uhEObsUmI2QRYqHOpRPhO1izkbt6GewolYo5Y85Xjqqf+Ll1JYAyiaOxkgsblzqHXT5aGTGKyk1
MEY5Fr9GyHzHXiDf9HFhn6kI196W4m4gLWW8rgY6suaofKhSftKxQ/OC183eT2UEmmSfuMxZVPhI
Xpu939gtPd0Wcl6aqHVMnu+5R0TcwN2B2tTn7rpKUNw4PCb2jdU0A8y4ZSG3QnKD63wK3ziMstcw
6YUeoWZGrIMV93EZVseBATDhp+LcpYH6YtSVQb0Z02uKoXkoaRzaO0Yc8o6g2mmjh7bcd+TVesJs
HI1beOeohNOwKYb43OWyOzIhZA2POhxRWXMD6ds+8RsW74KeToYMBYcUPY4e6P9pzgOdKvcRtG2G
JzbngLVZDK/LgPhDa9lNl01XPoANiP2OsxRzE+QjH6AeQT7dolR6MrRBXNQVd+zBEfbXkTnyQfOq
UvDCy5p602Kax4lWLlwvpocgE3AoaR6xZq0Okk3QD7HlA4fRK/xXQpa7wTGh/SV1+xgwSD2VE69J
kFvVDeI2xRJa7LA5Z5C21vHlrawo1r4xvmD7rKU7DjvGhWm12cMcUM9gzQW3qyLsN9mhz0jqxii8
m5aCdxaiAHuTIPfmJ4raMoMatvWQAqUCCd9SzDOQQWPCTC1f5b7GSUv0HjUi2DTw20P2SbSZrpTI
EmttVlW7At7FPFja0dpGSGM/m5tXFCQPjH9Es+2XPvFitOhjwfWDyFxX8C5nk9UnycB5VxPEm0jP
9H0hAEI1npG9d3NxTEhZMnjXp1PcGNoVKzVMj4mXMttUza9JFt9LASXJmYb+4gd/wZ8Y+RcvyL+9
Ira0TYeUBTATIXQBFXkpL/iBXazycNCsYoL4YPZ7zmbbdOqokpom5zcG8p8TA67hWjqmAAMElcDO
bzqfchbBYA8pAGBsU/jV1TGXsTmeJnum7+vXn+hnUzc9mpggLMeAFW3o9mLr/vkTkaWjZyvHrGkh
pmKG7x2S54grwTNFUbrme3ypMxs0L7o3Qmn3u19f3li+sX9/o9+vD1TaMi3TwdRDg+/P1x/UwpyV
XryJCw3oecAQVixEWPdGRA7kZldzvOoJ+0TSX+hdthAcKmYMQtmBj56uRWcIIrp3YbRdY/8jT/GX
rF33JQfC/GdzzHfLx7+dM/8z99fuvbz8lr///2C7MZa74D/bbi7K+Vv+Eqvu/UfTzff/0z8R5Doh
JhYk0komFdC6IP7wD8uXpf/dJKRC4EY4/A8Zn3/7bhbLl6MvnHGL5+wfrKB/+W5M+XdXugaeHJ4+
zPPiL1Vh//wU89eAgtAxfVmSQBSV25+eYh3rvRbaGHZH3aCxVCvtc965yY2SDS7IH76aP1kxlgf1
h/v7+7UMh9QPiRjh6sanJAgbRA8JCo+jC5CgJ5rn9qgMoxW9NmXQnzighb8Ln3xeO/h4rgW9Dg6T
xSKyMJd+XKSIMeRJYgKK0OTQ+r01QZWpo/g3eZA/+WDuYloi8mNihTI+pUEyhwQo0vgAYsUrooND
Mcxa6i40zsgsXBtneFEU/3gg/2Nc609+OOJtOtYRE6set8PPnyyidsCxW2cg0kQgMRQTZXcYnYhw
M9YMf7M0/dkH9EjbmZKuHMtdbuIfv0a4RsoA5MTADA2AthnPfhPloPbU+FXHDjPIP9sM/uOn+7QU
kwBYunkI6dncJjw/n7xg3JB6X4LWXPUDkOFmeqG8qzp1HYHtxEalLOQpUs3m1/fn55tluSjHf67I
24zR+KdnIWrZCcqRwOmYGLBBcrk4ZsrsNzfLH6/iLo45YcPh4sF3P320XlXUoOqQtJVR9ZexU2E+
aZyXX3+Uz3eHZeMFRYpGjtHx732ODY5T4c5VTdq1so36wRvS6To1ZXmgPut37fZ/cimHdw6BM15b
f/w8+BWSKBlAG9F3AliLRM+AsYM+xSdriLr5N7/Rcqf9uIbwwZaWe6q2bTYerJA/34kD09AcyYL5
B1awXQYg/jmq+mWOr8mruWOmRwnNb1OYn+//71f1KGAiMkW67HO0DBO9UpUbcVVDtszq5/GUoFqc
LTI96wkPg/2bpfJPbhKirabNz8e2R9jLn/+wuRoTF/Ezh+oTB4rKaBoP9q4zjb95rP/8Kkt+lfWR
MNinxzqzsK2RHQep5SlaYRIj9Afkzd+sVH/y5S05XFKfWIt515k/fxYgzkhyOjunoTbVrkxt7TJQ
MX6M2FEfFLaq61/f+39cO1yPsCHrx/LBjIXA9+N3R12AzMsKHdG25j3fMn6ZmZRa2XZPVW5cJW7d
+m1tHH991T95DDxTWJYt4PjxIvj0ppGUjeSIsRQZt5OzqTu7xEkgPQpu5+7h15f6w8+2rFEAI6Tt
wE3XF8Pujx9QyUrrMgtRindfcwGBO9kVhUr+6i3oCopJsKnjA+cvWqy/P16FQglKOmDWoUDGE5BZ
4h5+RZLt7i9+mGWV0tlxY7zU+TU+fRjEGgIi7TKVk1hh5eC5vKEh3P3Fq3hsPBzszcsLmkqY5R79
4XmiAK5lHEFRD7YezTdBuK6bEk3511f5wz3AE6t7mOeXlRAz/6erIIuavUtgcuUIF8BVOs/X37lI
iWyS7a8v9Yd74Pullvg5GyqT09HPH4hIeMxpZRlQ2xHAjynvdHGYqhje1q8vtCyoPy24OLzZsBAo
JmVvsRX9+UJYh7uyNRHtukoGBmv61Dp7VKNGW5ucKumKNad0WkuFu4lkKTXhSGekYf7y5yWRw5Nl
2IbOT/j5EMjzSh1U7DAmHvsxPE4B8vDOtPKq/M3n/eNvKE2H5j+yEHJJQnx6jjVsO2Ftew4yH3QK
JhLOojF0+xAj2f2vv9o//oaSCwic8KAE2Dd+Wn7lbNDykI8uhua5unKoj96XKcy2v3wV4QkOGQuw
gLV++cA/3PpTEUoK0hB2E5eKKhw08F46mOG/vgqi2qcbxeUMo3OGIDzCy+R7a9KP12GqgVXHGcJ1
QsRi3GS8v5qNPkTqzXHboH7WiPAhzzuK/anfxlVA2y5F3Gg1YQNc707WjZNvzVEplk8NJviqNkfN
8PHcp/qZFur5zbGhsTCznNL6PQgyhHwRYMKB5dTo9R1FBL0D0w/y5WZOFO65lREaaX3UxwB+Mk4N
S2XxsUHjQ5/APzjZ6MRlxEyHOG4XTi5T1sSLb5JoFP12aNxQWj7vM2wt9hhM4Pj4Y7GBAdcZN44D
hBeLc9IBTapSz1urBEDqDjc5br4uaaov2CL0nVUuFbyKT1ddBQKL6HNUA8e5QDZ15pWwPAcmOdgQ
Co2nsvX2aewZxfWMA2s6jJBy0hstELHaGg0tbmf22xMGjQLPkE3cMqmY3hZDztCbCFHAOzW1qXdo
Uajt27LBzLWNoCeJtUXcWNxQdVvHANwDdZMYM44+QZIAyGTV4C9PGzZXdPq5FQBruzGLJzMMQv1Y
YleyHkypR3O4Jl8bZxj7hYw21MQj5iKcRfhOdbtDnSxc1e5r0dPgoowSbbbGgvY1BTwKcqAezdTP
MZM/6Mzk5oPrYVXw0SKxmNdmXcbXzhTJB+K52bQHrJ0N9H841sfc9KPOgBdvL+Fkp4QoN/QT4/cm
ziN8YUEX3YRdyqwWK25uUJSeZgX7UP72m0ijeY93lxxI7eV2NiM6SVD9ssuz9hIZUHrHojKza4a7
lrzH3tlMB8qYChspQOS4CDb4H5E2oRFlYdv5w4hn7cVNiBlj+bb0sblED8xrevnALm8q2DH1W0yZ
IYasyaWnqqIBdlVIlFIwp9wRq9kEq2RtyVW29V1Fk3D8MpFmtywMHrpbexsbj6zV7FOaPND+8F/R
zLkqsP9jUA3pFaDnxaTet3/zqBVvz8JlHP3eYcirCvDmrTeHWzD/xqWe065+BF8eEYyvpYEBk/7d
11Qnk7qDsBVfL8SzD62RjQFUMW61E8ZkZ+xWbLBzFBpDM1ocAY1l9a8MhhN+1a7WPO3gjbPsX/Qh
N4td2HlZ65ueQtrTUsRLaGJJO/heUicEDvUZdGwNL2E8YLHLHObpsQpvxsxy0KLoivIuGERXzY6e
qvLN5aHqdxHcEf01R5wTCFKqONFrpE/njGRNth1cAqQHC9eVvpl4eAY/i+z+sh2sMDyNndtmt25W
SrGt88QEPqkpZW4MCzCgPy8JdChzDPrI7KcAROlUQgpUVpq7O2rM82rNSsobbOwqvgZtgmq2wk4g
r8Z0ML5MGCzgkfNXio2gLAQvIGa3lOb0sS/3CKiw21pL74htNHRYrjGWAAXCepy+Q3yM2QDDjMOG
lCNg7+2Ozu1nG8gXqiEnHm+PGpBbp6rJQ3HdQWGSj2XZdfEtMISiOkg3c+edid0w5BYKM3vrIYc+
KruNLwgvaeGGwEP5roMOCC+iSi3WhlYwzEyDCuPNEAo3u1O1m4Gj00uK5LykG74JIuD0F6RldF8y
6PfWRe14CQlmE5zyWDDt7ww3nvbg2Cy6xxph2pArOPDvhzQyqEDBEIIVlqfxqXQ0yHHalOU3DSRC
KABjpl2mU6ruWPgdE2QE6uLOQhxCRC/I6+Gjr9J7+qqQM8zQxSQYjiCkt7PrJhXVESZBZ1AtsiH9
Xdv5OqajzN1UdkL3NthkypyEUSlwgogBAcJ1Bl9qLEF1ni0PHfkShk18wEnniD2eHrp3qP7E7Erl
XoRTsps9DCe8ONem6w7yQ6mJYk3XWBQ4p4lQNAPalUwf1SfXzuA749qH4JrJI+HsBtvioHcefZcG
xDEdQG23EWbXTlu9743Zp+rZoYGnsTQDaZrq1VWol+18jHhajG2tJXqD3F6M7VH1ITLNKEH6btyp
sZKD0nVyZmGWJeZDS+gZi7uDueKo8yqfKEbPOf6OS35zlcmJpkyrYHCzSc3KeWFZU/qFLJ1w24W2
UEvautK3lBvgOY2cUjhfezgb3nrUcj09Tl0YYjGMDAzjNOgwlKhwUmHUoGWk9InvxMna7kt73tBj
GT7Rg8soDSxrqlPzjjCDtA2fFSFngCIOohYXA/5SNoWVJ+v3EgGnhhk3ZRiSzIIMBha5YU9dy9L7
OkWmWpVDaodbKPniazzVwx2+RPIXuSZ5FLOs1q4oHXeMFWXxi/Ugc0hIARb3kmOWmgSNJk+LcUOX
ok7opOoRY3o1Ijsyakw+TET1fI0tfHDWTZdPL26lgPYmwhrcTVqrjrVd0rKGt8/AAUBdYIO3loKE
bP//qDuzpcixLdv+UKlMffOqznvwBgjgRQZBoL7v9fV3eNxj9waQFlQ+llVapZ0TnJAjl/Zee605
xxTz6srDkAfOq0PVElgoj+AeWXQtUqQCQlzMroiKDbEXyFrAAOeNXRYwPx0iLGa0feizESFXqJgb
WahMvyQZa9dlmmCSMNSqD8Yy4AzPW4mDaRvCPmH83qOszNNgXOCgld0pWpbU4PNEOCFI+4FfVxs6
mqikSC1iizKwp3Y7ppw4RU0vH2W2Pl554pkKBEUNma2jVitvkdGAOBdGhICUmUWLaZ6dQLbTfCBu
tVnYDBgTJYS+oZwvXuZGxWdXKaV0x3AqZCvI5HrbiE0CD0VIRnJVisSAqT20xo3SSovp01uYTAok
bEk0ScLAsgFwIkSraiNNfHmugvoYBmId3s7EoVjEMiMaUWBuD8O4A7SxKJ7A+k6gjliU0SFN0dch
70Roe5GXHGIzagQtuVETdRlWKfb5ab2IKs9OHs26tAtQvqS7ilqiuysSS0Y/GsaIibc6KR7ISoSo
JdETwQBZiYuP38hUN/gHyi7cywpEhp/NSKnA/irXRsiIh41UtwemQypyVAFwwzNli1y6DR4MqCf1
GAQuNO1+HbMhtism5rq2jkMB1kyV5ZBt0O9qYOlxgKKRJkoQvwYnwcdaIIBo22TMY7lYI9EVBkF1
Mvu4RmXXM9CDkxfFqQ9or2cQbiKMxGGhEKhJ0cVgMEL5zO2vuQVE8PYa4lSmyCv8StlJFEoyhvRG
W36UkRaW1OB1X7th06jnBgPOlixohThlVqh9GCALdNDYAVRXQh0IakD8EnLjLiC5sQ9l5XHmbMvj
htdM8kmFK9DYiZhTmVLOaIv4uUV2DBUkODlgb9exmm6X8HJBcIhKfYxUEQ0UqJaqYgFka7SFvhBu
xIZUQR75AkF5Us60yAd6CqHXSnHyGIgRK4ggBAi1eoUi8be0uUK8kfQvDZv66PS1ABCZJJIO0XcW
jD/qxIS3QmYJIg4EvDoC/CXLvEJCsmrjXSfSMSuRxjoUrs3gzbLZDOs5l/AFZlA+7jRBht4xD4LW
+ZR9xhHeK1lpSpZNIX6dKHmU5bhJHEzJcFRNMyuQdVTBzNUZzth1P5lnaUyE3FVxiiGNg3+OvS+q
h19A8YFJhnPFa5jUSdvA6O7xKoSK0T20/Rz9RIpCy3QxCZRzObON74U5Vz90RsNr8ruppcRU4rTE
WaCEHCuk7X42Gt5VrRGwaKLuI8svT1B9k0hgwCjXOQ69jEJnwD1Sp9yTwyTTvSnTouPESlfdW3GD
5GqKjJZHiWw0w61hp0F6uurhGpjWug82KS8co9DGnkSnQsZVJdfseumcLKe+SEBHWWyme0MAW7yN
kkK4r/XQEO8rUw5GXEwpgNdaVY5T24uKY0aqcI4TaGueLg66b0V9v6/FQe2RRc9ERGhpVb6qIFOP
Q8+RkRI7zTgMy8glkQ5FwczXX8CnYTsIgpWs9smEQZmDxomex/grrIvinZhwck+wFLJ7xloqN64l
TcULYE5dZctVmwl0czDMUuCkodZxDCbAckGFVTUFyzSPT5lco3KREj8J85I3pxTmMGySjmBLQmZi
U0zvEToWHVgReQ5lamylkbvbqBAy3kritdq6diiA+BNDDIyHvJmW+9Hg9fJwRWmD31cw/vE2adpj
2CbDHU4vusYmp1AyT5cC6XzdJzNGn24ySWkXpAEhMkW7Y6CKCmze1piHTuz1CMKVrHbRrwapHITM
0lxeprrt35IayKtTXl1BPKfC1Z8l1CCklDxMIXTXabHTABVFfo4FH4Z/kaNTwFpIBUw4o/JQxor4
MCSs3iy2Gbx4y8j6NWFCRCVdfX43hapkOd9DhbXWoFJ/wz5SWivDjNJH0oMxBnQdKQLpNbKcYLnF
etQmYK9HOcUPyclLV7TqtY85yN1lOUOyZ+7tLHmpMNaEf0yU3nY69fp9VGFSdZHQy+Cha6OL3UDJ
IbSH6rKou9zotTtVl/tpNVEKFqgK6SZYJ4F2RgIqFX6pqxNjrHry0MLtkvP6pwTjhbVNTyhWMHYF
GgfldBo8mk0U5GWnwo9qSBWRvaGdtLU2kqpk19Sb5P+i0brDjNMTfAZV1y5TUXpEKKIfipm/xKnj
jq0iHvXhYYzBAfNyiLXm8cRRO9A+BZyE/VouEQ7TQ7NpD+O8gRceZqu6hRRj69lQ/MytAUCswJR2
snUtgfvTd0a7VQpCkD30orB9KECB5Y192b8IY9TE+xFlABhyDK3NivFnENiUGv0ZzTRGCwkf8U0h
tbnlyWUtWGzy9XReOvBfq6UYUGWOgyDEK9p+Cr9qbxpI9pZRXxvGqA30Img82+jOpPqmjGNCZmMz
0439kEvhI+TrMgCHcBW0GFou3wmlnhesoRS7WJb0a+2WJc0uzvtpwkYkJA+UfDMFaMQe6jSBxsuP
0hc7OZIwIOJaJ+WinZq4cZyhV5ufRhniVQa8iSUoMUAKrSb26grH0tXbUU4W5gXiOyzU7rjPQLj2
cfZcjywzdjurlNkLLpB7oTaX2yAJp19NXpOOG04o4bZjNQxvPJch1GyYfvH7MoNVwOcKiWkbSHEn
2eTORMynh0bK1mbTd8UKBAY7J6aDXvE59Yoi6TiogojTStLaa8RueZ3qmHWnzyPpiG0ClhIhYM0T
0pmGogkRFoo8hTARITjgQSZ54RLNvcr7VfeoK8eKkqS/QUQ0y25aL/Apy4WT6k8aB0n+LCK6k0CH
S223asOKNhUGDc7qdyllHND8asTV+pipyLUuDBUNlcyA/1jgNTFrz5mSaRbux4mBS52OpO2ZaL3f
xwm2uzMXE8Z1Fm9Oy1D/kclhSN+nixn80uohf6e47Z+qgRCfHyQI9Nl7QhLPgIKbEhq/UCkTXIUk
v7yAA6vqlZyZXXSndwyr6QLUyQ+4xWeyWnAdakOHO1nj0QCSRLGbCGRsWVrkBhVZrdzn5zaX9pDV
b4tSfee8m7pRZbwVmTw9JZbZYtkOrZVujNv2WnLiEV2Z+USMpzTK6s/QVOdo918Vr1KQFhYRDY0g
FfhdY+Eo6OA6PJDwWDb1SqVnmAht90RbAv/HDAKHz92O2u1/meUUNA3HPw7oRUi4UZmIA4OipL+1
ekW6cDIjg8fsI8rTeTTbY2WVE3sMkV/3f++lfumkgu1kIoKiDM0TIvlPfeHCGjSeTF3gAIK+PqBF
6ZAUib5dBNb190t9bkFzMGTuwgwJLQHU1880Vm0Chn+lSdnoGtNDyDboqt08/cuRN1dhJCIy8mYs
gjjm01yk1TWksFGCMUo1mi2HoGKPsEX55iq/ZRZ/jiq4jGVxQKc4Z9AoS59mw23YkSnTQdKyRiEL
SEJl17GDQS1qz2gxR8Wdat6MhsiZghhR4d5kw3sXdYXS5+939Z++QElEwgU2R0VM8OmDEESsSoLA
F0ihDOu9MyzgeaRxFLXwn3HFv9Jl/c9EV//r8NHXbLK/KK9emjZ6ybL/ELfaD/qr6//0P8gtQwJT
9FssoMvXh5zp83+QW7r433TzdGYWliEavHD/T38FJ1rXJXi4CK3QHP6WDf1HfqX+t2bIrPlEospM
gXRN/zcI6euD/8cTi24SBRhz1qt6CFnD5yneKGGIHcU4PzeT2OD+l9i+zMsw0iqBJWN+M+7/NBj/
fTU0aFdcNXMg47OKQU/CkZZclZ8B7qR+DnU0BE2InUfpDiU6WcaWRrz+40s5/t/f5U/c8z9ck8m3
jpaHOTWHmU/jNPjHRJFc/Y/DbNxOMTHEEzTTCsQHAh9jBYx1x8Djm1XtH26rKjKK55gqy+aX2zro
g9WXRL+e5UVb1kNnbrrJ+tEJ5i6DLeX9/TfETfb5W5Sv8jmdC17vK/LNjxM21oHCTDC1nq1byn2T
bL3YNdM3CjpYFnabvMWgTgoAK+FFSojBvTG7W6XA04TI3RFDl4PWIr0AkAUW3UdvZvhmlvdT/SPq
j+Kw6YZ3RSWPGCOr20U+2ePqNehmlxHLq+FwwbPiNPnKbJ+gWkH9qOwJjfZd32zayFX3yamMvFl5
m8s7dbhExU0W3S7Gky6slmplmqsAFCBYe/kkqmdTI2kJr3kNhGusTp0o4G5we+a9q0leC2HkXiMC
lLMZbJQVSdTAYqPcLo1b62F5IQUs1zps+tv4Sf2RvsoVWuzjov3MBHKYSayqaCmUR+j4jpr/MkVg
lBfNfKmp/cl8sAv02/VrnaSEf9FKkX8NGK44/mAbCnu/VTYDNkmoTDQdHgOoRYXbRr7IWEdjAIfB
0hHmRyOB2KX8EOJdM21hOnHOJ7BB2onVljD39ljQAoG/TewECOzQ8nkWaCg26Q5zkTE+Efijq+D/
sVxuSOT45jH5p6fEuioDiMthGPdZsFcTtxQyUNLPY0zCNcxhFffAHHDqhdnTBNRgJn7dfTHWsT0L
9R1nk+Gbz/DlveBlEFkGdNCopoTY7eODOhsduaGzrp4786WbO1Jox3Zx9AqZPOpQ2f37b/xPV4P8
zbJG0AkvofLxarRXOuBdjX7Oeus+iCqOjnpfOcWA4b2Bl/33q31ZaJBmGSaCWGYltBxZlz+MuQPs
g1BJUcNPiHFtZaopZIx7owo23Yjz2Yrvcdt+p5H5LVn9sIBz1auIVoS5ghT+s3plDshZVFNIAiA9
nxBGRPlg3hOmJ9qxyfFASpA90VyZvJZcD8o+nuUquovz4aSPBb2O3lQ2NLRKb4oHF+3h+e835bcI
/8Pns67tN8bxqoSw3dI+feOxrOGrlUPrUlQHAw7E4hiK05lr8i0txaGehdMxp2vJnzbi6FWBOxiE
+3nCL8jdyEpFLGScmC8dUVJO4ueHZidtiaHbGquFRl2DM9GxDmCkOOnwg02DGcdmtlQPNhl9Jb00
W9jSWMJmZNeiLbwJ+3ZbrinL9Jv2NbxEW3nXPGfb0I9WgVd7suHAfJUNWyI296w9/f1u/F6Iv94N
9Ew4maFtft4AwwpN7lyn1sW8H0le/BmSNA9lhVeAWRSYg3djV94jY5GPGc4ze8rtQHSrxieFiAN8
81AzFKbLfakO4y75Vb7yewAnHL57qqwvS8Xvb+3/f85PB4AmFAG+DZF1STbVnqCR0XSiTeOXu3It
rGnn1++4y5RHrNN+cBoepdtiP297z7CD4CaVV4ibgkO0sdYA2eSzslEI7Iz9GGNr75UZlBlGpi5B
WEu6T5iwTvddRNIhHnR7Ah/HXEpzYUinHidhY23sgs14lE7TeUYiaHA44gdd1AdxxGhsRbdEWW5B
CBF73QYHqzzOwYtYPnWc/OAzNrb6mN0Edumra+KpT9WhvIUBXF6aQ7IS/L9/v79PK5+/Xw0NHioh
3eIQ+kkUlaIKzINoMC/xg7iVbqXNcpvs25v8BuTjWvihPsCLPsEub5h5pTQFaD+AVnIGC4COA45k
fM4RrhSOWYJ42jTjsWlWGbZDCTs6/WcbDmNvekbsL9oqqr2ick04z73LMR4WP3RDom2YDUuIy/bJ
TgPC/My+Y5ieEG3ripfOp1dxEbb9xvyRPGNGOww3uS8c2XgUZgsnYA25yTjKji89jHr1QmZqpLm8
D2AcFdUVSl+gYwB5afCIBRUxN0Z28o2vR/l0JhRRC4F/pWoxuJdIoq9P55+CoYQaJ0cuegkOwSF+
6LfKJroPnMrN9nXkiJOHJ7EsEZY4Os3Q3M4P+qb3s12xi1fgHk/lhjalj4O0sOUfpB5kh3L99y8a
Vw6f4c9vGoElaksOiZaBqg8u0MfPyDl+AgBSz6fMXMX5qpS2NIAgeei8j2FG0MG0SyvaYiBnwg3N
6ireZMZJH05JsREt2H67tnpSrXuzg/nDOOug0WFV3DlYJzR7fjKxC69WrG33Pt9GEGLo4JwKTFyi
LRM8/EYTzXoJj9U7c1fsb+H8iEtammgH2YRFZmihiacbGfB6muGMI4Z5vyndWL4spdvW7jxuy+QG
fzIMpSBeYfWLw3WHpVjhBku8dpZym5XbQbwHseHMyc2SHuivQCK4rsbtLbGHTPqIK4yB0FiuXNzr
yo1lubyYQ/+LD193K0IZk7PZ2v0r6g5Fv6T9LpH9Mj1BotHnVwY5BM+ti6V1ex1Ho6F4KYiURrNs
DLIAV1EUMZExsV7j+2UcTZSgrWgOj2gRpQRnQhs0oRK5ehuiayDswtjn09mI6OUfMFsCoXuIDQJR
J8YU3K3xX5YyUEBoGl9fdYVsIFP99KoHOS5V2mTiuVAREoxTsgn0WfHqgKC9pTa+2Tk+lzKARa5Q
ZsS9NEmufYyPj5uYJxgPccGeQ9N8axGt2UqagpesAYVEAO2/ebw/v4FczrQg7srX4yFGhOuf//EG
drGot5oihpdEh+LTS7DW4qL4iWPsWuczeVEhoBubgtiGfVjjZR0Jh2PItbYqY9uUSvDNzZa+fqAr
m5qDKqWVCnSD4/WfH0gYExWe/ySese/+aMZIQx23gBfS9yFUAmwvwapT2FSF/GSlwk1cQ6bVS3Rq
oXgyZjX7lwdZKjzKGg3/E+2VawP248dhbZrCXJSXM+leK5VogkgdyTisa99aJAFoFRwmbvF3ovxP
bR1sUpgPDLZlgwMtyrxP57wpVjrDLHvx3EM58MQUYN8ghUBFKp68vz8Cn6tZTUPsSgeQ6dv10HxN
vvpww8NMjcIy789djbG0DJD0GeQ5LLC1zPRZURLdZT74zf5Jqcxf+2FZ1dA7IZtnDMS6T+bUx8tO
jVxdx7byOU23penkySZS3yxGcGl5s2SOmqx768YIX4qctJHBgvjAoiDemOIBZg0DqSetvlO7c1A9
FOJxmnbFdJmrh7l9BYZCR+MSZfuxe431ndrtqZaZS6VI9Od1UR/mZU3quKR6CeMrCZHqFeb2mBuA
h9FsbIx6zQSBxY8Tnnm7NF68AJi0p+pkEPQbHIv+gOs5F5/EmgVcFW7qZa3Oh1R4LzlzLLKGAoVY
PNIC2HrVRz0899bZKB9qg5MQxNVdCtEq9GXlZ1Y+aJBTphuy1JmKsMcNxikTgd7umtyVinfLwIra
7nULjzu/dO4K2UqMB3vItqz8i+BZwg+CM4G8ytGZE7ahM8UiF5W7KGxl9VfQr7ThRSpvimuw+F3G
8Vbvtom0isbKHeZNwr0S2Ggb1xD2MZrDKjc9rLyuoh3m0u9/RqXgmMULEAc70p4hOzgIIyt9lV0z
IxDvnQogBM26iZ1S21QmM8MN52fduBv6u4gfjcnFa5RLO0OYfugtX1I8WVnTo4gDDs7XtbqtPCXZ
jdo3HokvuzZlmUxD1ETxr8G6/7Rr13ExErIRqOcoJjVJILjEqSoTPUQJ13cmEMeJJSQbf3+VvlTT
xH9pvLNI0wC0kaj46apM/8d+KkTlvOhvBfE4xG+Xi4cghaymXVq/k8Yjghqa2EzDk9JtQ2UbFCsp
OKj1Q5dDA3bb6Ukw/cw45NNBzm8giZC5czI5CminWXoOQkdlHEs/gaKx2SKSQfYHl3hOjq16HXZw
Z+dtXfqD5Q5b2dhf2SH3VHVEzwQObCxr6D0xAvTgIoYaFF8OXJFYT3OLSsiuxC2M1Kn9FRa+qnld
5pVvgb6CfsmfWKchPUBQwo5+i2ChBKenZSQIx2if+/2inioDfFPzYCjbkPEO7DXFNya7iHd/v8nY
a74sHdeQPia5HIZxZ+mfzixmSzN9LhT5HCtbMlCoFoZ9ttGODJqd8R0OSHlYcM0/qoYr9Q6zfXAF
Ce7xIYDbtkW2ZzOdhqttHKpon6mv1/8QklIZ5w/IqvLBzbDbo/5iDguclYr9Mt+UCwb4Q1QcbnEK
MpElyp6qWd2o7M3K/GsaCFFVHntSCYySf+3LaZNLlc/Y3sqerfhlTg4WPR/LCcrVHF9ILJentfBa
HaX2YAiuFO7CAXTCQzDfD/3gmCGAvPklVE8QRzkoHdRlheusImSXOkCUmJCPLAjN7Ty/mP3eKuGH
GWchJsW33w9uWTtBdxYFenalI/RbVHt2DRpCs4fFbfRVpED3vmu10gv6V6AlboI2R2vuRGu+3jJm
wZc+XTNn1poDXj7U6OiDCLV06pTRseHOD9K+lw+1AmXL1sUbNT43L6MbSkcCnSskDaZwyK6qiPpW
C26CZHTjYaU1bwprW3Rgqr5GfMu4SdsXzbHVHqQwWKchx/Hqtu68F43kZ61/LSdt33fxJlL4C8ll
rqZXos5z45eINqBGSdUuEYTWVcEEHX6o0f0k+cXIA9Z1XzHK61EoaFagDTwdiSUJbeisyRHdBsjd
yeWGAgt/80huBDiF1yp705Q72W4GV5hWWrrqY2rmdTK74ZW9QZnvI5+458tcFc8P8qtAivWyygOQ
b25yFu570ZXewsQ3Obygkxw9q0QizYj+kEYr9oPh1N0A38CtMvCWu2w02SrazIkfGCuIFzZgkBqV
ZOZW9126o63qZ3BJPcZ+UwW4YyO6+ypbAe8MYdN4YQvSxYsMX18zrPNYH6InEnvK53Bn+eVN+iIc
a/DXkj2cJ6/fjEA67Pa2p5eqbxBzRufoOSxs6CPgVdHM8ulmlb3MiTfk6v6AIBc486lRXfVH8c2Z
73cc4seNH4EBUzp8WMbVxfapT1RSy+cp2VRnVNsmMJRKJItncDggRjZ0GuAekgU/hejpyaCvFZJK
a5XWLtNp7MS1fkNmyH0rGPsWUenfV5YvpSf9QzxOiorjBOT5ZyewhUMmBiU8nZOIWKpQQ4qXFkP8
bytKfnV8zZKBH8eAsPhpj1C6q88ymcUzxGa6z1r/IEbiEeQHh/zlpROX45hY36yZknktGD/c9auT
FZsuYyjuPDOEj+UWRjUkbVCyzyghIK6LhpuDfuILh/YfAr8kLM2eFE+X1oV8A5c54jldHjLWWLrw
1cb8RXT2K8tP1V1bFgSeG9I5TErEvU8GoqQJe7HGmrGbo1+9flzGX1L+aLQ7MXsd+mOdHMvkoRje
GahfI9yRd4MVJDuaMW3nponbaw41p0QXHtOOzzOQRH6B+o1El8krqaSSbdxsrmDW0WXMCQOINwaZ
Da8uk4co25q0lX24jWt5R0NjTSFyAn7sBA79QpfW1UryZ4eURr/1whvzFDyX78F9+l49lh5hMzvm
KPwcUyO/9nRveEp/5K/SU72TNvLzfBL4t3Yk3DJGtI15hlNo6fJPEa4XyU+X8yCsyZRRjP00npBx
KGsyM4b055wfJnlHpLYwHMTkths3QosWgelXXK0H7ZLUe5EcYbeoCW/fLLIf11sp3WFLFMJNFq8L
sIzpaprQS3O8sYHC8P+Hs3hXPwF8yZ9AtuJEMeh3SqxsLIEYyWzjKX79+2vBQffrw4MtE3D7tQPy
9TQydyYnyKxfzpHkKvV60tdJsldVX5r8gLAA2AOSq+quHG8YwREHAMXXVp8h7DSqN1R3BWLx8oZe
vLkcOgrrGWEUxCAgqV60+KiNQ45viY08ChHJk4B11ilvAO04NENZBPULOQ5wPhOkhrfBZX6EnZ/O
PgIc7aQ+Dg/Se3QuHpAoK6dwX635QNv6EPkpf4H1nI0u8sVyH9z2Psh8V94UD9WL9jCsSh+qjsB8
/sJy/641qPUcusqS7saS21c2Zp5qHd0aa6j+4kvRusZa31QNzOw7/Vb3q230XJROptqZ1266dzqB
bJyS3T5pUJ9t7aAcNI9hvJev0pXutn641202E0f0G48TjPCS0KDhhQIR+0yvRbwE++BOhIbEvXsT
3+QNMeD0eBCFJnZ9KLfjjbIe1vpby2rtlb78Kv9IduQZaSdgWOodanneODKTIJ8uMOa8cd5iOoMK
tRRrkZnV8FYZJ0CFs3KJqmWlTXsrAhLu8Gfwlq6bAon2Z/Gp+JEe9KceQjJfySG/r2ubf4zK45+G
eFBhrZc+ZGJkYSBYI8RpJbAibxzXVrsbhJ05HMpRpFv32M5b5O8G6/vrsDZQ0Tgd3q/YG6MVnKXh
BGpSuh/ftF/DAW4cGNCGv8m0c2aUqUcHSRjWDcn1IUnhfpWuWm0lY6TCz2b6hurywyUgI9WOCLFD
74AZ35kS1ySur/cDbYuKpUl2iuRrcL+VjST5ZrmNxlNKizVc6/27GlNPXRRGxMM6rleteigxUbW3
I0eTxOs6l/+yN2DorTAodCNLHVQqJ4X/mbkMEZH0oKYumUR+c4r42gLBpnyd9GgmKmkFL+zHtVrV
mhxOe76c897oyXLgDQ9iSN/pwLwjSo1tB+O32aNOPBalR86e7GJivAJfNVq8SvrNjv2lI8XHYdtQ
rsHTzNc+j/IahYCjsY+ks/RILM1MfvlVbV0y1pjMb/YpRn1flhqEO1QGuLMZ5X3pRohZoAypVC3n
yc3X9ba/mfbjg+wlvuWNR14NSNSLBMty20/YeZwGwxUt4nv5qN4hizePdMmT4QjfOaFjTpI7THPB
j1HsFY4cr0xguz+Xe2w0jvaS5w7poEjTCU4FMUwvEwKkfoSJnXe3cN/h3F9taB2Cam9Clc+xjFzd
Y/J+fdFv56d+WCvJXajezIOnsDwf52O1k5+adbjJ9523bMNVvLLO6Urwut18xCqyorf6g5+7ZXl/
KF7GfXUj+yPrknKjKojtbgweSVwfiacR8dpsoSN36WHpjlN6yFU+h6seobDR8VXr63IYKIy/PME4
SWw5kqMafDfOeBTur2vjQYRmaIfPJWX4vXhkvkZI9LvAGpnt6BMjEQ+eCLdgDsOBiDVGPypn3dVd
ZJ225i976lsfGLUru7K/vDdwXi1buC9e8WxVrcPnTe9H3jskxb+40delZr1s9cfo3JZ2fFfecRQS
ttWJhIDo11Bcd03rzSK8x1ElXDzYLuz2FadNzigJp4ls9++lVxzq2/iRtsnWvOm31lo/J79C9udx
2+yzO+3nvJUP6asFGJkV60hTmH8L0za5x+clW65KdAiTI2mnYU/RnEXfZ8OpDXZmezNaLizWcpuh
y5/203Dqu2OsHkLVJ2Gu111BcSvJj00WHZYHNxNWVruC7Sj06yVexZF/dfbMjkoKwjMNa71l4XYh
w2sJT4ud/kAJeFUWCLbuzd2x6g+yvJ57PClnWT2krRMR5cHvXeyF/kC8j9AhEtcOVvxQhVvw2cY3
fd1/eGeZVCBCumKCdCAwH5cQFKQGcMFuOS9LXt0KSlzsUNVOSNQm1YN4O//rNQKuAewjg94HeJbP
w+mk1OdkHIX0HNBQdrrYZMVs6m0ppm8wlfXvmsRfOgA0d6g5ZDLdJZF14lPP0koqPEyRmZ6TljiA
Zc5fNQJTj4qRwkjpfmKZCLCCeWHUlZ6F8MGIJmy6RcGWqrNddblM76llVD8Lq26ICYi1SNywwvbn
30unz18Dd55u0LW7LiI8lOVPTU5AjSKk5JwcG8KCGO30PKa63rkcdpxllPvN3y8nfe7lXq9nwrDW
2EDIlf59Cvijm59WVr5UbRafzXgZd1k976ckMP20jYhji5efBPLW3pwosTebC4OWyDR8WsOFU6pZ
sxsazoz8PmjEEzVYYwomHUurjH0Vp9/scdaXOyNd9ROoKNhVuDfapzvT5kIdpI2yXOTnnuuRwDPY
2Z1wq660S7Ayt7lXnpiXRhfynX4pP1jqGYrGz1nqCDn9WrDBvp4c1dIHgUG7hlw9qb/JabjEvhD7
aepSksCqk2n9SDH7/4WsZnVYW+c82YXSrggcrd5R5dWZkzR2AbMZl6vpQEi9xltH2Ubq/L6hiPAZ
fRKiJqguIPxCpnmLS/48Uu4nXlwTY3+tWmAiEuyHivYVBvGpxpJu2APKgxbDozNAC2WIQrlELcd+
9KNj9UNjZThYHqPEbSgCNQig39zi36KXP498yApN4/rsMUeA8qd+WgNQbRu0XzPxAp4J4Hueuoox
aZC7rv4xYcIuVOovQ8H+CXR01ebiLZFp74mVlhuGIse/P5qf31gdfSo8DcPk0dZNSFEfFySOwpHO
K1tcMDpJTHEy4mxG6MLxT0nuqVrvZ3zNyThZ3ywV17/3403guqpJv5ABrggc6ON1C0KhLL2Ni8tg
CX4nIeqqJljesR7YuUzujW7o37G9vj7ajK7AknNgYsIB3+PjJQVV6lpJqfNLUiaD1xi7WdEDDnlU
80me+n+/r/9wseuLpPIGQWjhLn+8GInGWlxpGvc1qR/jCLtuqpi/Sqm/B0z7XWX6uTjjr6eJcAUe
YX25wjc+XkypFZHmdjhegiWl5Va01NoyI5u//0q/N4tP35kGCgZNLNlgqMc+Pbi4ZqdWqvXhYh5o
utF6tae7KLFHnQhjXn+KPsfk0BuvzQwCN+mdnka9g6C1uO9xYRe7JDoL1m017SoSQwKy/TRHy/xM
8+QcrpDXT+5Y3yjNXdW6pOZI7WqCuKmuW+K6APsHu07yDA6K1i5UvVn1mmVtBZ6lMaJ2pXeOk0yt
J0qlztFDN77L76QHY3JE3cO9Ud1Qe/Hn2UNK4nJp15En1cRiO/LggKgtGRlmN6XidfF6ym8Swx9/
H+LhXZiCMyC9qf1a8UJjley6fC0GKxjkw6FY9d/c5C87BXsE/6cgPr5aAD7PfVVRyCOCKPoLTjzH
0odbZnz2Ysm/s68fQUrdYuH+bkW6fnEfv1jdAkwEG4b+2rUX9fH5KYyILFACRy7MJBOOgfjw4Gh4
iqah7Rpa1RUVkZbQMK0LAfdnXVbfjZe//toGxyoFnptmAZL9vS39sUGKIW63kfisSyaoD1mcx5iD
osBJaoT7XSLLblK+90aZffObf31LWYLRYxIeR8znF9wfNsy0ARDfXGbgLNvOXAlo8bRIc3A6Cd/0
Fz97EwBpmdQAUHF0GWkNOrOPd1noxD4Ym5KLjealFqU1+RQJI4H3aDyWQkEch0TYymIxQsqq8ptC
8B+ujvIUjCLlB6UZZo+PVy/Z76MCg/1FKESLmcXiDkV4UHqNtLY4Psz78Zp1KSvhA5O5x7+vHF9v
s2WhPVQAlski59VP15bVuIIWXTSXNm93dYtxG9IU60Wv28TdfLtOfXmauRptMahKV1X/50a2NYr4
amutvSCtIKrT1/4Pe+exJDeypOtXuTZ7jEGLxd0ggUTK0pIbGFkkoZHQ6unnQ83c00WwstLmrK9Z
Wy+azQwAEeER7v6LvtkO8MvtVtafFDnECT1HFhFfEfPCcvoLCwoEnLdkiinkgkpR5D8/csjbGEJB
ByzLRkBulfgQgofO2/sWZZW8UtjFMi3poTEghnAgrECImsgjbHUrAIJZpOK6mcS10av6fU2f/etp
eP/Of+xzyvuzCiqBhZXIdvvz8XDhgJWGj8zdWDbmKhjG3wgm1GtceWoMTOjucxkwgK7TysSgiMjc
kESX4TNGdDS71ExdN9AY3Uznulcod7KGE1mVgXgr4guP+teKAa5qcTnHMAr1ORSl/nzSLoeNOOR6
cW8V4LcnmGG2VZQSNlTJW1iCKPv6y/x1gM6YbJ2+B5gL5O5k5c/hrLqtpTwwTvejMShAysGt4P2b
XtiD2l9xFoFFIDTUbWgEgMRdxNleq5QTVg/RfQlYLbIzS35VpOGuDqdtWEang66CVgvGiSawWhZ7
XeM5LDjGR4ix174YWDcn30rW/gS8ZzC0HQYb/VWhRco+kagp6NOLCiVutifRr+FcgxuaoO9P8psJ
kFcI/R9WEApbHoNqKUVhOR2urFKj2p1b6iqtRtAGIheVRhV2QuKf7qwsd2IFoyDcNlWvMMT6tqU6
6jdmdzsZburL1h2wglFrZrvjZrxqogvX078zp1mTknMBAg9prGouZqaOkL9r6zS+x90WyQKTlnAn
lhhPpdJpJU6U/NBd93dtm9wQzB8g/2CsLFq/cMs6onLlKuh4PasypncVdYBKtrD6Ahp84dR+F7D8
c2fxmDwi+8sg01sKXGKjgAiSmUf3Wg+vVuk75VpqToIbdA1UQYjjKWxp0ARIl6UnCqcK3UWxYu+H
aBo4hSIljlB3oAH9bI3efLSdrOiAHWmzTdTWi9K6PqhCsJ8NsjZfL/2/Tt5ZYHfmOfGRoQboi4u4
0uaVEGp9N+O6LE9haRzosMGbB8CONv3JTs2hdf73YxImEb5GYx0o6WLMXtbA6cKwvZPj5m1CuioL
0+fUT7aZ6XMU0v0SxHD99ZjSO5Pqzzni1s9gM6LOmuPKn5s8UZRK1tNmuMsjnHWPunpv4HMjDU84
mAZ4MwbSi4anWrJvZoV5kDsgNGF7omaCscKqL0s3itBvgNUzZisRZkZk1o5CvlaPoAt8dCgmABny
DwN7rPyHPpxgVe0ryn4wgOTuupMTymJQ6lFqvJOHqw6MT5Fs/PEGlyhjdPOEjJN06KlGRqUrHjPp
R1+6s7JAq21VC+2E34B/05D6oO751NUz9VE/bcznXHf6/EVR9j10G8kGK1XfaKbbjvTDgP3QLNVd
vV1ZuDa1w2+huEuokWelkw/bxDiq+rVRPfpU8fRnNVVdM7me7cWrO4QEutMaPYBqoB57NRYOygnC
K7GXtlek4Um1NmawKT/lJjkUCw514JCedEnA+++zYNZHN6HLUHyfbX7/nLdUHPux1WXipIJviT9Q
4vSjqwBw7anvkgtLk0jMzy2XybwTZi1jNCCXusmRlmViVKr9Xauue/n2pNv+dF2jmpOK5UqDR5zO
eiAvhvndKo4+k3jy78PmJWx3tQLj+5ek/hp6Cl3FTVD8SoVj6Nvl5KrJ89R6IN9wJfbxpewfJfNx
HFusJJ4DHLOb1rItX19HNMuEeNX49DWAVmAKYfcJbk13fXjE/zwwX1oLoFTxU8YBblKoYjBDdRut
pNmesyxYz1jS7cawsjU4Pb2uQfGmuk49ZaibbYcSh9Lnq3HVA6NTe9S61J7SHOXlpHHGDpAEHTXr
BKsBnTRowNAfVFDCLB2MVwTll6T9jAS0cqQb6wXXZXD0lKuA8+fUDIKX8pR5HY8+UtWu+FO0Q+we
XcNQfwIbg6EIGlM1ZwrSI1n3qn2DQNBTka/s+KkDspSiw3VbFXdx8lOlhZzIFlWBrYkLvRU8WMFt
VL2e9DsR3Ez4cgLBo+9Li3wXWhFwtyy+83kY1dpaJ68tXgFRAWaebWHAULBiWw9XEhN0OvXocmvi
QvV04uRb+aGNciPVFrpp7aP8W7of8KiBionVZ5IcZPgK6srggUO3LW6FW3qD3Q9lP2QrqvSRd8pX
s7oEEQFTNcAcVG3AsMnOCTwfR6XoJOaPXn4SLPcUuHSEMqzCe8xMcExd4Syst54Rb9Lcm3XKfLyz
bo3+m1VTmNzKxrYc13G17mdO3lgBCznE7/95GPFJB4oOS64ensUQB2P5tT29DnRzweL2oWM89T8n
A+86tzU9KIa0aSv5wUp2PlZ/8i5oXgITm9lvRvd9YmWaUFhMLh1zx7oNXdQqC9YJvVHLO7WugqMa
atfRilDIP3l3qIT7BHxUsiUzG+RdkgIfwDTAjYsrHbhIXv/A0tScBjupt7l0q/LwQvGzk2679N4f
7mNajrXmQhkxK6zLYxqGj3l4zP0rRfLkwAuzHZqgPv727Q4DdtTISPJRcgYjmU/XUr7XJQe790y7
G/tn6HxK99im62zbnq5H0xtUxM4eqgSC4J3U3rS0//1nme0xDVvNci0TP5tVpm3kfGPRKAUMtdNp
S15SkVXny/4ikBhg4cj0RFni0vfXHfbUoNIwdncTbcBZQC+NkczI0YcbJfE+jhG3nEq9v1abEmXS
LDjkaHY6aBNieiZSSylbmepwMmB4JoObKxMuwUanNCs0wEAzIPY/6XZrdQ9mnD80/tzFlU9uaohg
IGY4WA5kq8nCwSsHDBy1DhG4ruaYSi1EM7Tw2WoUyS6MDFFIIAwKlxG9xPg+1UF9Ticv6QBoXTiD
/7oAczOCdzhngxgX4IHwZygXCq2OpVBI72Vf7G/0sHNKJXdk1e/sqZM4jDsoLWbwAyOl2hZFDIwu
PMBfc8IDzCzBmQE55+DzA36oM2it1BmTpqX3pHDqIShuqAmM66JRf0c1AMKmafForigRV0jcrfJk
+gl1nM5TwUL/+lHm2f9jdcxPgnuOTBMIVeX3KvGHJ0FkBh3AuMvup1R8DbSJs3sk78KN0/R0+Uqz
iOtfj/h+rfprSF1BzgDgLUngIg3PM0SIJlmlAFrjhGGiVodnIGZxhWXeZGoAfaKVt3qFaK55qn3X
V6trBFsfFA7DXYk2FbiC7DGQK/6aiT+nqObdqqlQqJJ/GQOHFhzo4cJXesd2/fnMcA1Mbqdc/UGm
LS/W0eRHiI+XCWA41keHu5yHFKy86mfzUamP8HFL0T2TMZl1dDC7sZUFNw1Ai4CmY4tb3BrZRMkb
RbH1ZER5tLLG9rMNpHXg1/pay9EwMo2ZCZPFQDLqpvZqhMQ24wnsVRhGsxNwfRilzOtH+ZLb0Hxz
Wb4cxEymRFMhcxiLG2k9FpiRoiRzL0OtsBEUeRjFeHNh1v+6zyhYM30YZDHrPtYuspz4wGlqkXbH
hMJyJCEp9/4v1YT3ZwTyWtcxMDuleuTqtfVSttf5kBbr2BCrdUrejcbK9WDCEuo7gF/0nlYigAZn
QoeZSywnwwCDKUNoBAS/uSnUAHJCIRhry2F2lUtX+b938VxSl6llmYoJhnyxi4sIY0UtnIQ7vQHe
dMJbwEVUjBKBGfTbsCBpQa3JbgNMUecibxBUkGtNHZhWb15YoO+F/MUc0r/QgUzOjYy/PLAaS/VH
0iThri1TT2uUzisbvqKAa+tJw/VSkosROVMEYXF7l6VRubaihksCbAk30LiEaYjzebFxCc746YNJ
s9ADcg+iglTFn6EuL/ocm/BKuCutEYn2oL/DvHXL/SB1iG1QgPPmtWt9B1nrBBKhsBepJqwMRLnw
20MyTRHC+1M2vFxYjnNut/xeJMjsZOaNlH6R+1VtF8VjUAT3KWZ2VxP5rK60np+aPbJ1/lb3rcop
EsSiBxUPD5X/a1bR1PeaJmEdvR9OB4VeqSrmwiaom4y7gv47t2ZnThSDVwPsiPcH/v/qKv9BNfjD
3Dnfm+//51fecCOZjbn+7388fI/67/lHTZX3v/A/miqy/J8iiil0gzjNWfpM4/9oqkjaf1oyKjwU
QlEaYUf8S1MF2yo2O6k3nWWZJtJskPE/miqy+J8aptY6WTlUPlxW1P+Npsoi1Re4biFtQoNqsbi6
QDIFERurQ3GQrocDx9pGxvXG1vfN4yWq8Z8H+D9jLIKPGlTiECaBdNBv26vwye7XwuuH73zz35vh
o2DKolb//34a668/t6xhJZFAoRrx4oNx5x+659PhtBZ/BL/VC+VVNKT+2Ib/DDGfFh+vHb1mcE2s
xUMVdslNY4w+1Ne4cuMW/c/GoJLnZBbSGWkPdlau6207Rv6mr8VhncptOGtZqh7Sbqiq9rG0StIC
GKJWIyXpJ5Ej1+QKVsbleiyBCGphKTlmV6TrJka2uVe50E5yXLhtT4IVWLHoWWKI/yH5v6sXvome
ANzYNgxDT6p089mUELmWQaa/SWJz+t1b0JaMQlNhi6E1j/BvQDUwyxxr1BN7jHNwEmZaVKiEgQkI
iQdScNfUOUal6BzSHdZB97fhJjcp/SedUG4x8qDiOmDOi7HiG3jakwJxt405kUttbVLTuw8qRfUQ
pkMPsuybn+KprV0fvXcPWzFQo5Z8ekGGVNnXVVUgzt3kLpZjyZVfpwJHU3by6kT+ngw9iJbGjJyO
JvSxC/X8YazoYQpBBCAEW8FD0p1Q6fVJC4ORMrAfN9xHs8x8M5L2RG6WIg3clf2qD0EhJ6KRA9YE
KyGH5Ntob44whmEhZXEgUXeqCqqzkrKNlfIV99vuGMsCripSVnoX1uqfZ/E/C2lxvMRC2/nVUEq4
WB8E9RgZe9qxITn0bKUsGHtdv+0jBP63AVKsX4/5543mnyHn69SHtWv5OeL5lMMPmdL3qyCcyyZj
AhOvRYVGl0tkD1p0HYVQugQdODfiHAM+jNiqJ6OljiYdeMGN7oAChlnjJOKFF5L/zIv+eaNFPmSM
RlCO84avgC5SwD/GrTvcZLwO5CCrg8AS5nvoFbYPP7uz6YmjUhHtgLNN3d3XH/W9x/HPwfzPMywq
7HCeS83CbPVglhGqwvVDb2RchC2EPeKjqkZunllX0PMo7qHMkxjGK/5HsRtW02lXTeoK+/EIlGEv
PYcSpa4qWKUCSMjJOL32QrEnolz4WnMU/OxB5T8nA+UatNrzejqkZU356LYHoa46BvoHUb3XfraX
KuOLfOmfL7I4RXQzUPSQjOIQd15VPQCG9FNbhj31YvTkQGsFzeHEdE/h3oDpR7F6BS21fDSEm6bd
VNl9kdx8PTfnlt/iqCEZOQnTKIwH1TuZTtsj0XHQix+WBHqu3349xnxif/ZZl1khOkGA+dJkPCg2
nI/9NbSIw7iKHe0qOXZbJD3saEVpBfxp74puYENCWg+rKwppnnVbru/hCGxH9x4526td6oIX3V86
aRdX2X9NhLk4rEzIfLio8GiS6Ymia1GJ149zv7GvndPv2WeZO32/Q8zZBrxU/vj6i5y5RUC9/nOh
cYfMu0mLp0MAHxTMWE2VjfIdPlhafXV6pIA/7XUzvr4w3Lx+P1nX5iII1K2QNXVbsAG9YIP4g03Z
bGURZyBsri99y3OhZok+6AItDbFbmQ40D7z2Kd9Wh3p1WhUb/956zDfdzlwXK98Nj74rbOMLpYcF
ueyfGVyGbI2cXtSb6UApBujv9wjxMwUm87rnThBe9VTiDA1GMmLbld2KCYwjpFdtVb6wuhfYpX8e
YBHddCM6of18mg6AXCiyp0+miOO4gtIWRVUTs+3Y2HbWvjp9qwMLMAZGLYkKJMnwylDXHZR63Yh5
0fotiNHvaaWYdqOBRE/2Sf6KDLRjWvg9DMCyx2+TibiYCJfFMtaYR0Aybdyy3prtVkCD5nRn5g8y
Irllui8nZdWedkLxVIt3bcwWggeuPcf0A4LpCQCDLZq3Mk+IS4ebRKLry8GdNF4riJ0JeuKM0Zsx
pqva3/oTrFYPK4S9lJ5u4hO+WE28DwUfYHTjKqXXTFRvqckq4U2gAoSo4XzmoEujLVzFJtc3g4Z4
Wn/Hdacfjj2NosIXt9opYqLUEdnYe32Qnhur/TZ0nOTYBLlKo11h7PgWSi1+9NOFjPpc2DUW284y
o7RpJ8Iuei57WpDiMd1Lm2RPcyO/kTb0Cb6bb+JheNSfm2N/Lx/qzYUdON9ZPtmBS2exqB07pHsZ
ORBuZHLl3s5V7Oe3PmL7TyeZBkuASvZu/lJjeRQV/ABuvx76XYXrs6EX1yjJaLC+g49+GNL2OCn0
qUXVtVDIpg7fe9jj3kyxtp37sGr3RE7vWMJEnUNeaaantg9BXb7U1t2EzkJVfwuh0sYR5FTjQQN6
18awYKVyHcNAnUQoea1Xim5KI6eoWJAdub/aeUUJhhfVmgZehRmEa0xgjsTcXVzCYBeKlZRGroHO
VHCQ/B12AtACXqvhIIJIaF2IOmGf2tlpM6pQ9MIW+jEXVnmGrl449pUzKYu2iI96Jw9dmAXyAahS
Udj9yyhsq2w9eu1vBAYVyWX9uoNml/dmt7Jev/OI5nX1iIMEZX7Z7p6o/F8V8CSqWX9wOKgwBkC/
JA9fT+G7veMnU7iUNMimNkT3UpAOQ+uFa3p6q8ztampnjmbs43UBgRf6wf1kPkI4owI5PBPiixXq
9e1K3vTbk3Ioa/qM18C69av8Uug7e3ou7kuiKQxm1xB7W0qepdR5g+SEAA36XKTdcJSy1ybZsMLo
o+3Mio4fashIZmKVdYH0cGZbmYt7lN9naKinxEbUf1fZ4OT9QYEHcuGzz9P/yWdflvIT7i1FbZXy
AVcD8dsQh6iBnCK8Kbrct+PK6tZG52vrk4SvSIVq9c4IFWmXSonF2/bQZCi8ruR07ltPSbSWMKPb
1FSV7UK1WCkoRthlAaq1xoV4DSoPS5xGqu9kxRzYel3avCU4E19Ch595m6Ve8ITBgdkEfCsuemO3
MblshJNhJ8Pb15/r3Em8rDUP8ERztSLQQP67gou+0lxhhf0LcVVyfws/o3W4uyh4OR/vn8yNsTj2
x6iQVBrM4yEMvFbyv4GJcsXslpzVrwivd7hH2x1m3NjPVftTfA3U/uvXPPcZF8d9FPaA6DCjREfc
A1GZCtjXCHQxLuUgyrx5Pnuzxaay+u6UBhh1HJAF+Ca65utbve2drWTrT+tsN+93UB3EI3OT2zei
jV6A8yat0OJy2h/JD247P79+0UWD5F8Xm6U8kN4VjYXXxHhIpKPav1H3lE4b+KDRt+ypvu2gYXjG
HoVsGyKEJ+yybh09xEdB9CrqN6JDD1/6nb12waaWbVh7lwiD52Z+kbJgZBUInRqPB5yEbSv+lphP
DaqR+PZMvxNYQH2AdEf5plyVvacVu6l1ImQYxnFuLAv+th4crd5NyNUaR1gAmXbpkn0m09YXpTXM
8pS4jZm3aU08EL63687NHPlZ57Z7YUbOvPrSNhT1MEhdnc6iP9Ruc+jv6mPpcWED9+7Qaj7qL+VN
vMld3Bxs2cueZnJ7sJYu5IryfE36ZGUu280UXsUc+zM2ePpshV4DlQqHGWCbK/yxdBnjB4Gz3FFC
HTlCpPXfENHwn6bBgcGKuDBKeeWtGr3ip4cSiV3/QLuCd2kv3LEW0oL/Wq/64hTX9CnE51QbD74P
L0A4NteN1lxN4x5dxa57xPUF9L1SGauwWzcdHE29crHHCQuEleAE2EO4NpP1kD/liIcquxpqIIKV
aS5u0+5Ya7s+g1je3NT5VVghqwsF+etpPbfjl+apuZFbAqyu8VCtB8dEvIDQ5aCH4CDe4xDDHOxV
VoLtO0gxriCQ2vpWd7xkG63wQNuRU9kwWb2vH+bsJC8CayfV2phKOdfFKNxX+uAZ5ms2baGaRqi4
Qu9ulavqBEajj90CBvRYcbeI7BgUYooKEuqe6yD+NsF3C0fkp/FPCdGs1HQysc6ZlNteoLPXoXX4
9fMugNH/zPoiHieCcTL6at523D1WpEoS5YXAmX6UV6hLnGwEFynF5lei8RhAp6ddOFwQD3mH9X22
HxaROivSUmwnrmWnzGk3csUsTTuIJmhIW6FjwkfxIhvdn6f6ObkCl+dxGsEUzahzXQeuMm6yaR2/
SPugcZEwc/X77Db77V/pwk0RPyu15JoXVti5i9oSgpkpHdhLkyc1PcWZnGBjrCNKAMqOZ75GQXQX
Iobx9YScq/bpi/isUtGO85axoqtmq+40J30oDtD6uApAVH/I7ciDwrsLbpJt8FCshL3lXLLInkPt
JxOiLUJwJxQp5jMMre+0AxUUZ3DjzXS8RLE9V7b5S+i4RPcVRzvpYEl28zDcG5vuWfilUzRCA47q
1Ndf8NxsaYs0NaKPZWBDKc3VIR3pU8Ppqyesgo7Dpp1cGRkfp9lzF+Wqr7sXxjxztCxZmVJ/GupI
Zsyw80Twa8Mt4CXtXkNcudWoR15Hh6Hco/dZg1RNflwY9Uz5UVts3qz1afKrvnTodyPe8id5XU+6
EwQvPZgwaTYNeGu7m0jLtyd9n7YwzpWbdjurA2cIFX/9EO+I/89WzWIbh0qSC4POq5+GjV56OeRl
fyVB//QsbPEgyZPtuqPwW74R1xhcCp0TBchAmJqnSi4Sw93a6n6L8k2fOLrqRtatOaBRtSugpKJb
j6dSgM/XJmhsM7On168f+lwjT1tkPo3gp7CIeWjl2n8snPa7tBlfTzKBLr6wJM5tpsU+lnEepcfK
COat5DwMtnrtI3hyKSSdqxaqi71qYDGHYR4/H2/VlJz5tMeFad1tFQeBK5i968amaEec2I43kpsi
Wnxh0SlnksYl/NavjF5GQFTiGmMHV9GTsi7vCqfe5d64Qah/i4Hj9/RG2ut28yQc9ZuTFz1Cq3my
dr4dXrH6nX4dHCnfbU/3lz7HQgHkX8fY3NP+2AdqkNewppSHsu4xJTcorVzpK4q0BOgX0TltCZfX
l25K5xaPurgpARg7ibh2SQfAIRic6ivrrnhS0J1042N06Rw4s7fV+fN/6Gwhq4zBKt7qiNIlbraz
1rJ78tJ1sc4d05uQm9ARIxu3zR5+9aFZhcfGE/fazeh9S93i8d/bJuriNiMHld5VPQ+hrFG1c38Z
XufCTdteOu3OXT/URQTrZbFN67k006zhnPFeNZI/5gN0UBtZOLCfBuoTP8MLe3IBIf9nmSxiVYBP
XmLNMwfVBtmSqQbSSvekdrD34M6KR166a4T70JvViSI7PAqTZ12Y0XMJ/nt/58OMhgKw/mK+7wRP
2EDeTdv+93BAG+lefDs9CB6eyk/tffrr66mTzyTa6iL+AJ7D00tlNDi/nr57uJtW6NbZd8jicS2W
1tfJSr+GPGuDeEYI7ylwMMO+8J3PZDpLKWIcXs3JqhgbyU43WxEJ3Eunu3LmvZYkkWasY1Ofl2SD
XLetetPaJIUHHO5W28zN7lIHL07UygA3bJQ1mtdI4OTOjW5X38F8r30uj9px2NMiI/1yLgEG31/t
k1NwyYdTlWjC9ZbH6hzRzdfDoX1COXEHt/pQbKNNZseu6gH9Ttz6CfyWPfz+b2mt7DC4jbchk97K
juHJ65FTot+E22BtbC8shXl1f/Zsi3g1pUmVYHZFE3sdbLpD67YeQr5u4on0C33HOlZX0Y36gij6
MfR0z1xF669Hfq8Afzay9mcQK9IoNOOKyrBoXbUJ9e6VbzplvAIMMQgonJICHQtoDOi9cPpfW9VR
wH0Gx0PKDU9yfx9YLg11FHfyp7ZYy7eoZ1GJKPAKK9e9gBxkso6ytRq/ljgK1w4yR4qGnQ28qM1Q
b4beLnWIUvTFf7U+drgJuJYnTXEyxCsbQCHXwd2pdE0F+0X76zdeMDn/FWGW6sxKBgai0/jW7Upb
p9ewbdY0iNz2MXCfqTZ5g4fo/lra1ftLO/1c/vtelv8QV2Y0hYEhqnTQaPSe7NB7Aju7ad3OkVch
hyC4T3eyf0l0g2uncE278OBsO4+DW3jSCmd7+/7Cy585s96f8MOTFGWEafB885aup0Pv6p66Qpd0
JTmDLW/RG1j1W+O2vCmOl/wQzsXUv9wkBDzS/XnEIsBj27iOhd1k3yi+F9ZAcJyg/i6x8rJVt0pc
UwWlcymYzyfgZyt7EV5FpUARaJ7nk9272RVS3KutduvKTureX9q450oyS13NsI0mXSoYRPYEGkjH
CV3Zt7TdN6E7McMSG+lGuOq2Q4yLnVNpNkZadx3WTbPgovwkbZP0VTk59CPFG9iC9RoiXY+MY3/T
ci+/xNE9d6q+910+TLvRBWkkDaZ0mN6El+mBxhbVjOonnZXvHXCEa+S3w8ket8p9v1V/lM//3mp7
L8F8GBYCQ9FU89xXTnY3/p6cgqAWzqFeWoFR41iLKeQFTnWBJXwusXw/aj8MGGcNlSuk5w8Tp/av
WRqnvE3oA6b2rdYiTVtQNrebylFDx3q48JJzpPxknS1BwnKHw2iKjtNhvMW5rEQ5ax3+7LDwgiw/
W8Eo3yoiYmLcjfoxii4UY88NOi/6Dy/aC0rlD7UGqmr4JmlPFtpxaTxeCpFn8CzvlY8Pv94IsMuq
js+I8kim2/IxuCvWyVG9F18qgsXT11/uTCxa8hKGASUHPdXZoGNqkJCj01yG4kvRiPUKGLqHRAYn
yRBfGO7cfeu9af7hrXxDozIVM175ZLR2dNVe+U/lMb5OuNc67UO1qQ/TLtpWdvS73sibYievab04
zWPIvf3rVz4XDd+TxQ/PoETxbIXMYul/aw7a6BixvcQ3EFonD/GV4reyK+6qq/BWv/v3BlzqRliD
BiEBu89DcGW9Wf4D4pcMpONThJvPL/lZRtvTwRJF/xkgNyZdyN7P1cjeA9GH9wxzI50ieN6H6+7+
dNfM37h+TK97J9tOv61dcJ97HQtrf3KTydbJTMvr4vGSwc2ZzfGeynwYHIa32vr4rxwMMVxByw7L
p7a+JBh0Lq9/n9oPv172VtkMaIGAApJ3zTZysTmy5wI2csOr8Pv37+Jmcid3viMWF86y95Tgkxjz
Hu8+jJnmejAib8dWuWsOIQK14ERReSK3D/byTfYN9hvFxlV/LT77z4homqu8eIq22h3SpYjfg7iB
/UbnXl9Fx+G38pSi8bczfxSa0z/rOHXtw9vswhI/9/EXkekUT4hiYKR2AIDiJg/RhbPkTLFmyfXC
Qtmy2pqf1bUXv8BF4NvQ3AWvoo+Tx0oava+3y7mWoDRf0D986MDIM6F/j3xv0Z18JW2xEdDseAuL
3XfzB0W29QftaF7PwpO6k9ocKZRxrgCWkiQcMZaiTxhfKL+fS73fq7QfHmayhFAta1ba6AKdZX1h
Z7FK15qH+6LzS1nV16EbrcvNhXc/E/XfiykfhhPGqDaHguEMO3JxFnUnZDJ1wPm6c4NO+6pzucQ4
+q5z+BTH4MLaPneFEhd1snSsVQF3G+7juznRkG1Z3ETRKrkKOzvaW3fdvvUkxEexST9GN4Kj3lZv
9T78VtySkFEBgIGmrcWXZoev3vXg+ns1uHAOnkmSl5pgat3pTY6f+UFrXlKTHBnYjwzcLoYEJnbh
hVHeu4ufbO6lflxrVRom7JJ0SHUgcmHSrSY8BmohcmEW+vhvGrF5FCHeglxvhBLZr9w2G2ojp9eq
u29kwZWBWCJLqSftRoxYrACIm+SHkRV22KXA+REjbq4ijE/jx4IuDqILtwJgJtR7VlP4QxWhASO9
T/rnD3nrlKO2lrR+E5trS32FTorH4tYX5e8pzcS0gwSwiYMny7B1QLxAD4fxWxU/VNLO18WnvMeB
JdHtqYUBasFrlnwvTp+T8joJg5Uikt/rlSMg/SB0WnSp/TMXoz77hIv8udBDUWr7mrTmTcVDpHCE
HwhvV/fNTm697A3J/6l3TxdC0bl9Kc6h78NGydpUElVh4lor/BgqBFUHF7gGdqOVndbukN/ow6bG
JAI1Kkgc21ZIbQBVeAajBXshb59f7LMXXkRZsakM7eTzCC0s5yHhTFgj0rVpyvzCAOfSZHFR9xsQ
8EnrkU9arTtndJNNzA2w2XQ/BFfdvsV3c1aaevJeeAD+83UEOnd9FxfRV836sEIFhlutN7r11bCX
9jEqmWgJYH/ZeHBFxn1+KdSfCXfiosGQhmk/FQbsi14eH7QRM95geBinaN2PmmPFcwEivipD1ZNM
rI/wphr8CMUrRF8nW2lQJe7bVUTi1lTfZn+HSKdcDn3l60/xnj18NsGL7DXL1VJtR4UCHZeLo/Jq
bBA2uY7BwTlK9k0/HQwAcggvHE5A6zW3vQeSK60zYTU9ormLjxLCntmFBT8vqr+eBfnqRYQu8yZO
Wp9pMcfvlfnQWpf27aeHOj88ZwYfNhJSuqd48Atu5OPKl3YV6D0pf+q0bW09ahEqWZX79ef8NNVg
IOPPgbKYAlsz8AY1GOkwFO1eEdzY2Ddjim/gsR5+fz3O+3Xks08179cPbzQ1gh77JxYVXY7r0/dy
1z8Gt8g8fTdfpqfuW3JhRt5zpM/GWYQgENh1mWl8OdWrrxCQ3oar1DEd9A45ppHkt0kpOhtVyX3x
mG6oLjxfOq8/36R8y0XogdiqZ1LI0NWNoiLGZs/V1OCbcZdvhp38pnw3G9tXL+Pfz83dIhBJVTTE
2vyq/Uq4JkV0Efbe4OBNyQrZAS9yXo0VVFf3Ul/n3HiLIGS10dj7I+MpFOss+6GxUfe6FOHm7fvZ
vC2CjmoKrZaK/HgDSmG8QuXbjjcYfXKx+noFziv6swEWcSM8oQFRBCzANP2mYEBwW2570Qm7C3WH
zxHmeF8vYkGknpo+mEN0tz7thk11ne3KXezEa6pc+27fuNiHXJsbyE07lS72HtfKr19MOfPplkwW
rUNxIUbg4MCsvKTrDmtXBGhQEdVsSdtMxQb32bmvuhGQbKfQg3cFLqavQY9btDvuFXSgHBw9xw1G
RKKxMpzoWrn5+tk+T+v5Kov4YvRxWfg9X70E7L3WV9yXfiIsLdxB+9pbt7LTHTsvc6pLdt2fX0EY
cBFnyqqozBLy7uH0NB2wMkTdlY6ycZw8/x6ctoXHCubQjRe9ZpcuBOe+/yLkjFzUEyTLeUfXv002
82xHAGwgPPybQW2p7Vcm8pD4MiOk21mC57bZZjvlGUyIkxxg1m6KzehUK22Xfs9JrkXPeLhUx/28
Ycz3XAQZIzL6vpzvU5qCu9XDyQsiO9fsYj/Eu3AfXsjozhykSw1zMRl9wSqpiiSDvBoLZZX2m69X
4OcVAl5gEVjiCZ/4OCKLQs4vfg2mVXKn4AZy7Suv2eghzYaSUtu5/rTSGiqg98F/cfYdy7Ei7bav
cuPMicCbE3En2IKijEolOyEkbQlIPCQmefqzSvcMdvMLcaOnHbtFkWR++Zll5Ish3CHF1x6G8Sru
on2ZH/sT6Im9ZJE7gXqz7MRf3WeSIhmy08gF3h5yTFa3U+Da097//rtXF34Rr+Q4ihm7RdvGQYvI
hIq9K/oAfHr65d89YQkLL4hU141R3rpBH1FhyxL8hcYGbolwiTTBGgMK43Gb07sSf5cY8bwZ80yv
RnwHEECd4Vk7oQa6UL90M3++Sx6je3oEmrB++1+RhY/pv+PP6vz/Qvv/gZT5uUpL2v3f/1q5rpaU
H6bA/E3lya1JAIslOPc5CtAmn5sNxB/TZM1YEntkbpgFhlsFXH1sqacE89n6wMOgWjT/bHyhtTVb
RBYSpXIpc4jsgwDdihAONdBxNHPVK1Fw1mixGaF4r8M1cAxwO7vyuWUZ5ou7duNYrj1/kdHwQybz
jRBjiKOY41d+P9wkvoatmcQtJP9wI2uL0CLEPEvqhuPD+TSdorfBH2GtdFYfxkscjKMpeFNmgvxK
Zkt9/31BV9JqTfxnEhqp8cTrGZ44QLIQLRWkgkHlUxiZnrdA6rdP89NLLcMNVAUSrsaSod59z/eJ
vHHLry3WIhzoDAZBUYu/G42zSYcOOirHBMbXWxqFazf1EsRe80Zt1JMO8QaIxx7Lq34Hl9EohAOo
FYVCwHmlU5y4a7QFdVwJ+UtEe9fHYsoygw9zBZ5Y010jNfDDdah6hDUHHEpnzMEFkCWPFXSOr2V/
9/sWWNnS372mv+oQAWpnqXJbR8CCHnBgDs1m4fwzSBQ644vcg9MVsZgiLGF8ZI+wv3uUMNeTmDW/
Zaet+nctwVlCxvPWEAiw1cAB+XB1edD22jO0NgMRzhMN+q4yMZN9c8L9qcM3bksucyWWqotAABWP
uYdkGrJzHwOL6kHw8l3/rm39+bWPsogELBrIxI/IbzQDvSn4GYGwIb/32sbZWSs+1cW577ihm9SM
3SaRDG5vvTWM1gxBjL0B9eFL5Da528P/jW50+n+G9GEjLIJApcxNk0HCJNS4g/CuHEYw12Gs5id3
UYFRNtqHITB9G09biThL1DWjpTbwHe6hW/kHLNZG4rTyTZaIap2fulbgIkRntYNY5yNXE1N5VBSY
425Q+L6RDj/EyiWouiqG1hgzDddLUAPooYDklAb0Wp61PcAnAUzu7PrUAYRVmbXFg+4ACVM7ATIL
0O5Hfd85MErzt4BfP09BNagH//NywHhGHw1ya7cDgFW6fCB6GTp60bXe9yFmGRZzEpcGyVHdwVp1
x9nI/2wZkCPl5ffQtBLil1zUNFJ0KoyoIFt2hnkMqMnjwOD0ZWwcg5VDvOSS1iPp0oar0IIxpZA7
QkDF5M7R5fcf/z0I+uljLkJEXw0UFwj++py/pmFC91Pkaa9D8xiJdoL2ODAufWJuzaPWmi1L/Djj
VK41uAklEYges6PfEQJhRcGf4euk2CnSy0y3eZBorPwx2RpxrgUSZRFIOKryWXcbNzbj+5sE9VTR
HVS38WE8J0JZYNe3T9Eryvvf1/RnfDq25CKOqCJV8rrE44gO0W5fEb/E0kpLCP5CJ8/iYZKSoxYb
q9jMGoi4yIE47/jMh2Ytmp9tHnCADhZ21oYp0MRKJqHvHlRjYklwmiOalYl2AxJj32BncyH4WYS+
yNJbgRYzIPlN/fz7a3w7X/20NRa5C+W0SKo0fCsSzsA+QnS0ukC+D/i9dj+6k1lfMRRFg049T1/x
y/SWnuCaBN7D+ffn/9yx1yCq+c+TDb8cjcSQhQonl3/sH/tjHEhHjCptxalCEqBx/KECUFZeeHtL
ln8tnVpCzSF0CF2/WzvoBmhT9lWgudldvU8xoqQW98Lv6R31Iuf3N/wZVYA3XMQuUWsMvR5wBwju
4+CiJDnQa+ORS3pQ3qcw8qsw2VU+4IaY/XixRY7/Hwyj21f84esuIeVGN0qznCIhAdNoJ0Czu/fn
0tdgZF1ZUA8uICzUsH9XkCyR5UJUioYAjdkwgZV76gz3Uf4yGY/i0+/ruHLnLTHjddNHWtdho0Tw
NS/g9QlVDzgem1A7//0Ba5fMEjQO9SUopLUKPpQtP0Bv+YGHPqIXnaWnW5KNRhgQ6gzocXDGcC4C
cvtY3muJCqjf+Akrefe3svBfCTCnqM1AaCWHokwGE94Ch6obNm70tWbLEideRAqBaxVeT68Sk9R+
eeVFF6Wd7EuGTQ130B+i5qw2j2Npz2CF1U5z0ZlVNk9V83hzpyuLZ534kxb0UYPRJGxqB7OcgwFt
GxSFSjgoMILzJ280zJjbiZghasW+bl342BrNsLHLVi7K77f7a4kqtUxRxiFdnE80fpDoBY67XepK
0EchG19hrVZY4szVmhslIU2FkH9MrtKOopc3obo38wPSG+v33bZWKywB51Wn9lrXU9QKvXbXS/KH
kDyIGNcru8KAnOWXbGRWNiYO5jIvXVpcegXiU9wZJjoW/EFOtbGVHXwnUT8EiSXGvC91JaG3Diaf
7RUGKhX0oqtr018adlIjEQYik6U9yScRDK+UQITMa9kMHzC19iQAGBLIYM2dXeY3oRo4XjBASPkd
ORXyZ01yF1J9hOBvAjA9wdHPKSreTABa456gfE9kLxUAdaS2gdfKLfh7qeInDy6mkMJ2OT8QDe2/
m7G4HJTpoW0mu49tsB0cEWRNnYa8/Pr791hpP3zzAv7aVxBINpS6xuSYt9p7NfgcgjKAPKv3+19f
OdjSolnEZAaxrahFHFY+ePoSxRuHeiUt/Yan/PWroSQYN0WMTzcXJ8wTqmRnVMyMNyWqVu6PJQZ8
VomolDKq5pH4cG8sHoZACgQHhceE/PT3tVlL3Jbw7n7KCafB9xDTGWh3mBAW9oVd4RM3ctF0NM75
xpFbKcaWoG61knuhlTMslgSSSv6itYk5bFl+rg03vydAf30Ko4o7HrsIGwhV7EmAaiRU6pBGFbvW
ByppjymAgx3f7mCNbicBfWy97LqJuloJi0tIt6i3NJGrBB1cMy8sZHHyY7nXwxR89Nt8xbBSb3Yg
8A/PgxdtoyZay6OWAO0qIwliB3Z17g9u5HXeEJJrui8cWAp4ugtJGf2Dhdq/3CdLYDZjPJpDJY7o
GEwnPcgOgBTJZ+4CrWWLfzLO7PL7hlw5rN/5wV9fMmmrgRSwQgzlPDYlQKaIcv39L68F/SXseqId
lfQYQV/o+0MmdWgIJ8C/RCcNavS8MsF7QbOq6GGCeWEDlX8ejtIKrJALOBurFQ1rWXLk4Wvj19xa
OD8E/qUbbgTNVWUmKAupPTrdpT8Uh0+KxRRtfTccko1e8trWXDSQsqSpYX6Fz9YKWcjDdrGbKmdo
5n0xwflGLvyym/yNNxJX3uj23//6dKPMizeUwY1RLwcgqQTA/Zgh51WgaCkbD/kZ5aIZS0i2WMFm
SLsh7EpfdDrv9pDYyQ7ii2wDceiBLdTuQQf3IHXtkQftzPmJYTKUFMbGL1ibPy0B2UAAAa9xe01A
T8BLa6wUuAmwUa2tmGz8vI7f1dpf68h0MvCtgCZZ1rpwz435mxdn5wqg+dCgTzZuxbVe3BJw3c5Q
zNUmrCS368zo+5OBUxOAzgYNDWZnpy3c1Nr73IqKv95n5uYcjgwIzrRzAD+BsRlaLOm5vdtCG61U
J98h8q8HKFFUxJmGB6hBZyI7vpsOW8DwtT+9yB3okPUKqfCnJe1Bkh+HyJUyMMpPdbLRdl85oN9f
56/f3khar3ETHsAEr79E0AYx0KWA7RUU2Lf8Ptfq/O/L/6+HTHNJONRXWPzCgbBeX70luaWj1RtI
pZmxo4ACo4NsDoy24ObuNF+wj4cacmpA3sj9PTqs9TqWOGlRkaR5FPAbYLEKeRxanLQ8BOxRg95d
Zo78o25X3GOVjjaZvJ4+62ynQlGgOOjuANQAap/6wIUQUfrz+w9a68stsdIsSuOiHvGD5vvB5vbV
UXTSO0/wFMUEn2KjAbG69Lfk7q+lbxOVS/kRJRNlT0rlt2zP3yxPoCc4q6/w9zDlfpcmFeo7m2AM
m4hBpe8Yt9emK/8Gy7A028JK/kxD0OCf8M+fwpUaPCcM9AiUUTz3ceumL2nJLAxwd4MCD6zxQKQD
rLDgiK0iqSCPUKkrBJ+nKCUOBQ8G5j4qk418cOVgLZHSfV0lRtTgx3CshBfwzXcKMucaeJ2Q4kw2
sEcrGfoSJ41qtRi0BCGu1nbzjKmdcmkS9Ho2roKVnJa/Pfavb9vPGeS+a7xD2YONJDSw6gJVU9ka
BK5kCEvQcNkMHIVd921iqnp1OJvDXjoOFljODtA6aH/8fhBWwvPS6Y2DVSAtdDxmcPs3KEubN3oC
H27N5dZy8yUsGP3UQRZuxZ0IYalzfM+s/JQFqq09F2/Dk/isQTkSMkXxQbByWIK1ZmbHUFjZmnGt
7YFFVpIKdV72w+31gG7JJh+y7EYC52uyMWVaCeD/AQomEjcm6e31wMhvjkgHLB0T9I1jspa08ov4
0c0xp1IOab6eITiY42Pp6vcQRXf00eztOYAx1ZWhhanc5bvf98PP1E8YFi3iRD8nc1Xd6mVxtHUE
hp2wqzgY8ZkiMSeMmsRdS2wVboVeduZuwZJtPHkFKggDon8eKLGkfFqJePL0Ab5dDoNxYNIw9HZi
Tz7lLmeRR6hi4E2NQ3bNINeE1MvZSlN+ZvLgvW+h6q/jbKSxwTIoV2DqFr9W+JqzK1sRAuR9vIts
9pJ57NAfgJG1Qd4pL9zdDAs99KXIXnWrXQ/fbDP53PgGt0HGf1YHurEILXFiyIkoIXLBD8su3WE/
33WuZNVeF2yJvqx+50Vu0wpypicKIIjF0XguB6ymNYQ4io+R3ViQSw4jF3ZxLkjGCkBcG8fl55ip
L7HAYjl3PJlmKdRT8YujwB7qDFLDdfnx+8r9fNzhTPvPj8jQ8U8qFQtnnBKQMbtwC7G5ksDoxiKQ
ZCP0TImMgq0MxTc0wXEynuiH5KJfVofDuTmkD9iiDswJz1Uotrs8tfJAeRFDtrF0KxmLvnTx0Rqo
BH/jmltoHLxBLRi2FWAfdJwJVxlr+tTNJN5qyK/0F3RjEXhYNzdJq2ByMgALbJLBqkEe+MOfNXg/
BjP6XB9Qyu6exmAM1M2+7M/Vv77ECk+wQo7YbUvS5+KxAY0D6eiHakt25FOH32fuJq329ho/HLAl
NnioJWGGRR+quAsHkRRT8ybcrOWhQZjbqL3XXmYRT3qdDcKcUoyU9aLf6eI4W13WtBvX9kodqi8B
vXqjQlVOwH6M36ARxTmDBTnm2HoQtsAna+FYXwQIuL2wpO8bPtTu4wumyOQ6fsmPQCTBpiBNQb0G
l1A4s6A8jHaem8wuD5ueOT83E/QlsjeTyf/CumYUAUHrztqp8AynhBBB5mrEae1m41itRIwlkLcT
JpLPcg+8FZrhM9+ZTD3qvWBy5ZaYws8ZFiyY/hmTNKK1MRNvCIDIhWh3y9ksgU5rAUQSV1ot5A3J
RjW5uikWg3EGM6GZagh/2ng/wdeyfeu1m5HqAGO2F+6Zm57TLY3OnxMftOT++VZyZCi5HAOHe3N2
BtO09mnxpzfcSXOnLrf/VThfQnHlQoBpcNRIYSQkwptK6sLKJwItoHZMerMujMH8/UFr8W4Jwx0S
MYqFup/DxCIjYMUZgcPJcx7ZPSCRhQ0Ja1uCIGXVmFXpy7M9DC9lm9jS1mlbu46XsFxN17tcI8Mc
DlEwVvue8WYJXZfS4UEUhHht1IIi6TVBOvlF5LMPhP0+/izysC74je3zPY78ISouobsR1QoDuvyQ
XW2v4AmaQk3scX7hNSeRQjI5cwQFNn0+9vUxo6+siZA0yJZQPRepGzWVNeTNwzjBnJcHc7MprZpp
F5LvJCgMG1PstH3jFLCTLqIdOh0QIc1RksF4czKFYi/WtVOQtxGTqFKERCDviOm10/6w3v2Xn3gR
z1JeSpsJDqsht48C8au8Al0RaBZz82O7E+6qa5mZ9+Rh42krp34px50aYymUA7w/eive8RD1HB3M
fV34EVuwT/STN/R6IVUNdWZz47D8rBqk6UvgcCVEugADKsj9gv0tXrsOnaSyPIkxZArzh04F1SQ+
ywqEteZrSRQvUcFOLzMnT8tQ1eZT01whSwKjAhwBCOuqKvySgVZIzIJMFrTye2bXcnUzBIUjwmRq
iSP3R/hYb5zBbwjdT9tvESh1LaOzJo3wAIoo5CYwTplld1Z2GdHQibjqYPB0Hc4lWjS9yDwx+ZNx
x7pq/0Dk2ozzjzl76yv4jsafev5UCmho+aPMma28o+SJI6ceKtfQPjbuo8zL0NVPoWShkHFf4JSr
0KjuAACLcrsRnlQMcnilPMmVV9ecyfF3UvIJlROrTiAsl3BmUT5PbX4YOC83nA5GGQx/Doo4Bkzu
QbawtNZRQeEdq40R6cqgDkIY/wy3XKo1GVUg6sujFyDY3EXYlTYato+NnwB3x20MNVeiuraI6kRl
at8oMgt1AOplCCqbMWww4grUbHY1hpffD8cKgEtfgqpTbKh8VKDvPNjjAb4phpt9tR4wqHCI9nD3
dvA4N2dBt3qPhNrzIDhwtFI0U4T9fG2KIUwzZ/fC3ayPut2QWH2HZiZ0NIYjhWKIvrEh1y6FJRa7
FwQZHgc4UAjIWfkOSfG9fJod/iZFlD1rFqUgwoMrYwnE3io0Vmhr+hKJrUQq5eOJ8GgJ18D7d3fy
jOECKIvqKX2qdTuuT7NwHeuPvnP5uyaymG5O+rMsTGZHqycRFEsw2D76aLYlTK341B3GA2NWktsF
mn7KgSTqRsW+VpIskd1EBB+ak5AiCl3QxLNrEKwJ1AkhsyA4XfwCG2cOgO/2hYfL9e97Z2WHLnHe
c03rKePxSOjxXXI39tVdd94qT9eqvCWgm7Cyy8obTWEAwcJD9Q1X6Bor7A/v8hVtcoi5Q0Fyz/bK
1bgrv4ZLm1vzWYCEtlftt6ZcK11jXV1WsTCTrvLudtjv1IC8wGvIIwfBF+wsGPb5qTig88FB+634
I+On/L6uiviNTPsh/v4HHFyXAeugIsT0C3KVeeOOZ881l72XQ39XSSrVgApJBFPIgCqaoVEg9M+S
cEmVOGjTzm678lA1sS0iCpZ3LDrrqVu1d0N1TxRYBZaZ1WDsAOtEU4LrUzxN56iGTn7B/iRRH9CY
HVul2OkVpvOkhvsPgfCyCCHprEMC1KLYNCKraGBDmbb7OaLowoxOnMfOCIXPPHGkCFRfnl44wWBm
C49ea6hcDBDtZpJt6OCbuuiXRZj3zWE07huQPSXeB6bNoaWegLp3EiKHTrrFiW+48mwajW6vV299
6vPKYAl4XUV/IUQGJAfeCbwZ9e9FBTeTPH9hRm2V2lfcGTsdJr7ZLDY2rpuMuvX0xBcuR9FTr/SW
WHkMWYRsSE2RnRM5L0xJqI9xkUBMk43AOaVj7c40c2g/BUiW9NaHXVYgK+prFOd7+HY+DSS3jax8
UOAxX8vyCwzNrakr3pNpPNEp8QXD62vontKS31FqmCA8iB0J67SFkJKMU8hEUkJBSU7L3uwqBYFL
Up1yhi8BJK7ElyzzCjEg8Z+q620ZCkC8LpsJ0RF9S1MbQNWVBzBS+pqnd82ovna6dDRag3it1quF
oxUq+RgKsXnvq6aALEsDp4PSmLCCUNOCqRM3lXYMA0mfi+FMUTSdZmIVmTm0Gv7lIKoOkwdTkRC8
QPR3SgMS11z7nKht/KxU5RMpXmlOh1DJFE+YFLsaMn2Xy+xV6Fi+qySle04SaFIbcvk1V403jx30
JR1C76PkNPYPrXpKks7iYAlRu4xCTnLYQRMfGb1WJuektbLIcKTYywSLRAErC1gdFLBY1I0eExq/
TWDYepc1DFSzP5FsiulZAp042ZPYL8iO1sHUnjqkwkkWWVJf2xHkniYTmnnJaPLUhjYttm6COKza
BedN0KmmaSj3Ic+sXr6DsHgu71CIQgBO5y7DFCYdIC2qp7QWGtiaAydfyYqyR34+wCuiGIGSbHm7
FcyIY/ucbw4RREMKzFEghXbW5+RiwLCRgZBS1ccxu6+xb7VnxsNirIG/5b2i92HVfhbN54QzJ7cw
xxDf6gmbRBouHU08PZOfMK4DQ0xDScJNdioTwP34BDKfvYUq3UpwxoX6WsrnObpWo1j5WsmfIDZy
ylvh0Iqt08Dly2c0fuoF3Y1V9BPnSyYcCxDbpvF1zqo9XoONmE1yEO7pHqNmtgaD7hkfA39tBKMU
GT4txXuJyRd42kpXPRq7HbzjLS6xOWnK9wpBUwKHty5KGA+VELLC1pAxwGqh9UTMurq5Wj9JTWJP
jFwhUjoyfPME1rSN5lbNcZjnxtI13tckpxgKZ8pgGNK6xTQ/DQ0I6rB6GwwOuag5xcf+JWcqFrU4
DSM8dDnoSSUDWuUp4OWwOOFiDLKow2GrKHnqojwDaRSGMON1EojbarNdKZJVaR0+Et/4QmOXosPf
uF5QfanCkitj6JceOM0e0FXhIRntwP3Ivv0dGa6QU1gqULsXDY+kiuE2fFftpASIdkOtX5paPtci
i8Iivh/HU998UtKacB6mzMuaq46vrqboFlEbvAOcjkKtLK3nrU7aq9wu1cvILvvjDAlXPW1CLsn9
As3+mM8Kq02NawRzYXvAbShx6r1IO1h/cVmABR69Jj+g82TETk/NNtQQ2U48WtfaeaDQMAVzKcnv
+MHk8lcg83XjHs4h/PCuGpFicoBrvOaGx7MdHDQUahLVorklvOP/bGafUKuGsYZuCqMlAMqIgYBk
DlDkV9PjCB+eKuRnMy4ulXBOoXlVOhQFTNy4urCn0R03fyUFKHrlh1BAvgPeFxrEarM+fhjaZMeR
3FeT/IGSBoK0WSV6XREkGHQ0XeHpQ6K5Elh4igEH4En1OtxXvSRC7D6zur6drAwKvJAoVXClKYiC
NynHfSxdEclTBlsgBsmiVwWjhFjZG6iv5HKEBIVWW4qyS/iZWmVV4wkxpYem1NJ34b5N3Ulxohxc
P9USb+NZ4C0LT9I0D2QwCGhPmiWoqYnN48SdbHEVECgpeEjxeVREe9aoyemwUtQOHYx29BhBdPaL
r3yGtgtoH5cangwZjNB8qmYWreBRR8rxRe7600Th8gZnBbQ+mFPmIazkMhFyZXCyG5xeCGrJ4RKn
kTAzhqoNxXN1w0rGlIJigVV7S7NjBznaDGXRCA7moZx9KUMtKX9KPJQGZJtVR8I/FDNnVugE0EBT
HaHDiKV9gHSUp3RhLNtxAl5g098p1bEenA6SXTIaATBGLWDvRO/nuwEAH0IvoGKWUQvnvNKBuYiu
OX0KdwH5gTHEo3JyVVDPO7G3KJtgWG33/KtO/mhwqKAoY9z0s9cRJMCkrRCnAHgBaBbGdoJfGZIl
iq4gOEZ7beMHpQqkW6gw1eFQlXtMo+LiqDKnhdg2OtSyWWlWXSPOvXDTfTFfKxQtcm8PkS+C09Z7
Jd0ZcP5Ej+95jveYP8o4HHPyBhcpVxeN0FCbA7I8+PaO6ORrAnX6pkAcIuxSM8WP8UXrmD/JqELz
OqUhgW1P2bYYR2E8Z8nN7BjzFBCIjzgx3+GKYdlJ1dE3EhKHqOqb/pq0TlrO2LTEklRxF3f5HlJU
wXBbfHR09TFzeziENjNc8Sp3QKCv8S3QuaHTFEC3wxKa3i7ZMceUfmi0c0stgwZ5Qm1xajzWD6XV
tE2ooA+gwklblppTQ0ORu4+kfN+Jb7BWLlkEdj4dzlLKnUE5sRoIhEJl8tpr6ClxgcrB/rSBxOQ0
CqY8WUQnh3FqJISnUoVHZ9Xue1GrLGNmyKyEnRg/9xpaRr2sIaniOyR7SMoSUXNZMRXv84ALn2iS
TQoX4GWIIRuVJ8eqy+QeKkyd3c+S2aP7j6Ylf9BqnN/MxyWgySCRV3MgM90VS5SVouolzXiaxmfM
i81G7iwe2oFtMdoiPBhZJVuJEhq5Alx2yfbG3MCeGJIiuNhS9b4eOxfESvhHwk0WvQCDK2CfzCfP
ZaR5XPTGo2WAbps5G4Gh3cHl1DNiEcant80MIlBUyqZ+17aeUkRBbehfTIoleyDcuSj9qObfBAIf
phSfWhkaT6xHrBg68w8UY6fZ0+8BJFcU3TS0PQDfDbKQuX1lbPKMFjJPw2NhvIr8I50fZYa0zqnz
uxnWiQJ1GYw7oO8e+Qk0K5EKWKJKLqMofQ7gd1k8jFCg+9YDlVacmrQ+VIMhmlLJ+WqNHcu1O21w
xcrjC/Iha42TGBQSurexYjXDPB7mrG2pOmOuEhPs+Ql+SfG+KYsxHNUOpnglTfyETcEAwW0TZN7L
UAkHlbJkJ/HDS4U7fAfupeFV7ZswE6ckxuc0wWO1ItagPhIV6Tsg++izp2dYu8OUUyjeM4LCZChg
fjdC8WVo7C4HfIv1AbJZv4m4fSmQXVJHHmxGHyHft5dlzmMjUpyhTL8kA5LKMbzmFJjaa/orzzQk
adh2KvzJES2BkqjKIy7nvQR0cdeGM3lNjRdeQag4apmRmBkOfDnA1BMWBZlTo8nUKZ3DNQglwwSZ
HYy79908wd4ZVCwzNfoknKi+ayPpVGttqGDoFtfFfp4MUNhQDLSRm8fEroQSy1fzO5lWGJTPLJzi
wk3n1FLYEy+rr/WEMk0o94WAA4WOK1E+SfeSIEOiRQ3HeDABnEZRnLnvTmJKLV5yE/G9w6xXl8p7
TrjUEE9pxwd4ooaFnJ8nGoNpoOMvwfDn2OMJYseg9p4zJG3SU9dWL0wydlWXPZbJ+CiiPzOJ56YP
pzL5hO8FvC/hfAaPrIFFuBcxvyk4kOnMqL7GcMYUsAPvKbxEcBYyJ6uPiLBV5YjdPsMQWnCZ4RX5
vYFyALnG7ezKdUANcSeU8C7D7d+M2CVwEL9qfeM3KcJuo9iMAzJUeBv5q8rsnoA5JAufYt4/K+Mf
bEIb9RjihxUVhdMmxI6yyY6aD1WD3bj0WQ3OrDUhQyLXjWkoSLzJ0U9V50wBrtTlg6TfFaldaFAk
R6u7ggzFhF6qVL5ICjkbkQBvIi7zGegkjcoQ4zBCHStbVJ/nJA+YXj00KdADXbETeavgIWgNEk2u
2JoRaMgTpQ8S24itNHuVNSySlYKGQbBy/a5OHTm9RmDXls+JZOsQ8OC5UOd3xTsGjK1ixZAML19G
6VnRfWQJ8+RlHToZQpCO8EHtkkAzXKXBTY0yZa9M/Xke9UMMwQzwjfiutDmMeylFSgvB1EG1BqhZ
0QyaqciJ6J9phrcTXLqk54h5BGYNLejiaRE7IjnKzZsK+pI+EBgjorQbXF49ZOjcQgQTfmM0cxst
UKsjomeLG2YgoQSuJn8nQlhywvmpqa3zMG2FV6Gs24b+GkNSp4UztugrmEFGb+whATChuekPF6Kr
zY8TKH1dblE0neAyIvg1DlRzjCRXiQ66AYMiC5VOjYyPcnavHalUIBbtcwq129k46siC5axxBOhB
oSHct5ktZD2cixCykWV3RezHqLgkI3NiVAtihmPNY6Z2YSWavtSuWXyA0J3XUVQUEw04mriGAM3M
9NZISGES1Tgx/YzgKprmzG2GCjGuMtPWG2KvVXIoQT60MjR2vEJwtDzCS7R7ksd2RSTkxqmt8tNp
rDRfiTFvl6U/fAwxqqLd4Wo/c6PscrkbQWFxeo7A32jL3Ge8I6lBVXxpCD1TibLDEdAujYgvAllp
6qBtY5Lj982rJvsDwPUVe+vqswzWR2livkTh9IMIkJvIvrPByZlZfsLpwWwq9bHofDE5Uu4Z7t4e
N8K3TIdIAMTksPo6teHjqhsHIUdmFO0NXLVDBZIaqSv0ySol/XOThkS1rGn9XVKN44vS8NOLHDUd
WpV6LwccV7nSOHmkpA76E42VJJmrwh06oqh8RVC+SfWl46zFZQtB9lEO8nYKxjj1RAPWEep8ngUR
jKnMpWzwS6H9M6tqekAKfDX4uNwBamJBselKpfrSFONXHKNwwwzTjKJE82hSXmod/KlINy48M1Rz
UhNULyyCiy13V4nM6mBHjfeyeda/6/mQeHEkfHG64FR99IeNl6w5zp1Vv0rNB2aEPagfqHl6W8qt
/EOFwBgZWof1twROo/vqiRPhgwM1OkjU6d5t2KKjIpMPdQqCn6NxcMuyhdFkpSNMLq3eqhS/3pSF
q9yZeW0l8o2e4OPEypXzPySd13ajWBaGn4i1CId0KxAgyUqWbdl1w3Ik58zTz6eeq57VU9VVluCc
vf+Y5HtL8fQucsLWoxwNiGEp3smnZBAskfy6vXxQQOzqhjL4HX0Dtn0pKuzSf8aXchZv2oe0eJR7
K74yuIrh1p2XJ7chPQ5658Ac65eey1qPXMAKnKzkYsexn1Wnln+b8+PNoG2bLj8O6a4kenN0ytRv
SLy0z1rqG5RnIyouzW1DJTNbcLSXGHSqV4NQqfB5bNTtUGzG7DsxvBDVubITRw0lYrWStvhlptkm
D6E83xpca12QaoeiqHep4VMCj9V16r/iwVWTXZj+SvFnuL5E/feYrbta8VrSqGqX1a8EJoxaQoI3
NNJ2zdauz5W5cpwiZ4vAwLI9g9xaV15qfdpjesp1MoUNfhmvh07RQU1friidOeXRyHbZTasjNtDn
Jt1ylyypq5ZEYKXxETWx33Txk7CejLNeP+EitwjSQTZTu/a3NDZs2dvIfCtAJspzN+6UlUb4DKqe
2LDGYA8/tOmeMUHCti/Tc4Cp0n4t7F2tv8cKBsR8ejbEt0lAbwrAREn9xGFWvouWbkfJ2IrmqSjd
WP7pVOJ+yy8b/VzxV48XGtQHDW95tSXoU9EBOI5q8QHO1MfnsN41+q3Mjq3+VOGeRwJe4J5H3CRL
Wy69pd0p6o6BYK1+ynCb01ueF64JaNdviUPdqGBV6dw/bIgkwsej4cZ/XEkhVYOzeC07wTHrDRJA
Cx3Ew5FxpMZl9s2M5zZ1oBDJdi+qjfXFpdK9Vb9640XNS27sBJ58eu6p1elxdhBp3Gv2eA6L6kqD
6Uar+TApqpef7dCnwDK2XvlZzOpa3kT8Fs1nsoal9bXVmGzixEmT8lT37PEs1UZcIGUafEPmh1uP
4b2UVizTNCbpO0FWXFaD3BxyO/fNMuWNJyLQdpX4Iu0FGdIlyeFPRVO9GdySOUOYGrPM5m96dYmW
TVVcw55H/miwzpSCbwBJoCyIf6Z3c3Ei67JkN3tdGfuOMOtje0autjHNp6W6lNprE550BtoKFiz3
tNAd1aDIDwk+60EDPMw8cKu03HXPFecg4cydyiPLXnOrS880/g3rvpDAeP3mX5cFE8Zf81OjIkfm
0sQ2OP/j5zJjf5KpZ1e+SxEAbm7yaq8nHiEsVJDYpjf88pZJ9rYXAQzoxASyXhLztS5/h/zTaLor
eDsqBK17qntHZHx37/xdy/Rj1tpN00IZms+IRW2+vs6Wgxgsoq6uc/GxJKeVhJDovSujTaFd09Av
2cejjWm/itkFdrNPaQsOpvlauUOd5ZicVCOLGCBQTv+JeVeag4HsKIsPI6Ms54jhtB3P+1PKvT8Y
rPMKZ8oquUBDjBRtuWMCYllOeB8pH+JZCGcc1RuS2UG9bIxsthdy10Wfovqe8veudQSeIkJo7HNZ
lQ4RvQZYiXLoKnAU44yIYSwpNfLN9MLuVKpcm0a+MbU3i7EidKrVkVHEdteGLMmCy+Mv0y9adSly
x4j8SPvR7dzVjZcscvJ0F7f+IAJIDq7h0XQm6hzqV3KD05zYMum4lLeOLu36NKSXuLvrJQDuoZOm
7YhnIM3/zfZOk/+Y6BopcgymFJU5Jj5kKxa2zJVmNDhO09CKsSl55pleZOaRTdxauykUt76K4E/4
+QhqoZZV33Q/UxXwptSxm7a+lQZty/Dy0jXSpot+Q+NghPsVEWzsmrk//jQpoxoJTtj09W38NtPD
O7tqd8Y3zCzYseCpLzaI+5NGDbLFigK4JPMuJ1yBvgFKIqW7JsrdvH3LDNrQCwiPQzowNJo7qftc
LdMxkn1B3mFXObIZlEicadpQuU5985TNW6G+rb9aclepVJdYfu8hNnnOZaN05IJvn/4oNypdkxOr
OCIlkfSfDrj1ZREW2PameJTZcI7mFOP2noRhkhYnGIH5Zxbb/kAa+aIgAQJefOEGMkMS7NRANb6z
+b29VFwscZCQ28KYFv4a+X1CCQyUlXPUCkfrQxeNzmgwngM7gn9spm63oJbUzY9IO3aCxJzMm2I+
pPlVnQ48CXkDRuho2PEa1+5Oco+0E7DXVcU9AXwwL+Pskv6ksUcqbxJ8twBJlhrDHWcgMcQY5sZs
fqvwNBErbe/EhwGeEzM2B4t1rujVGjaGRe7A2yRVLrrHzbr8PPDAD2S/pvwkz9cZSRGrf135S7et
U0+enEpyw27b9Ttiq+XknzXusrR05wkmTB6u2hhuVtPyo4ic+e5azrxhrJ86zQao9M5p/RyN27YO
mmnfvjaUgJIw/8fuGSKFFPcItaK1DW8DgvIP82/I3FhxKpmE+kC1N7h8rCkY9z38wbBVuaN/tXSv
/BaC5H7CBKNQbIfon9W/z8pVvGjEEKjjtXvXFr/ib6Rt12UFqnwuIyVgBqGxzGGLD5N/qyY7GpIt
whP00txxJYPLsC3wOfjZA7Lj6D1H+qeScFJu++IAWG+rv3Hk5t1XkvsgrTRkW/OrIh261s3mIJR9
Fj7jT2Sm036k4qcePgF5qYzepP9URupbVlo8ZPVD06BVfgHynp/Cudm1xhEee5MvT4JbVxpAYb1a
Ax+cqZj9HEgAsK7yX1U9s0rkRiCiatPMB73imp7ZW3dm9t0oP5r+/MD/CYLiZFOLy3/A0uORE5v0
KYkDomNsR68C+AFUXDLAULx+GelOpolZfs35yid+84pBOruBN2/gWs3wJt/gTTq6mY3Zb+ZXPb+l
PFNxTZg4UbXTs9j19anWfHNxw9kDLUEQRhkAIdwF6kZ2Gd4u8o38Vt41isfzZs7/Bq6F6KnXt2bo
DJEf1qVLJWw13daYyIOD3dyAiqfvIWqc6l2IG1+73Lk5SeWGP7YeUPWE5eFrNQ5pSK0BFcOEFTYM
NVLDt7a86dAzyVsn/a6to/LgmAu8x+FRRCAeOjbHjgpHq7e2UrlD8UPagxlt08va3jUBvqJwExK9
/05WnJQFTNH1sh3RS0lc/34rkADQ3dx+UV9r64dc99MsyBXHZnalIsciXaz3LYsz2stZfTmFqE2X
iiAbfF5No/BAuCX6+YCTck+23+LPpWdTL+CmVGeMA908Kcj81GPfBLb6PfEv191o7upsU0r3sH6t
P0s13IfpK8zJY+mxB0T6LTFf3Xt3FED67aw5Wn5tjYMycpkr2JZf7fA+x4hCKocvgVlNYdBedTeF
EuMk7picDRjycSOPjwCkxM0qtN38016ZqOoXMReH2WBpE97Es5VhQ91ILwZmh+JXaMpHpeC9zcHy
ZogM3FWtqnFzHJbS7Y36aP7/eqexoaIBapkmJ6alqao+Bf0HOFeMq9mo7xIAxEbShweHXRVO18La
cw1ZIM96kYES0VYTdS+t1uy7Jd6pZeUYQx20dfgnp/U/e7S+JDXxG6jlTWYkjugCI8u8YhJb09qq
xsjFsikjT7DNXhAyISDdWIpbxT9q/KWiRlAPoeWzglM22Go7pT48YLjYlY0/KPvihxb6INEI3caz
V52b29BE22H5G0bNRYHScXGBOQeC/7KsbZVVG/y5b2KH+DZv1Let4q2WV0K16EPyNxt7FepktoaP
UmxZxpvOEdZ0zBoymPvxsPS8xAWYmIq9BpBaTU7Vs919RLrspROxbk3mRWZ2BQLwsuFR36U+j+Nj
sQeonanIrdvHnCwT788VNLfzNmo4Xuv1CKYWruOHYt0SLb1W4S7lV+u69CykG9mibcY1QdD9JY6P
3JvT4q02M9aT/hdNvxNK6wgEYMOATwSF6SriMCFd1EjLikjUcjhqH0MvzHD/QB8WgO/+MkVBOe4X
kFjIKqgELbraJfwFPM9OVw6rAeSubuuMU3DdVwsw0W5dYeOO3MLJ4FiGJ+ZbSd52uwmNbYVBM6TF
xB/lblctp+rHRHOVmeMFcBmUYhwv0rCXntf+iToLPJSj+aFbEZ+um6t+YQZ2HaFt+DWISqnO6m3W
dkVGdt+OkrtNRm0jp944eCzcon0R9jNqF+KkkRNI6k3l0WdO5juahDtHh5QpQ2ZAIK/FIkoNwigi
SIoOvpFfCHjdfeXmxzAFprpbSCqirmv+GdEEFhB455GzXAxMa8U2gyYOZ/LGtTjoxnORvtnGcZlO
GSwrQK++Fz16O8Dd5lECODdePiSg/e9E48Ce3BjyGFEU8hlfx+XcKLf+z/7JE2MzJFsj/K5nAKwk
uc3G8KFwMyz85iG+V/VnjhLMng4jTX7CmRIPUlTrXQl7Vz861lMzKowSHxnTI2Nk7oHfafPGDmya
qsJznvl5ebPHp3bcSvlZhlsesgMN7JZm3Zf3BtTzV2bXBvf0658q/NUtJ7NZ+tEqZ7LD5y7rp3V2
dT7v2SE513AWweDqlG/JRFuSUmzj5KNujvKXxa8Zsu1c/ITV20Ciq8gurICQkLBHQhzXKnV7wf2J
Y7BT9lHVHUQLB0giERRjIe/WkU0C5Bioz+Nd7pmdjkb+lq3Q6chZBsQBeecJPt78TvTNLJZDwxyn
Gq7dP63KOW+ceSL02SdowxOH0HxUnIrt0nzMMjy/I7Tf5SGnQFFjb9k+NGQrDcPGY7/JVAYLVCS5
U4H4MTKg9LEx+qYf3YvCalI7vRbM61Z7ti9j+9bcU9vheQAEBaxQIsgt6S8v/5FKVhee/VEyaCrv
LTBLlAZyabtLuYlQyBauZm7qWHbVS1JCh7uP2e1jWbwwDHACydZXQ9/qGfQcizVM0dnmOqgUPvTJ
F/2+HthobLo/1EMzfGHJfTLJ/BarJ0Fjrl/hiFqifJk+pEcSTP8kodJoa1psey/h0JB3M6tStRL0
d4w0VLGPewZWQa234XBco1O2fDTJexRvbfmfDEWXiLuR2b7+NMvb2YB7POQg8Db0D8UdcmK82or8
NRTSIWq4aUKCHt8ssH2pfjdSjlk3ptGdEPTxk8j8OHPZNUpUhtbTohNxZfDlINQXv3O4L1LJl+Gv
43AnT3xA6W0YG88uMr8x4XAg7tZzjZYuggBFiD0+1SHnROQavNp19Z3GpwRkOoqcFhFJ1AZWWzgL
7WwsDHH7pUsvWjEhDprQ5GP35A2JTIZ3pI9l7KVryQwBrm1wSzXG1sym7aKjx8kjgActO/f5tKkV
8zjA6JPvLDmaeh2iGxWTcN2RjUBqw7w9mi3rffYc1yQCjLneooECMVHrIDMot7HYwovci9kVYZ5B
TPq7VX9ais9zyTIOpChNx7b6zG2eiQTAhenUiquTYqlOaV2lzn181ONV9OeCPzDKP/mvmSkyRuua
i5+wJi37nsrI8xUWcPVFomY31r157Yk5YtllTg5RhXNUFIHypwLa27EHMtIsK3LIUBVuadylmg/l
UHMUrp+V/dVF0eO3HHj+U1QxRsSacBQmc3fiqOJ5mmOUX8UHV7alACeaxmZEol2Y2b/OAELNZzJt
7uAg2HQQkEEMvMvdUxn/dfDwC9vu+LeKzv1PqHJe9dMAtR6xozWcibJlvVeMREn7PubZXrPQZMXp
XuUvHlnmgVrMQzErt4FMgmlfipcwuwi0jFH4JndT5662ch76Mdy26mParD7iPPWLgzR/2Ar4NUI3
Z+BHGd4S+1lVR2/O990KTxVeywhESbv20b5SYQ6fFSnQre1qh64x/rbVNoZdMcwd5a5Mu3q5S6TX
RB2ZtL+N6ksAMSX9ThfQLZu0pXGyBHnPSIQtnvupP6WF+pwLsGrqy+JirxOjWHyLFrlEv8iwzgVM
5/o5dVyksX0jxpp3bm6/jDl5lWy49nrVvVIZ4Z9QPmpttWsG3vB+0DnXzO+hBynhBlYmyQqGzPoM
42VPT99LNOxn9dVEVlxhIUiauy5F1w5Qu2XBSExpPCaw+8BpluyUCcRuxtDi6Zoce7WqP5tGlNw0
gUCoiZjpy7XaCTu6VSblPQLhaPWtRtlW1bWd1KBmLNb7Kj8gII6cSLbR/Z/yGCYXIZQIH8pA9kZh
t/fCpkpPssa9mEa8AOSqbUSpBoMdh06TmpkzyM3ox734iloz8mBCUS0s8dEKEZAIbaQ7VGG6L8+h
5PV5IBQbf5uL72DSpjeJ+z3UL8v4wvrZpgfbwjvRJG6JIqn80g3hmhQhrBu9ZZ3KCNO3cMI4bfSX
SM8aJUUsoVhlbG26UtEECacgbMgUPGZzr1ET2FTPuSUdGkWaHEvStjq5HCovqu1a/W3QE1cpg0X7
1C34L9XPe54G9bOdWfEL1BR1CVcCZ2k9CDpSiCvNMQkyWuvm1Mb13TAUKrdHmCh1i5hd7FNFP48E
bwITLEyxFhAWpceMwUFiwBVoHyImozKOx13bFU/jNAhYrRC2i4Dh2PKbRubLxDDnmFYROqHUiU3b
CGUbR3zepg1NMqjp4kLwHLuyvRSq7VicItJcn7Tun51a+4KgkWYcKhqcdHe20aHqWv2jS09mVeyS
aMAbNyTg+4Uvh2d99FJaUGxsWRo98It01iwCbUkKKE+pxuDsMEWaSkAJhcZtMUdHfEoJU+dSvC7G
Xmo91d5Xuh/Nt9E6CNpMsQfwtvV1f+Wxjryewg7oLLGC1acSeKSGBkxBmqVs01kD91fMVxqCueZL
QpqS9V83t3vwFbbRqneK9qWmNSNiuzlDb0vmQcTPhr7tiJroXDsBZ4LoTbhZBjaLfA3YAGwMUlha
LWs74GjQtsgfvIoA22ExXS3ix613UWPthiX2BhQIg8pi2bzF07YZhqDJtV0jegH3xsiUojlE9Mz5
+9Y8V8Cpg/Vtcm4z/PbjZ97bBNZoH3X7A3AWtuWpj5KTUgW5Oj2t9q+wALsLNpRW3S965y0Gn0Mt
7az4SxOUtkgu9jPSova50tWOXcqfsu1T+ei2NfIXuw0/27KhQCcNEZGgxpsV4UqV8ZmYysrkQzFg
N9x7RQ7UNL4tYeaEjUXbnXD0MEEJUUnocMdu8bvWJO5zrgb7Z2xreTvIi+VKSpRsFT38VSr0qLzU
2tBRKFn3yIZTmb6FQtcq/g/og7jmJl8LGUlnRyOYGdkHJNiaCwPI29ENhZelaTA09iGeZ5g8ym9Q
MU0Q8tUcgY3V+uzEXeUBtVWVQHI2At9YY5ke0rkBl4ovDaa2BnhkyMqjBBmnjUqwokSch+pjUmwv
sbIz8txTlqTX8GFQ1MCdBsb7Fd9KgerGMAx5Kw/l4Bn1QyF2mvWDLFLreUXaWU2G7ZUP0S46d2eK
ickP450xblarCGyk/joDlWA7SfEmVagUtFvPK99AL4VFy8jWy1tj/BzXf6IJVPZODTlZi9ImZjzB
oye5kfHcqafZtJl1apdm61DVN2rPX/Gvq4n+C42nDAVCy6BcmkzpxmcmNWwwkuHOxb2ss1fFWozz
As0NlpCzmj/U20qmufl4NuuLEb9JLSj1Xi6rxwtXJuROFsZXbfCgae9oWrwhw44moyCOteavRsqf
OaP1nkSRryWQFQ0oXCYL21l6a0dtEM1Lfx2ZMN3MjGPfkHC043ksf7LwKx6BO3mFreUXkcHEhF2k
+PF7UIpFVrat4a2D1+GOkC+j8M3wGionLezjS4ZzU0OFeNPn9Sepx2mfdm9W7ve58asXCTUro68j
F6PLz0MpX2lnY6I3YMwhVty+drL+JTFUxyAf1pycHDVupvVB/1DekXeNNmS20fxa26TPgRguVXNc
YgRPqFcttYDlL1wjbgMjRom9Jd7OXGhy4OnaTIRLPYbaEn5ChtmTAjuXME++c/kiO0HC1aICkdm6
638JyX6FwvEqtm05ndZpl4QH1Tp3eupEHDHZ+Da2z5BOUMtTAZHq2SXIG6JTG1uuIym6N8pcazA0
8Zj9G6X4nDGNi/YwS/+GyfY4tK+JaDxpehWaIHp1wpuguWUm6VedWa/IkTOMHSdtfo0MSw/6diUD
hPF/W4UDvKly5b8/qrGDiIkBmZe2yvqnhE2sKNZjpJDUDU6hAQL1Ywqtupyt3HiomBS/kIO8+lwX
Ej9m4bSr6ijKRx9We3vO+TlwwWafpol2it/YPeBAeEjlrxgQwKrdxgST7/FqVFqeuIDh62JgOQXp
yNe9TX+1urpFHUOQEORdWNGEroC1N5V+C8tAQYq6EaF9kvpx5NXkw1QA2FkSjPVisd/tGmu8zPKC
u2XskppQVQjtMoe4Fj3rZ0MgitEtYA6aN45/cWNazygDms0Yl8NliEH0OfZneK0oVhZXlvF52ABV
6ZM8pI0z1uLNRIaCwaMy9Etdan6Cz2Xf4krGuCKVgVVQ5ygxeA+LxQu7IqKc1TB2H4lO73VN7u+y
3rN1lBBvBEovl1yAoCNt0vtqdJxpcqpNYW0aNT2X0jZHIDJUBMxpGuuiKcEsyBaux7wN1FFC0jqD
ATKIXQcpukVj7i6zZj318/I5S+CGmi63rqWiHq5M+7lRqE6z52cQ16y9t49NuVOjv8omZT5RLhqD
qKinzKls86J2sMr5WQ1fUKnn2yz911A4Mt+Hlkuzbm6hddUIsEZPOMg0CVhvc/Ydsny1zT2ePhQO
t9h66Y37rIPqKq8yoGH6UATdUwFZrPHnuDw2J3vCOxDGTfNkLpBMoZ4rgZnE6meIW7WAOI1WOLkq
DF2b4UoePe2x3A0Q5+Ha2CCp5m5qM/HZr812UhsMzeHLnIyBFppukc3Ki2z9hIPkcC3oTZK8IZGi
l8FAkNFqtYkieJK+WjnCgZJ+dl3xG60xKNm9Xrtdk4ZvEvCCPLwkM5BsbCC46fQ8C2JzVnl9UPVW
slvw+G04hyzdVDACRE/CCHL5e4kpGbQ0dMXad5FYR8CLYbVk6GRmE2w5SN84x/WKA9P0y/JPKw0I
xp5IolkZDvIcK4QFf1fT3RjwCYHJC2Fz32V+txSBAYoXDZ8VKelD/IITC7k7KsSRj5vjYXodJqSh
Qi7ZVlJXB1FRV9ghUyRBzxgNgg42NT1+mrT1yuYKLZuzydvWR2fKz1Fp/yvqggEa/NJYCgltwSPc
AdGjXxTtW28w3gG4pcZ4JJA4lTx041E/+yaGKBTMAkLEctuWbadNHzJ1KjI2sQS9AaFdaKhedAP5
d53q4TvALwdY82uo9dfIN4uOQ4mRjhK2l10IMgYmkZ6l4WRRS+N07Bfu0tzJdUTNokVOMYFykpY8
YOtSBs5Jlrmi0q8F/1SydduP/W6QEYGs1oGW0w224llB1NJaTt4nfhIu9BgDz0j3JeIba5RjbT4B
QR7bEeDbMi5KVAXIp4toat9nemTLocI/hFqNhGez53+XsB8sy8vqCxMVX8uLpRNtWP9NIUBeNdvv
Q9ZCPcds3RIO58IQ4DKi9jAnzGScnpC1N7sut61gtRvg11g8lSloH7OQ7EaV3Ry1AaWZpbSIjeV9
qDIMp52bpjpbXcRT2MkjcylOlE5Hmx7bsIUivBqTAYBk6ifJtG5m1jhKeKqW9slgotes2OsswGLL
4Rg7ZDbzCgRY1N2bDHHKNAeV0M6UAkLdvcJDLngs/Gn6VRvzUKT2Vlh8w/Bf/HkvoLttMQXR2OwS
/lpKh4Z/fK2UydPTfxz8wVIVh8Q2g7DzWY7j4ai/hmh26ppub1QrXaU4Idjuao4OMux9HH6ELacj
DwrimjhZn+pI93rYbTHPQLHWa01EXDXRSmNcDKTe2K2hnmWnWX8FSq0+HHZN+c+mi4n4h8fkNKGN
K3/s4S6J22D+oAOLk89IhkhBxza4ifQ5kdMtDJsfFUSjpToiW9ypHjGRpajH4dyA+DNx0dKPcLow
nlY9GFbNW4zoQjI9uZduatUGdqx5LfHxzvLgYrQ52rGl+5qFAn6pglG6T03mGyTZ2slBnd9qzEjq
SK+bkB0r6R40h6HkrZOPEmDk46WfONhTAluGb1uf4kCo4S7TzX8x/bZjk/uzKagVx/BWYrwpEOSp
mYHKDGGCoRwS5iCBeTPsomM33qYp8esF659R7zUsBJgCtwQqPnzwg+CTkkbITmRXptiwI4/Y5yvQ
MtakSJ/3GWoPHZSuiG+t8SUlN9lw8RchX/tY1C+1/jbh5ZWGVNfhoypXPKDp9L3MFd76uvxQqvRS
J4TYdlp/UWbzNV5l8guK1ant5SDlh9omYq6j3c7aKaBiKVvl43OIYv6aJhbElu8JQ4scxT+IkriP
D2DHvFucnpWZ+VGF/DyDyjwO9SUObywzcQUpfCiih23Sa4Z02+vptw5wOt0W6ZV5P2nCy6hDXc0E
AMjRhNg67Nk3gOTZ//d9hg5cn6arjCR1RWlrL2PQs5xYVpJvVKs8qc3irnqxX2JdfaYvC02s1uOZ
TPp5aw0ocBUl4uzOFb/Wl2/VMr9K9dPML6s1OHkrIXBROyRZhR2dLH3+RMFeZfZ2DBGRh7MMqlw9
pqMqLF6VFjSfFdiN0n7guSgfTPgj3YHJZq4Xdl1iN7QSKmthJ64jM5AtT2kpWUxQl5Yn+nK8Xm0d
k7eZbHxhaYesgFzurXA/Z9pNpLGX6Zob2TNGDL9OfUVCWYq0fRCu2vplepKs8BkzRJ98T5N5jZZ3
PfrB6guVzxZq6JKrxs+Kfk0l7dKBs7dmfZJm2TGE5VWGbDybc4YSKjY1jyWOAKdi8rAi/ksmXFcT
CW2FlYpPM8xImx0bykDz6f/jupQjKlUy1hOrkSDOGqzAw8D3pM/eGqM5wjA5l3fL+kT5t2rfNWSB
huRhdGeJGYYDpX6zjPWFnWlncOuUCtyIHcmnEROU1H/Na3Yy88PSwHRElZuUOdYKE9HQEmTz4sdW
dJLQGjRzetTTeq9GOh6ZWfeGWlVd/D/bXG9AneR9E4IaJHX81mbyVqBow2FLbTyK4arz+mI6RV3o
RNAr1bqgy19TV7NMN68mNHRdo3zWq23EQCtEvEr3zmydweZEDWhwALjeqYjbJtoADNxqbh4B0p61
6YODd1Du1rITIV+ag82SYf95jYlvQbX+zIBdRzeeD2Ff0XNb3c5mZQ6tl7o0YGNuq+HN1VPPJKE0
gAai9ycrvPF+lTJxetJvhUhemzOnFQNvSV4jTLRrpFJpLbmKZvVOEnV8wEpZ7PNuIosOkDdN3ZbN
PUrcBr6mmaa9WRvPlG/VbqdX1667LbGvaa5ItEMNQqxor31TMUJHLALbKg+1TdNgSas8GdZVs2Yn
f6Qvsa1o5TmdB4zjdyxtO1su/UjJVH9V1u/ZeJ6Yzer1Yks/xXyHDmdFfzhCKcUhmFe3ViesUg+6
Nl90dJvWvkH5YHWBHCtfY1cjMi72M0CMWu6t8SfSVuTnybep5mDhEnefTS7YW18lx5kQcArprK94
ZVkLtfUgYPBXZolhPuN3AUVZtgsX+XKWeLFHWceKoGySYX7HMtTbP4n2pxjB2nWXQj/DZEITL/iN
peYUt6Wr4chP9faYr5dW5D6dr9sW7kgrrm35YaZvS8s9iNfcOuQTWvYWubh2asmmyloLkPLBV3iV
iXUqcfOHChF+VmdoRYXWreaxlf40InNzfMNGiw3mIVIakhpvvrXFQRSTS9f1AT1DTpHEWyjehcZE
Fceth/hZNSwnGke3Wk/CKPnFMHIhhEjC3So1QIsIUbEklnmw1E+F+qQy38h+v+7JjAXY36zkIJkz
htb17UF8Rduq3uHQTUAl9R2AkRB+P56bwSmAuaKbiLZNyZCNOlv8No9uLIARK3uVUHegk0CpFD8h
Jv8fdWfSHLeSXeG/0vH2eE7MgMOvFzVXkTVwFrVBkBSFeZ7x6/1B3XZTsIpla+eIXrQeyUJhyETm
ved8Zxaqrxb7Z7oJ6KukhsZrgUNXOtQeUhTib0PEeDabckXlHtEd8I90NCWd1yvKityJ536ZrNq+
vc5Kmht7v74q++deWwSGPlfCqyq4Kbu9gWBU8Y+ZkHg0vfA5i7WtaVlcvTc7OxVSsjNMuryFjSoT
a6T0yrJjy7acch9GbepIyzLyFkNl7VLbJhYQ4xZb3LSir93pj0L7rscJui5j57vDQ5C/2HId41vB
6pC38gJ36qJXKuQP4VoKEMhaV+54RvUr23TuPHopqtNY/2rNWSZV9iCa+tqnHVObgKOLK6lxsYlJ
S69w791gfCr8G932dzlXWnHkFV2XuVrU20rdW6LXIaKyhA3ckrS/cCOq8oDZmMXdveWmXzBqIACg
IbAihm0ZKFsnBJTc6IhK+iFZ9M2rrquUi2rKA262hotFPbVg59/WkMrNuWL3W1n0/SJvNZCcyXUa
RJBZPFZhSVNRXTEat1s5VkXWWs62N+/q9UBCmBoWuDupPNVd+eAXKaO9dAUJdzqMFa1SlJMrycbD
yO0TC4P9/cJt9HpryxQOXJtagmaj27Q6ZKJYoLCkSP1TPhyRdobyl7BI50MJqQA9fE7v+dnk1d65
dzlNIB3jhF2snKB40apTYWCW6PGDtV38npSYnfvSYY1ao+yX80eTyOEirll+tdWbpyrXRS7vrJEF
kcWnDHaRkVr+Jm1uCgrH9NQGOZy5FMEsGsemzGsRy0yn66vc+Ea4EZyjoNs67buLRdn22MB5zo3d
sExKrD47JgUiNfz1DTtP8md1vH2tfHTG3WNGK0QVz5GsfwF9JKX1No6CZ9XFj5vE/a1JlsAdVdMN
S89Ko+bVnNoI4ZOMq2FZMtaK+tYC14Ns3/fe+mqr+NJSKEvLrLd0V9YZoKcsiu88eFmsmwakarAF
WaKTzIC6r9e+uuExjhcu8mxUoX6PuqE/+VDNZ6yz4Qcg/fUk8xQPw1xtnXlQLr2yfFOqbM1YWjSl
d1Wzc1JDaa7TfTQjWte5s1aoDHndndazMDPuLKqui9Lph7kZRyyxoWNJcfM9Hh84f0Vs2Vo1rhHs
5M5dqxHKaOXrbFxeUHXLs69Yfut2Zfm42cinMqiRc65YD3JlhYjISulSwzNKzaNAwxewv5BDYM4G
/mOn6DqWElje8C96frQYkoT3+FAezFYaPZE3VHfS4D7PVxhv8eKffJqhPbu3B/Si8AMEZ925Cr4x
igwrN7636qXT38owWaQtwxJLa2avCulrWyGsCVa1Pu+Kr+i+XfJ9xW3p7Lz2vpe3jbMJXWnR+Scn
uI7QntqLTrmL8lXffkvipZ28+HTlja++TnPqsaKL6j97zBXto4iWJiFU7V6hwCkl4GkS9rNDyf4+
PnUxFXNLHkWe/rVrsrA5hkwadnNj6IukOyjNY6LdWY1xlFz9a8a7M7IOrIEXojnQmixF/ZB7u9p+
UlksZ9TBo8ZJl6VtOEerbudKyU3z8XjUCiYwNitE/mltbR7tHNhhico+jUztSh1NtXlugfykLT4v
YJzHcslKtDzYOtKeIWCKGmJqjLF6rArUWGrab2rJohOVljvHTJkW6l5ZNwiw5jm2Kzl+ysVbFPTr
HC9Jn5HSWwwDAJzG55f0q151tnJQbIss30QSbqlIWsuYACyIMPG1N+bBdEtv+OZZc8sJjiKtbErM
xi6TBTsPGfU0Vc2tTdO/pKyXtc9eSJB9orCAMehtyGvVNu+alFU8cuCrQmdB1GPHy+OvcOeuPcEm
OsUTHHg3jZkw/fZrC0ZOF68r46gqR0XdWpSE6EAK8zpiq172e0uXZ3qeFzvN9JxF4Olf6E0AHKHN
XXggpGgsetzxRtbeXMXaBHi8woGOdogCny6H16gMcXVmKHiyAGSJ4DW2UL16tGZ6RVtTvs00FrXW
sCvUcB+r5Z2vIfmVogfJ9a8ctBm65B700ldnVoYJrQo2tuVtlAFDBIS1Lu0XoDYaGoDJDeyfmVo8
ZgF+hnaZStdODTK6j/V5NtqPQrrENzWPasPkqo5OZSNkostzA3W3oaqcZ3VLdZvWfDpz2C16SodZ
wC/jWZ2LL1LuPEsBbWE6U4YB7cDTvxm8rItoKSPMt8tt568Mn+WK1393g+AqsVGwY1RgBaWnFOn6
UdmZrGu7XprI2Dw5WTrGjef6+wptji6oUozr8wgHbmLYO7kA6nSvmGDkTLRAIYVdOmtVvgjwxJNh
ruMuLKVHVykWNp2BKvIQbNy4fCNk3YGeL4aB3m7Sf8ttZCASLRmgL02PIcqKr02qhgUC09pHUoQq
cKbSD4yjZFlq+a2TJkcj8k7EP2+72Dpl9T5ogSrV9TtCmkDaWNLRDfUFyI0vsuNdObEh5qGHOYFV
Pm1Ie0YNax86aJyCDkHx5zgqeWRd/QpGNQHehW4yxKbdYreZifnr8ITheTYiE2/aGZ7BC8jEMzjq
aUZwFgaNLhQdBZ+28qT7rLqtnMcLJzB+0V+cgD7hqOeaJ/pIVeQrIdpsFIgqxb5XvAApok53SO6z
/LkOW6yxeqGzovfoub7XrkVbSRs81AcXvscZwO00TTislKRobNQ5Q3cY8bkRfnZagKthgb4Ln5Ky
zKM5een0PB1pH1BvEBcObZ67BBMEclGpxmCYvBk6DbAu7C7DdQSGvG5JLQ+19F1IPCe9G+y1cR1d
Neq2lbdG/dJVgA5KHjApX1c2XkXcIH71JY+UZSDZ33iLld6G8UthLuFqGrOc2oNW3ih6P1d6Vmo2
J5Xfev1TwjRcvqi5vPHRfwgbk3ngGi9e+8A7FPMTlsy5hcPMyTqiJ+pNoEu7SCuR10N+H2pWtBjn
ebBVvPjxzHDvSSQxCwhnOSP7RTTYKpNNXhcbOax2iSehRdIIaWVV+C1if6DkO4X/1kU471S6uJ/f
UnW8fr96tMZb/QFV32RhlMaJGAhi9K6Pi3jnnNK1P3tdPJabsJqJNdISMXuS5ljr0MrOdu3srl5Y
M4rTc3f93Z2/4UHaC7TQy8+/kWKce8omcFXPkpRSMl312lWaDYwqgcZDyr+AmP9SmMoss1XKk+6S
0t3YBEPVimrUD1ocSirrcvCNdC+iitXZrqZd1bD03OQA71+D8slnbR5DNNVPuXey5WhjovSuXajr
PV2mFoCp0JUDMtdT+yayh0i/6r7r/XgAE2DXsImT20B9lKAkZkvULO5ReFCrRnnAQWktDE5PDfq8
xNjhd9XqJXLHGxKnl+YdVenBe+j1lQCPEYIL3UssaOqFyRKQDjSP1M59rmQU4ciBMCcuBw3P9Spp
KXmvARTejnZK6rTfWxOtC9bDOckuYq++gaDLTm39ojIv8+7i4YjDq4iGz5Ad6bl2GT5/aYcgs7C6
WQvErJk5sKAS6h9UldpH84n2ra5eq7zGWC/WzYbWBYa3st0acIPq8DBSumL1vgOmi4xM+VZmDAL2
wA5yAnLHBvQS7auuoUf26pUfDwcsirxhPE+ZCWHwoLunqHDxBGmPkaKd/GDvpmhi7GOM/BAgQUCJ
qFxW/bZUNHScd5ZyqJ13wmyq7qh2+VLPX4fkCksRnerHAg+WQbBHxgAFpIQrRqaSpdyFDCk5vys0
v4a8bd0pWXMq6uRVCc2FzZ5H5pUfJ+zx4NTBhuivQt2es5Pwi2UHKYDNJiu4mRW8Kg6J6F228uix
knWduZvYeSnFIWEhzbY90yzYtaCvFGgmyJo2YcSsox54hw1U51WktwnfKmzXqEuR5Q0BHJOMRaJK
SJr61GMGwLEVlA9Fv6uTKwWFQYHWGQ1dHmD79gPmT73+bgFtcwR2R62dE0ltDFQDCMrDw2B2p1rb
x/ENFBjZ3doGiBx/yVKxJdG9xIcW4oxzn0vF/2J53mOYbBIxt7OHsLrJEmUhN+6txLovbhosz0SB
Jdbcq3GWlKq37tJwhvg5QwJZx+nd5+PZPPNi1CcoXh6RxrL7DEknNBZsKpAbpebFL1nnolZsELIa
dPw8FmxDJN9I2jGWcX1DjqQP3nrFDJFLp+I8DKl5RM6+zc3vkoa+Oa5GM8ZLRolLsK1kHd+AW/du
EB4DSLjyEDTjrQhrBIxGMUfHmZusZhge4VYuS9o1+1baVdFesnZNvLMNGXnFfUTHLUIcE5U3Wb/p
g/LUUBCKbEr1WV2tIwq3M93zbnTffksdfZ5a30rnykHuI5D3x9UdNeFlVnU3Yde+qk6z0bp+ruKf
7yJwwYp70IavXbJVq705DJfWN2fejWLC+EyM1tFrTY73/U1AXwok43ucrRTWc6PAYk4RnBrC53fz
zM0Uk5tpOl5WJxKHSgNP3lpJgTkenlA3NhV/7wiTxVqfZFbmtfg39DGcdHgr6ehXF952Z0DaYoIk
TqSiDVgPhftAWaBQFGgGMfuMheRFjgPqEoBd++U71ZzG3mhR1ieWOYT7FEeNpBzVaPv5tfn1mxH4
888vaxb+WmH4dUgXOKbKWaozU7NXA9t7PVEePz/GmTusjyf1YUFQQ0uNSFpSrp2QkeVLvHGZ5FHc
pED4Pj+E9esLZOnTB1bYqLIjqbum/YILCMBeAXgNySkYWN0NZhZK0NiNVqhI9gnaiCy8lvw3B+q4
5AzItLpF3BwGFMDSe5hTX/bDrVvS1CmklZXsvJApWabqm6EtL6nmxc1Cj+2FiijWH1X8ebJ2aO2x
v4KfF5bWrRe9yfKdFzQL6mFzXsCFvC/BgKklRdDQf66TQ4o0G06GHfF+kb8W5F/W3cqWHjPvTQ7F
TTHQ0gviReOhvZOhLNsBpXipJqPuMdduGpK0q/iAkKLLCDjovmY+SHKyDmraIr29k7iLFC8J6Une
uuFBKWjHePGh6DCnsMOjAxrQjPKjzLwwjuUzc4Y+GWaiYqOtGyWtg2rtSYDr8Np+kTT3QXMxqOyc
GI4sJvfm90aePh15SdL2SCbEVeVmxp1ZhOWR/hM2gThNbejqSQIaJDIXiKpCsGiWqZ8+f9bOgbe1
yd5JSINQs6RXr6SyoHc3OMkq7I07qWaNk6AFS0zmAOrnuqiofL3HuVg2UomKs2WzXFPbTCmZ2cK3
Ljz8Z/LpLW0yiFsvLhvXy9Urry0lvJdR5agw5BPp2U8FDCefXt+3VkGfrTUmjR1DEagbdMCXWhWB
9DC17q0Io1EuE2VbA846VMykTK6qFiNcHirFTWeyylFSp7xvbSNA89rKdM3HQYf530eCFw0QXWqr
dC5M2up4H3+xjdAm27NaVoJAwBvdG7UBg8+kzpKuUlCKmKPmtWPSdKM1I7KvEopW3Ur3vQ+5pz+6
qj/2YNBqlP57Usd3WdSvNWTIMYI3j4RJi5xAFy1pUdSbtqBFg/u0LTIK8gAbTX8Zu8alSPpz5zDZ
CnWa7QgltFOATy2tKXQ0c/HivECZDij9gz6xVBx/1kZXKRYtkEJm6LPf9bvsxm9e2geJ/QY9vNf2
wLAC0rMeriQkSpw+enJOiKgR4DivRgFqY2MGL9QogcoqM/up+h5G14jKeQ7fIwLZKabw3ngqiO7Q
ltIb61MJlQXsyHdkRFK5DHcl4AAczWTQrVGOVwlgtFn+FSNzIWbxCTalpS3D8gY4yeC56AKvKKEn
F/IDfpD1f3WvJ/szpZfzdADmdA2kfaVuwh1tiWuUlDOP9Ghpdm8R/aXNjR0ZqnNvZSOCnElkj2Ur
gxgmg71juHBmrF431NXGv1rEc0yPC/Aoc43KzIu6xNS2jua4C4/YGA7RmgX1NbRjxLFrmoHbaF1v
6itvaa2wUv3uEzx57xmW6xRGylmRojzHcr9W1uIGKyq8Z9K+2wXYpKWx5TLPupm2gFU6f39+cBfh
imrnFS7v/BII/8yOXJu8HP2hDjtmfYXANrqOC9wj8/ESGTMWc3OM/TN/5T1cmBzHZduvbuX43z+8
7AumhzAcj+XspbtkSyzBqX8DsD1Plr9ZF9MmLxq7QghSKL157diIxPPwYCmo8ZKOZdfnJ/HrRZGl
TV4tlWhyqwtb81qWRutjTdJNHqTw0aWVHeUXI1/OzA7q5D2SqHYBbn2gUEK3M2vrhdY/sJdAdmCu
WoPUgvLKGl4j+9Ii6cxaVZ28Juq0bXInQvTe1CDkIVNK+S6m8ApUDnhKu8gUEkeSCw/CmUXfj+rQ
h+dApbOqRREdM14c60G8qPi8jUuX7sxqT53Mq65mZH2oqYTluOZNk2PJA474+b0/V75SJ3ORacZW
ang1FckihVgUFnTUQ882qjn+CTDXnTHoS2Fil81Q1xzljk6vrwOZAt7vLWPdY81JniuQaxVmQJ1X
VEdS2511g6jRBytAQXrEkGTVgEYXkn9llIrYRpYnrmqIEYuuwr7S4OQGNpVYz5oCo5GkXQeRmT/Y
5rUVy/A9HQcEViTsbzWQ2XmUdUj3Iy2FWwCK7vMrcabIbU4zJ1WZYWYFfrhv3QA+m5E0/VGWkpqG
Km992eMVMhBLuQFiGyxpb7RLe0jUjSR3r2FlSRvZbdoL+Q9nRqQ6mUrpxBYDWkcyJ0pwPHC+mc/m
EA1min7hHXTmbC11OkkWuoHJh0N4auivC9R6s4SbuWxMxG+6bIpl25nlXmky5+h7Rb2LYlxuQF4D
7FXZsAiYZC+sG86Nnckc6vUxrW/T6HiGcioG/s5CVNX7+YWV+rmLOZk/JUM1AtG5/bWU70lUULqV
ZUOPuXCrzn35yeRZNo6WdirhAH5UULWGB1vuG0UsP38oz3x3ZTJnisqPoxxd7LVhQZHRhP21BJGq
lO1r1ASXHvwzE7MymSixm3qDMggO0lOCqQNU43Ha7IJYY3XpXVn2cBzU3pxBPV8oGoKUz8/tzKym
TFa8OXSZPHeUDvfbQx0/p8GFpOnxa//ilfxj2/BhKrZMuq9Fzue68i5MRoweqmwZl6W3NIbF7333
yaxp+FWdJ+n43SV609bKD5MLL+NzV2Uy9AtYFGYR88kjJ60K71pxIU3q3KM0GfA1+aGxw2R1jbYf
xHAvL1AWQ837/IKcGQbKZAwXZeu6ksKn66Y3I+7CUQDDrz//7HM3dDKAEeV0bjB+cxuPp8ApNLrS
k1sLZoa48PXPXZzJKPZixx2aCCmLpmD0VmkbG6AW3qh5fn4KZ9YiP8KFPjyTftIOLsjbdG8gDXfF
4Mxk01S2WgNOjyw8iweVudeO6KanCtzPz496ZiH8I97ww1G9CKHVoCXpvvbr1zRUdSr5arwOI3AK
aVjjcYCh+/mhzqVdypPRbNR1yitxCPb4bsKDeBhirMhz6aZ7UGf9hQfhzF36UaH4cD6Z71sZqaPB
vlJTNgxJ7sOMza3XwET7meGWv5S4e+aJkyfDO+p8W1adEuwqInZ8NZH/aHZXUo8JrfzSeNmFms6Z
sS5PxnoeS5Gmoe/cN8LyH3Ju/JVjp87m81tyZkj+ePN/uFqeG7i2mxXBXnNXjX8fNEdxKUj+3EdP
Rjud40pytCjYSzA5Y7ODj7vMiwtv1HNjZTLcW5PVpdxwVeJHqOgJDirIZjIIwfkAmPXSPHvuKJMR
r6tBgxxzvPa05Zp18Y2eTUA6gzPrgGq8f34Lzo0KMXl/95ZcNX3EUQKYVsUiaIhAgJYww/lWSzsH
q0B+YQY7cz5ifJQ/3O3Qr0JiiDkSQl6U8BRPccta5RLGe0Ekw4UTOnPjxWSU26TMOmEKx7G3n5ro
OYpKcBdvn1+sc589jvoPZ1DFuu10fhyDKjg1uFvhYHuVf+HynBnRYjzohw/HcFWqCjLyvbYHyl5j
KKPqfRL5UksvzIBnBrOYDGatqpumSThCXT3CHcOPd+Gr//qDzWn+vK07Xp0YWbQvu6OkXZMic+GD
z5SwTXtyUUqvj6w8iqN9hlHfpm2H9hp78qx+c76UuBSJfrokSjh3EpOrkw1y7VlxHu0DZL25+ViV
F56aX78TIEL8fGNrORkGz7DDvTVIaw0IR0HZ2Qejbl6aR3/9FjVtZXKESCukLOEItQSTvYJucXKk
71UBz1INFp8/++fOYjLn9a5PhVn3uTwYXGvtLnRoa9ORT4dLwdfnbsBkvguNtDfkzqNbq8SPUVmh
0ZSeP//yZy7QNCneC1TJLoYw2g9vzb38mn13vmA4/Pyzz3ztaTZ8pVZNhIs22le9oUPZUp4KTbqw
7zz3vSeTWQWEwzV9Lnr9XVsSuvdorLybz7/2uY+ezGWdQOiVBy4ji9AA+lNIyhQNFsgQGIRqwZd1
Ivs3r9BkEJtZbNRuxRXC30AkUo0l//Nz+PWUaf7oPX6cMnPSruCM8cRUiD6ukpU42clV9nKpl3zu
8ycj165LPbFcLj+pifI9OV9jjHGBp3OG2uDzU/ixkvqfe0HTmozdJkt9T/y4xfosPpQv2Um6pbeg
flXn7rO1mTtLRJifH+vXL2DTmgzhSvqvp0nwNEkHA2RjtgcPt/78488NhMn41eDguDIGNvo+CnyG
16h8/PyDz1SCzGmuu2OXqRGVabTXlVl6QIKMEpxMghph7/f+XkN6rC+cJ/fC7vzMZZpmu0spOYN+
z3mElP0fi3vpFq8ozZp1+psHmIzqzipamvwcABbJALnnYDwr9xDyhhf9wnx39opNRneYS7KlBhzC
fenekrfwu/a9vJFu0TdX8tp6q/bypSONz+kvnt8fkqAPYxAhj6nQfI327fdwmCPlw1gMzexW0QgK
nxc7773efP4YnHm+zPG/fzhSIAlDWI4I91KC8s5c2qp0YWCcG4TmZKB7raP00ajm8CQIOKlLUlup
sxGFLEdPthR4t32yKZKYSnOLd24hVWa2tIyyPlRlqq3TqEp3vOed5eenembiMSeTgmaUaaVmcrjP
yZFFdPfFfdBHRdwMn8HnRziz7jd/iHA/XM1StDjXCTPcJ294vZFQRtYselLezBvnC7uYz49y7pZN
pgQ7T01BpEK0Nz0qw5TN06K4cAJnPnqaCe5lokXzzvcXVPVjk0jTwLnwrcf30i8e6WmOt4jVvsD/
w7Q/8JglEs5+tck6SJFtvvj8wpw7xGQKSIUJHmJown0DzQufPEgPgxbCpa3juY+fDP+4TnrydFk2
xzH9uKveX7fehTrRmXXDNFA7FmpFpCQf3d6A7CZQp1h0L/Hd55fl3HrfmIzxLvd1yWqRBJHZ2N03
J7Q5Yxr0sfpaHpuv5euFw4zP36/u8GS8R7kP/iLkJMh3IzumH7MjZmDM5LVP943QZvXCU3pmIBvK
z3NW5zu24yPG3aNCgcGlV8AG160z89+yS+vPcyPZmLzWx/BqDdodi1uPeFsCV3D8sFJZmsUK8QeM
f+tSv/LcmJsM57yOS2KXuWw5YYSOtKlr/cJ1OvPATt0PgZC7wcnpUTQSKDdilaXnFFDW57f7zNee
WhrUVqoHGwf0dQX5TbCAc+TbH5/8b2/dv7vv6ekfj0z59//g328pWDXf9arJP/9+n8b87z/Gv/nv
3/n5L/6+99+KtEy/V9Pf+umP+OB/HnjxUr389A/cs37V39TvRX/7XtZR9eMAfMXxN/+3P/zb+49P
ue+z97/+eEvrBHva7bvrp8kf//zR9ttffyhjeeDfPn7+P394eIn5u9v2Jfn28j/+4P2lrP76QxV/
WoCkoAzgTpVleWzdte/jTxTrT4yQqmUZsrBU29I4SJIWlffXH5L8p4DaotlYj/kLnf/3x9/KtP7x
M+VPftvUbQsLgSFknYH0X1/tp7vzr7v1N5REp9RPqvKvP7QfK8Z/DXzQSqah6ZZs6UJWhGwr46Py
4e2XNp7TV/jhqtBD1erbvPyES250nrXFo6JUkMxsIzpAWyIlaOgt8q707lUk6BebwCEjzotD4Edq
eSiqpntWOgeshyKUe8xc2QrFX7/Voyh4HHr5HjTh8CC3I//PK90bJ6ox7VdjFAoJ2VgXGrdfGTn/
ToKw2qq1ZpKjVUWkoXjWLq4c7AZVBFZ+FUhFLRAF6A4h2VWDWyLvCW7wvMwEHGHqX/WY5vfC1QbF
mEeGWh6VIrWuglwvxpcLWcUGPBdio3OD8dtlGbj52FAxaQuiHXDAI1Zb9K7kbwQyLlBMIBOJ/Ky0
7AZikuFtK1HXj6Uh+0hh6JnfxG1orvkq5T52NB2esyOftKzHT63J7YI8LLRrnY9CKkwqwNuEuKEK
IauwyuRdWZMp4ag+Zn4a7YGGTFBk3ak1v9hqfargNcMSQQuW599z9atOb/vGhebQlNZrEfbXalIu
HaIuU3/XNtWDSddFD2sohp2JJaG4E57zTcLoDmih/ZIBMdnWWaMcCxJdNBMvZaGWJmQb41URHTR7
oAZcqqPlaXednWdLDcC7R04kxUnPfQV0FJFxYL3pCsFUnm52LyKuvmH0C+dZbMvPnV4++7m9bRVp
Fxe43T3XiWBCQLvR844sLGHcGUnxXRvkB/It75wxa6WRl2ExztFAeJAtF6tcKcF1+CMaXPP56MFJ
EZKhld70saMsC0m7NbL4vojl/DpQ2hcdGhv2MGeTNz3XtK4XUMiGdRNrqnKlYp4Hkunfl8hK4Y0r
umuQiY2L2mkLkkLwYuYKRCOD1DSC0TusHEYE/SMP07UuxQu/AWKkVsEjFC9QvqaBia/ASwsTGf7e
N8mv7wrXpOb9nOv0NQCIlmNuZ+/N0t4qESlmGFU7iWbswvGIMZ/pegGCV5dUAr+AXtW7xJbAMnYq
2t1rOQ/KF0mYyQnhpAF4o3a3uqdgTy8yGb911UHv9gmU8b0yfpToy5LhQg/MiwmcdOtD7+v8y7RP
ZpBDKOvLTauVTwqbkEKNb9W2X8QusLABDGYEXKFSMjDaxK3rXSlmug3Vv1bJxADS+Cz6YGUoOtad
dJT8Y7YsI84H/Nl1UnreJqv9a7UOcUNVZAzHmnUdGjBX8YbmKy0RK4/M1kMcFmI3qCFAewWsi8rl
n6UNUJvORJbZaYMJoT4z1zExSLkclgrMfuc6EXAMyT5FsEtVLU4giZd4ypemBN3Xi2ssx6l7F3u+
tU36DtA2+bo3gqI06mkupQpRbmWbgDwhTtTw/d2n2C+2UvS96kP5PrLA08W5IT0mLP1JkrfJss2f
skRTYHRiN8JqtQljk3Qsi0VKx/UQWHaXZZAhEjaKFpCTNcxKCTT5UIkyn5VWTYS6quGAcAD+YP8n
60szX2XHJRzMa5t5kQ3Kc9/Zty4uFUeCM6hnROgm3asbhzeph2QAOs+CQNXAS6u7soH7CImwAc1p
IYqOHbioWICtMnhzuHSLMjZL7Hf6GzTKbU/oQIQBxs3KN62vw9cwIfSvQEldkInSgfJwYmKRNBAy
XP+jT+x0Iuu3kgSeVkgNYQw4kDpLfBEFw1HY6cYPa7qb3AMfzE2Ib3yWFNEmSRz9EKDEPXE6Bbbi
wT+Ak62XgRw4G4wq+IktdedWvUuaAgRzgkA3muc/Crr5KWyIZ8i+iNJHl/R9lQzujlKJt4p9wos6
A5V4UznuQ+RET0GOHFAQ1KqSc2RZMaYhS0s2meKrzpLJVnvyeH+eCCVSH9CnMatb7qvsK4zdMScq
7lEQYjJiTWs2a8139XkcNdobMjNA/bJFyb/SpW1mj17ozpMgsDSifolCsos0ua5e085oO0iRuv4G
wySBVO1orbqQfV3VCQQV+SIecnPty35zSP0itPZKmsoPdWjCjdACSYLJqR8iO6gPcZOQ3GWQTXzq
ChkBa1HIxAb19sqViAlsCz24wrWOlC9XQb2nKJcPIEo9pP9GPJfCFhSYjrc0wOo96xpbRyDh+5sh
1Pt1ZxHwlrkupbH4oDnVpiAiKIs3addAs1SCZKMOUUOqKFOgUbrNtknbjRoZ3yU7za/UTkC16yKj
ARdr4WfLNVzLVRusUkGAsMm5lHYzXBVxLp9KqZu7bP1ln3NoOuOx6uCY0YHLbocSto5TAtKFEeE0
mfkg1b2z6kxsW5WoqgVh0C0xwqWzdGh8PboiTF8kNSJ20kLV3DlNvFfzMHiU/Nbb9mFCd0D13R3Z
pd4uVGzpIEVFfyPRUn72e4NUDI+lCG/P3gLCpo2cTAgNtxXIiuvYF8ljJafJqycbw53fEQgojK5c
JJojVlZsOSfbEtHCSDA4lHI/vP3fF8BnV7c/rYiP2XtyVxXv79X+Jft/sA7W2KKcXwbPPT/5aRU8
/vo/FsGyqv1pGrahKJZQTFUb1Z3/WASb6p+sO1niypomNMUeaxf/XATr/EgnJlIIW1fkcTn832tg
2fpT1m2Z7hrOiP/T6vcXm17TVKdKrWpoINdatnsSSduCawtHhiGcmw/n/8+19k9r6zOfPu6AP6yo
ZVMHTFJJ7gnbTTpvNddfFUERrX7v0yf1krDRu9hpZDJ0aOOQfRqAp3O0bPN7nz4pl7gm1EI9s7Vj
5kDyryR/j0f7kg1n3FL8a8uBskgztfGyj1veDxeG13aZmaLTj3ppP6hg+dmum7950SfbGCvAKpZr
Cn5KQnY7NR3RNovfuyaTEslQqG2oB6p2lIS41x2QJWHMfPL5h/+yZjFeFOXni9Kmhh2YDUbQPkvD
Jy+0610hKpiZJNuveJnqyyhN1RW2/tE3TWyumRrBb2haxmNP6yWhC4lCN7Uje3V/7gQ66A/lH/Ph
T/WA/80omFRIYsfOSqfjhuhde3RtmoyU+rzfu9tTiZYIJSkz9BbejCBEGA/REaL0pZLhmcd0qsQy
JaW3OjlSjnpvvIFEeWA38P753T730ZPBy9bPNE0nUY4DLp/FoLf0HBXl92aGqeIqrflQ3/GUYxVk
2oqUOfIDrOB3FKA8K1OZlTDg3mpVoBztVtmwh78hE/U37+Z4tT7MCxmp9xFG2PgUxxI1VMfVVgrB
9uvfu+aT4auz2hGVKkWnviWdGFV2Wp7qXsd/9HufPxnAupo3jdkU3inoK2+u+P/J2ZUsya0q0S8i
AjSBtlU926Xy0LavvVF4lIQmEBr5+nvKq27c1RXB5i384lJ0ikySzJPnAHwbGvXp9cVfbF+dzO64
KJnyLuZDU7zrYvkY1NBsrpY2vp17GWw7IN7B408M+52kE/jwwFcIXogxud5ku34cBUY8Y4Iqiedf
6rg0xz2PkfARjA2YWR/KSNwFnWrvX/9Lz7iGi76a5o1WFqxrIE7MP+ZzBMFCm3temi7gqggKEIqP
ShxjnSKZ1uoHCL0vQODObdzxadQUQZuJ0sSxCjj9FIE7HvS6+YXvf25x5z6ebMVQglhBMVclIAeL
bJ6CDzHsfAAJOF4u1EqHS5TGbauOvJ4qoMincg/e8/DR75ue/qonjg0eMYh2rHl/7NIgxOxQtBzi
Ndz+e331U9rwQjrhEgGEyzpbkRp+XGaw1/cYrgS1YRc/xAO4Nl7/iXPmd3w7RCEe5dFVQM8ivs6j
EuWE0PfTOp4dLmU+KB0lxwkiYKAkqxXY/zuy99u546v9FkLIha3BEXqRhyRv3kI16sI4ystGgU7C
86/aJYBdWSohCCl1Ak7VeNogXqC0V7wO3LH/U89Lg6yRQxcmvxfkcR359es2efnABO7QUB5VnabN
xlH/KKPrvE6Tz8EMrRd0RNgFf31x3hmocBcAmBCh8nAw4thyVIgaCJ096GL8qEYIIUE/rYIuDCmg
2thDRcPqP1YW4a1eY/tpC1H6optitxgaTwlGakGsw1Dkw4WowRhSrvX7wpgfoLEFqY3qP0x9dS8q
0PgzFY33GAqCfMxaBZ9ft9WZjyyc84OSXB1WI2XHheOJFMsmgXjhIC98iTOru2BGyudi0OCvPI7B
qXJYB+NVR7v8wvTEudVP//4k7Cx9NSsd2OBYTfLnvCxv6zl472UWF8E4LyFIkIlOj5wsX8JkfWdt
98tvaSfWNF3XgrgVTEETBUNMQNUx56nfmzRInWDTbl1UyhWLFzF/k7wBuPbC7Xd61P4bhIPUOSeo
WgVixKJHzhuaxaox16BRtTt83+B6XHr9XZQKRLaERRcwQ2e82EUwhiPEo0Fnyo9ReFJOzCFMmFp0
o4oR6nlen8IFMoqIzbGmMj1Cghn0tilQG3Pj9eYCt8Pzw8k6E9dlM6THhKXyce21/m/Kh9nrDRAI
J19ogxwpOho6R1HrBx3031RQXvjS5+x++vcnXgUkSBs1RStAF9JUWRwSaGuW5KQDDfbG1+3+9zHx
wmlyYYwgR5xEZ0NxnGuoAdcbWDVVgt5MCXpJ1ItBW87FMN+17ZSL65Ipe1tXOble+g6yYlKxd+0G
5se25wm4wGTn9ZQNhPuCoCEBgzKNj2Cno2DHrm9Zor68/iefiVUu6LGukmTAfAMyjLS+ExTk60pW
PsggXEYuzLELoS+Qc4MUox6CG0z1yptyTi+kX2d27kIRLVvKbaEzw3MT7FZqoOmXGbQCfoHWhR6G
M1MEqt/BEaod8XW9geMN6KNLaPpze3ecsCvXgM8sT8DPCWqRthw+Name/K4f7vigLKYIk9lYHIxY
H5IWak/VEPsdFxdjSONILo1EbWJV6xuZghlEXqRiOGeU078/cfB5jqO0hyDXUUZL82aAlvwPaG6X
H5M8gnLgJHm4Y0k6fogacFOIvuIf0Vz5mRZd+9hBzGvPklV8KfWmE6/3JirHzzck6gmdtzaG6hUN
VAl+s0CAfCRKPL+Tc+HSYkvTFvMxRx0nt7h0f9gE5O1ebu1iCpmuBUujpDkWHZc3i0EDCJDySwOc
576Ue+mmeQnNVt4cQViVHIQAELuIjN8F5cIJmWQmKfDSP7Ygl055AkaT9srLKi6ckCQq5vmIpZEI
g0Nil7D4wnjAGYskjkPXkU6gTMaaY0qbH/Ykkslqv2Pyl7jziVu0tm3NyKE5TQj9AcVPuxvQ3vS0
iHOp1mKQdNiC5rhGHZT2ZADyIwFpUD97n6z1ZOumEXUThiI/5iukuokEq1ezgQDdb3XHPfmUMPDv
V/bIFE/v1qaGDrcEROP11U9f7oVUwMUL0jIBx2BOxTGP6G/bgaFrafrug+bgvQ4naGuZylqv2lPg
4gYXxeZo5Vwct6kr3vRB0V6vYWM8V3e8NRU9aZq4rY8dJBd2JB8fqTQXrHTm3LtowamgMe/Quz1O
UvH7Ewz4Zlr5JR6zc6ufkv4n56ecp7q2S14fSd5AMAwS3bRg9IJZznzg2HFZa0DTJdWUH3kcywDS
BA3UyKaliaDGsdB2F6pKnBKtUvp5Q+zcyzS2yxTmG/6aBI/C3RSw8arcFAhuXj+x56zl+HK6QXgo
iqATOU6kgiQU6P+hhHHtt/jpR598Cgwx1EsEsM1xK8B3AlLzbT+P8XrhGJ3pQgUuRyEtQb4c9gRF
F11NUCPvqr2FJMZta2h+05ZmfNBzuiHlBi4K4irR77FnyPr8/rbg+d825HlQ56DiP7YYIYVe1x3Y
hy5gtM99E+fdW0N1G1i7sT4WAnS/ZfR7zc0Xv107bt2SUhcLM/YYNZqAIR5C9ROmhb0Wd3n8SktW
UJwaeRQMzA9xh4HqJbjgeGds4lLyBfh0wRLmeQbg6y/S4PXWAxfpuXHHq1e+Yj4g6tYjX6B1ixwy
S8CN7+dhkePBCPjdSnsp0fsu2wF0oDz+Om7x4rN8gv/6+TksVdXykY3sAJUeKN5B0gPsl8Wl+bYX
zY7Vnc0XNm/RguiDQ1P3fyCf/VtNvddxwdpO6JnHtE2sDOihkmgOcdKeio3KK5nF6k7sKUwBFDhT
9NBCV2hsgrckkj88zjmWdnIIAEiNCrqGHurGHspYfJ7bxSePxdJOVFmGQKOwmttDvcpphbh5EX0a
0Y14fH3nJ9P+k59geSeytGOUi2ih9DAtY9lecTn0007nIfkGusvugquy02Zf+hUnyICda24AkwP3
eVvFOUSSVfOhoaDDrW0PRSmLwT94G1CtwJ+zYCfyaESBGbLmlhTbz1iVpc/9k2CQ7blv0LZWqY6g
Qw1IDvRQSPJVT2K+9bKlyzbX26gMpzTfoMarV2DOoFJV71jHRAolSNGtN6//zBkPdEnmFIi1uaGp
PXRbt95uekn2LSDiV36rO9GjU/moDCSoDu22/EkxGbSP6vLL62ufYsQLx8AllevmNN34yuyBpx1Y
tWXQfC0nyM1utI0fpqGXXi3ehLsMcxT2KNDHtAeTxNtXDmmTPWYG2IWn1N+u9Ut/hxNJlJ11Bdo2
e0jDFDq5oC78XWmR/CRyKO8TvkBZi1GITvazBeVRHKaAqDMCMXArQ89D4Bxk6MCUZm4QzGz0iyMU
g0QUIP7XP9O5A+aEnIKBIE/V8Fa29gCcaoUJXWiFv754cPL5l4znRJyFMK74HNrDZmhxZ5tlgGRd
Fb9FLthf5VJUt7FK8gfooXX7HCBXdJ9kt68BhcxIBX2ZxOT91RAHBnNQAwmvNwx6Qj1lBt9+VG7b
rVQYILzKgbX284h/oE1z2wemqdfDGhro7qUnXVAKnP7r9jhjbBe8pCqVRAtwDoe1A2qWpHq+gVD7
4rl3J/BSMrQ5XZsVes8RJCI2qJyLwvO6duFLTVCQ1Fgooi1gEIOu+LJja1X77fwvafHTl0JJAOLf
EIcISiBjfhJIBmTNz+bp81sg3exYVmlvD3O0fdMN5HeNuMRdfe57Oo/NLgJtXoHJ4UMx5t/nd7aW
P/027QTmsU+XQViDwNy1GgzEyQpyh4mABt9v/VPQfmLwhtpGxUFpD1HQijdiAc96dIJh+63upHZT
PncKKjv2kEBbEQJcvIMCSO8FvcK1fvoYT/Zej+gRaY3VKWapdkmpKXR8a78MzAXSESCst7JJNgxJ
FvGjBNj6XWLMpVH1M+fFJTHrYwHgNxHboSv75rrZoIKaRuO29zK7C6YjEoylHdPzYYjYj4AN4Iqs
2CVdiXNbd75pUWM0o9frelDtLPdmafLbaDDFhYvi5DAv3BMuUxkymjDoynGFJnvNIVPfhM1VWp20
6gBj/R7zYMAQE8TIbTqOvn+Rc6vmIlzUDDmaw1oi2OhhejPT7UJx4py1nFu1jmIge00xHSajp/sc
GLmbuAYnuN+Hdm7VEL2OJK/0eAgGBj2sivNb1q6XOEHP7d25RlBZ3CrcsOZQd9FdM2KkTvlUvBPu
4uVMmAaj7VH1N3X+i1Z/qjm4JCF3ZtMuWg7ETHzO8TI7dLG9gXYidIcW+sfL3C4pGQHoZcTOzYFG
b3i9ql2tIb34+tqngP7CwadOIN66QcbBxMwhVZghjNU2XkdBE95hTj9/6OYcmu/FPF/4sXNGcny4
gTpiUZ4GPkMLhksobszvV2OkD8YKX/f0q0/icpOOarVjOBxyNdn7IW/n3Ti37YfXDXVu7463bmB+
r3rbQjmxnH8vOT1gLPZCin9uacdZMUvBTM8jfZir5XNM1m9VCgExv207rjrWczpDFAbn0pge7FuJ
ujqFHb9A4Mrl9JjHzAmZh0MKrXqoG1KojEJR22fryT+YOVlOw6qwdcQyTHvZRV01RHlBnJPEhcyF
piZrMS7DgUiQGm90mnfxOr7327qTPvEQirrplquDqscbQtsGrHOq9rpmMSP0/JxzPPUTMycaau6c
3BmZtrdbY/x8NHFhZiHmzfMkqPQB4q8fU8wRt+v6/XWrnKnMJKnjoasqInxKrQ9hYJI7jGTe6WXG
1dHv87B/R1h8PaT8a1Is5UMzFvJN1A1st2F258Kt+PItn7hItK1cUfJZVn0QrNlA5lA20a3RIvjZ
ASr4tluCgu2WJly+V7qUnkfBce4NLDAbILfq0EEA4G3fD+q6A3/T4+smfTl0JC5GbYLdaqAn1YHW
RQMF+fGLavzeAIkLU6PLhLZ2MyrwVX4GSJJD+a1b/HzbBaRBRCDQaRf1B81Bm8/Gd3l7qe5zxiQu
EG1b143UrIZJFvHxhuF/vEztgtAGxcUmmwXrgtCfWSjhRZhP97SH49MqNCQFYb2C6BsGwQE6765D
Fl2iJDpnEufehcZ9/jc5P0w8BzqsAHVxSVq/cPQP/kyuzdQQ1h+Wfd1R6ARC2szTKs6da/NyRH4S
9oehpB0Iw4f5bdDbT37f03HMNtCmFFUMOtaK3VuwQLTrfKEEfc7ezqUbQDBV5tx2B5mIb21UQ550
qT74bdvJjuvkNMlotv4QieBxhkKajJGDe63twtP63EJ5xawNaI8TKAO2ShZv1UIqv1Do4tPSdQKe
J0iag1gnDa0yue1XCjFdv807d24p+g1TYml3gErTd1LlkE4bjZ/vu/C0QAYl6FRCUNRWhl3bkJir
mlXv/DbueGcPdE9YkpPVQSSAJ8rnoQwvFEJOS/yb3aPj8jxVABlIJVm8NYdyFcl/vSAQY7boE5gc
UDuP3aMY4uxeFIEB5VFSAfpU3qp02lveX9j9i26EpZ3dK9vU+iRRfaR8o5CtDEMKOF1FPJd3ogsH
IX6zgdjjWK2QzLZj+nFaIabgZxYnuqD4UZcFNCeOqo6h0NaApIWtXpkxDOPEF1USCwhvsR6tAQN2
sEF/rsM885Xf1p0IUyp0hy14mY4Nl9GvlYPbRzez+Oy1utu3Skm8RdpQe2zK4TcL9DHdLgEXXjzt
aLed0r4nD8Ag6thM1Twey81U7/JhgSQrOIc/DXwxj367d4JMCvIasEfo8ciTWr4nukj2ZdtGX/xW
d7KAYe2DdkMR4YhgVt0NrRIHlFrEhVvptMo/wQDmcTy1LGaIZlNtjrzsou9JmDZXcpHqdivy6RZq
JfUlqvaTMV76IcdvkwVt13Hoh6MeaQLeyYF/522vPq9iKz6MkVbFrgcvy4Wk/rTqS7/muDH4wFSh
NyOyQMc3eDnvSeWJNAwdJw5lktiSrvpIp63agZds3et4DvxCROh4sawXIYuWiazu9duefQSLkU+d
C1/a8eCkB4FWoSORWTlNqJWutzZa/Ea9A5cIouoE6E3KDtsOwa2z1bzdNVs++AVlV6sn6vImVmEI
9pK43PfG7FFR9otrrh4P9NlWAgYrAjKeHuqT5N1CrU/uwQNXkqea8mLtMfKQJe266xnbpYX0NIjj
tUQEfIFaFpaeuo+0xwj23E7XXvHG7WRQibnVvqQkK0kc7suSk93Y9pfCwBnHdOEPTRBWyVDHJKv6
tN3JGhzhJxpFv607rhlPaRJxM5GMqWDZVb2+zSPpQzyLGRC3TTrPaVX0W0SyniyfCK1OuKYLE0Hn
jOK4ZlDIfN4AVcu06K9pFN/LtvvqZRK3Q5pMhiWdwK5NV9+w8bOhjd/xdptSM5vSeBYbySht3852
uFHoh/tt+nSHPLmzZxEPmwUCKANr4vt5gPgnHz1zMLcfxehUT7PBttcCxTIo9TYq+eO3bccriyAc
tz4dCab3RLFv4+lrbJhf9HZ7UXGqN9BfYe0eJJQ7u6zvomD65Ldv57JsUBtpFoPjB06NDxMAcLti
5qPnt3R8EtiTok7oigOoobEBkkIICXueQOeuTPJhqAOZptk6b+jobnhrTNFsb/ys4jhl3YZaT9WC
g9Kvd0lMrjDU4rfxf1pO9RBWJKJ5NqIJPWBUHWP9fjhdt+WEGywwcYpdlzPUx9lHsqoLmeKZIOU2
nJZ6KaYhn0m2SchEn25hFBu8OmU8cDtO7WwQtg1Ps0hvn9gQWTA0TMrT3I5f6iJaUhRf9NEGE0Tx
pvATI8klZoPTIi9kmm6DKR2LriyYHY4AEn6uwOp5s3H7IY1icu11Dl12BjOMJlVrix9Q1bqrghgK
1wnyK7/VHfeMFUNmAqlVyF1CcFl20JgDyttzccdB42phdq64OkoBNeuuGJrd1lySCz13Hl3/FCcG
jNBi5/HUXJfpIO4jQS9Brl5+FzG3z9TQIFxsCxYVJtfpW5w2wb63aroL6jreNScO+guH8+Xzw9yW
k+o52ll4/hx5WM/IiDDKcT2SMH0EazF87PWvfO5HnAs1nxu70XlTR2NE/Q5UofyNqOSPrrLxhYz0
xS4KZ27/qVUAYNkkxqx9FJndFoA4FMKxkcwkVJA+6KEhVzqNxc3a0Ytt6pdPAHO7UpXYoHQ/kNOd
GD6eWNFPnLc/X7fYubVP//4kBalA+rqIXHfHIAiDu0kn9c0INWKv25y5PScu0SO1Nsero1jTN9Fg
77Xc/ObsgCp9vnWF4hKe2sWJyqssDwpsjR8sk9YHi4QP7fh0ABk8kCDbGcUO+RjNy9dlir26Bljb
cekC5FJtGEgDzo/6HZSE3s2J8mobcCCen1tl6UZJu3Ywx5gCu6ZqdUOl9QEZYG2nxjQOwRJp2Zoj
LaAiRoN3rGk8l3Y8d5pQx5iDxhxBbl1AqFPrK1BAXNI/ORMXXJaD3oAEtSRiPnZi7gpwLeP9UdF5
3Il5xOSYlyuJ048/caVeoa86nCZZlCAKCtPRG2amD35rO27KGAnGYNPbkTL+QHL+dQKRtN/S4fNt
E9wo8TK2IlsNSXZmYm8TE9Irv8UdH421LhM2VyXGbDe5i7r6Azj+PI+M46Ej+GvmeckXjJ9P72qb
f+Pgpvb8lo6HggCZF3IlaTYAfbRjgXkfC89aDGhJn1t8rCwkW0F+npUVDsqGNt8VaPQv6WacjsS/
iRpzG01IFqQZh2482kS8pWJ7m0uvhjuHiO3zjXfFHKxdSPoj7xFbog1aW6h0Xri7z+37lKE8cR89
5wSM9elwLOP0axGFxb5HHc/rkQNG1eeLh1GMFC2xHSgW9LsKtVLgay645pkMym0z9fiaNZO4QSEL
9Ft1rIDMaPIV7bfkruee9VLmUhvE6Ron+UbwKxydDzkmN3yKFr9rmjte2rFkASldLo9JN493KYNG
att2FzKmc9/VcVPZzAbECQozeDwJbysiINYG5QivAjjjjqO2JizlMpfyGJQc9KcYdt3/rRN6hS+X
2qDte1F2/VhhQjd9JEWAQQjqN0POXG4DFZ9ENtByPq62urVx/tMS7YUw4cxlNwA/XzPYWVRH4Hrf
V7H8E29+o4NY2/HToGZoivG5Opp84oe0GruvmMYift/T1UhK26olkNCojomEeFy7/Bo7PwQmdn46
oU8iDDdVTcKqr469VpCNmugIkbIq8jvniXOPmlCBRjCk5bER9IuIo88TdPf8YqPLbTBBdAT007o4
1hv4pZaiuot0Xngu7jgoNaBfns2JEhfAgb1YMRyT9OlnPw9y/BPtfXDKx9g5rdZ+L2LgUuWaeMEe
ODi+n3/RBtMlZhZznqXTDMW8VKTXa7351VOYK37EW9JvpDWou8n0WyCmB83ad15mcbkMSGFs08se
daAqudXh8Mgb5pmHurQF85xsszKVyIiM6bVcx+KqHzrpd1pi5yaNoqqt2dZzlMfSL6jBXak5+eRn
FMc/1WRKnQcFz+p26XdNsZFdVfta3HFPYAbSqF9JnvUdMXdpym7J1vi1YVnsXKAq6sDeYOoki/gq
vq1yS/6sCarMftlo7HhoryhTSymjbFNa3AxTxK6nOv3jZ3XXQ0sjyTKuYYae7Ce+qTdWzX4ZuktK
EFiwfiZLEmTFkKpdv4dokGeC7nISTIZKAhaIBUIPUXc9M8gdTWV742USd67f2jqnvSiWLFrEGxKd
LqLQqwWGiuPziKUxYRnNBVuyGKopx8GGVN80xcj9aD+Yi0jatBA9uDHGrLI14MsoTe6b0fgFcxeT
BBpF2lgoG2XAgHW7MLS/081rzoMzd7Bf1/kI8qFgzEgfXK9lQXe8hoqL3wd1/FPLOZxpyMZsacc7
O5EPU34p/T+T3rpwpBgwGLWilpwpEZY7ZsNiB4jSo9++Hd8sQxGtQ9qMWdF1N0mb/peWxK/5yFws
UmXmcQVhqMkSGbV7IBNvwOPsBaQHz7dTKUpZONm64CYbw+hTPdXv+Nz6BZXQeYTWywDt9D43WSyj
tNgxMbH7bYxjvwTUnZyX1YRxz16cli9/tRTF1mRJPS9PF4VkQf+yzBVErnRYrvtYNHyvrRdO88St
/jy0MDHXEgXFPluDNNiLqYz3wQC4s9dRPOkSPk2eo9hY+L/sMyjD7bapuWIR9cucXaSRFOU4xKzq
gZUIrtT0PcDr1m/TzsU5pW0bjyNWNsla3LTFqq4K7kUMAHs7zgkVmkiPcu2yNc3bt229BHI/1U3Z
Xntt3sUaTelUTrMNugzqv7m+kkFktlvwPVs/4A5zB2J1U8wppXbMOts8xHYKr8p08bSOiz/YKBmX
JmAqozaP91bW70mR/nrdMqdc84USF3NyULLIbcDTGWvHoXjIxzD8eUrB+l249J4XqYvFssLQLdRh
B5Xq8s08mawT1As1zFwsFno5Zo6TuMuaUJoKvCU5VG1A299/fN08Z64kF5AVrEXYkFi32azQrN2H
w9r9YZSHH/yWd6zPLAZvRL70WdzM/Wei8mQ3kzbwS5BcWFbYapOWrGiztDWPdax/TZH+4rdxJ4RZ
3XC1KQis6e1bZ+jPKOJ+d5JLXAE5s5w0NVYeF7aPrd11G/WLuy4cC33EKRqWaspmOuhdF9G9LAbP
h8Vf5pAnFRGZ8GIJunzM8inufqJgZD/hleSXvLiQLFFgiD+gOOaVAD95EW4fExt7gTSYC8pKRlFU
4C7qMrXp9Lo1zXqHpsUlpsEzDuSCkBQmdOsqWoaMDYmqdvm89PZY9Sa+pERx7geck4jpXAwBDnbI
REFitVMw0/VGovCX10H/O4L45LNuIWDUS7GozCbFsZlVd7W20g8PByj880Sgn8pNcGlNJjEnGazk
WOXSC9fI/pINPtm3aON2krZF7jXLx3QebuN48AsrLhQpxkwquos1wrgkfI+H42ObkB9e5naxSKUc
Z91hajSbIwJsiQ3vV6M92zkuHMlOhS1JWOis1uH6XuSB3W9SXSILOSXNL9ykLh6Jx3YEHT9R2dhB
xPMKk8ziW19B0nbXjnzax8PU7GWbNJ4physfYw20Wivd6oysLNqDaWKT1wLA2OHq9U9xRk6DuTCl
Qc6CRrkZMlXziX+3TNP5IMa8+w+9azF9ahM9ixrEuQXvbiGABcUHSA9Q9XmhJ56LiPdhu68YdE4f
UOWWEPUNB4jHjqqWyC5YaPdjKsFtKuqZPOYag6fZNNDH1Qzpcr/kG2/fVGQMp9u5K7cdePDWYKdJ
yHu/68BFSU0B7ze1BioruboFpvu/Yb30uj/D6clo8NyzRS5mzGIpnXV6ssnDmvZUfI1BBSX3oh+H
k5DQZj71/VYv92rqdHMz5AYyUktvQq+cl7oE9KaoQf0EXHZW58MNipY/wCPrdUdTV6Ck6EsxQ4Bb
Z7Y2VyLtb1i5XHgznslHqRMSpeiWHIxBOuPVMKXXo5hWejXaSmo8Z4i4RFdx5tZwCQco9GKVqUOd
CRtdpazjV3UCfa/XPeflxakLBNMkaCdRBzrbqJo+sIbrazDGGb/v6qK/wKAMOTKQB2WTLPVj17bh
TUWm2iuxo65OD3jgbAM9JJOFG3SHKXadgLt672cYp2K3CAzhjRPOjUYTdhfm4qHhxO9MusguO5PN
BuMGozc5xmvA3bgDjbSfiBl1GQdoEk9gllw1Kjyx2QVFfM9Jf8HkLx956iK7pnxs53zOdZbbJt5T
lKXuecUhS9Wu+YUT+TeZ+/dyoi7AK2iaiEI4CpdFm7bfoVD9Z27z7g4hHqy/tli/QnMxf0MIWOpW
zNLuTN1Od1NKzQ3TU/m+DecS7KMKnU+QRZj7Mg/EQwlK7WHH8H9dMMQZv3H1OLpUhQyUpDoryvrP
0DTzvsrX9dbv7DmBJeFjW9OQ19kcVu9tqMureAa83G9xp37R8pTIhcMn+dr8LovtXmk/qQ/qgtDC
cG5tuTVDFsXp9ZTUb8DE/str1y4GjRMIqsam1xk4zfRbHLz0bjLteOHMnfua/PkVmFjWo7aISG7k
cqD8XR4Tr0c/dSFo9Zr0eT+lOks1e+RTmRwJl5vXi5+60DMMe67A8RaooIUr3iub6Pag13/0s/jJ
Vk+y8nwqQaFco4iWdn29F6UAGZ6AE72++smyLzi5q5VTgndmIEUxZHRCIZe08XyQG+0eTBw3D20U
9p+RWU0XpgbORC0XeQVG33ro4wEPo4bk+35q691GeuB4ARX2uy5c+JXmgnEw96gsYuQB79LbYbBe
zyPqwq/Csu1USpEcVXyOP9eoObxfEzX6xRp3zD+K+xLUXfjMEOsk+75C5Xvu/WqZ1MVfNUNdrQuB
11Yz6W+aBZqnvBA/Xj9CZ5zWRWChTBpVZd72eK7zX1GxyN2q2sovc3GBV0tf5Bv4ZXCJDmS9ghpA
tdNz7PcewhPjuW9hqofooJ76jJLqjcVkO8Y+8Vz3s4tze1hQL02LQUOgt+V/Csm0aWa/aObCrsBk
DYLYdW6yRJPxwfTpHu31we+cu6irQuXrgvm9PhNhdAWd3y9113h1MKkLurJlj66RwNIJ4GJXVVP8
BFeVX0eNuqgrvYw6n2qFxwuFPuGaFN+MDTzzcxd2FUIMmywVQlc/mvouiMg7kfeLV58EieHzY2iG
JU9b8O5k88T76w34q6uqEp6f07k/CsmUiutTHZCMP3hZvOk0v/DwOuP5LuaqjeXcgPJIZWkJ2pBl
KsJdIBR/8PIfF3VVkQXqVSsaMKzGHVEV5L4DQ7Pf2o5vbrpeQlksYFoGsVsUxRiwD/MLV+o5qziJ
XdQLYUSCe4LO3c+mNPfVBp0Mr327iCtTgt5UpigtynDbQYhjPxSe+agLtyqr2SYkRhifDP8cBztr
8v/8Nu1kdTUQkOABnHFMkiDd6T20FlJPezivw1wtRaeqqsmEwJpqzJv9El14HZ7JVlyolRiDOii6
BGekSJGpcKgS/BkmqXfLaJdHP9M4zpmuHIJAA28ARBubayLkcY0X7Xd3uiIxqKOnS5pGTdahYkai
/H7Kly9++3YuzqG03RZQ3G1c1A/hFt3kXP96felzZndccxgLDDtCYz5TeG3ej1Gn9xJlnfuIW8/N
Ow4qezqtesmRsCwmuAbwMDpIpfxoWqiLuuq3gbaoE/fZIKabqB1KIEeayi/iurgrthGGOlqhsq6I
b+vkqiv95m6pC7qaBgL9lLoqM8CA6K7pzMexrvyirYu6mroknjExozKit2knND8aRvyuNxdxVY2z
jNiAiIgazn8gJjpUw+CXrbh4K1MHHOIZjcpEM32eNvEhHqofrx/yM3eEC7cKZxGO/dCfWkQjeLBT
hUp3fMEi4uUnnSukEqp6qVvVqkwzqvZJWIYfOKPyViRjeiXifIFCNSV7XehLbYy/mIgXXpH/oLBm
21aGiz5r9Lj9t5kFs71lm8vrKeXVm7Zi+PWZDTtFRtvshjatP6SWIn3tufoiB7F+SLpx2qOaMB1r
lre3NQjaHmkLdZSi4h9COTT7vlZ2b9IUJPmYZ9/VtZquBqPEbaUGeTssi7iRW/6tNy25pdtKC78r
xsX1zDSP2TZubRYnyfsmTX+ynHkNOQJX/zzvE/FURIR2kJ2gY7vDDNK0G7rBM1dwEWapqoqhSnDG
RoPHJLXc7uTgx5VDXYTZnAI+TSHrnCVFAS1BU+23uPaSROCosD23SyP/5+xKluS2leAXMYIEsfFK
ds+mYWtkSbb8LgzJtriB4E6A/PqX45MET6sjcJ9AY0BUoZasTF2SQrT6su/RWeykSYtE+OHtQxdh
1vebSEht1SXqIFUXMPmSxPU/XmbtAsxEExnMT7LuUkbjF86Sh50MXgSJOBSnaS3HqWulhNGIpvyr
DLpvxEi/QMFFgO2Y90yKFUcCwr7lrhVni9KDX27jMk3VUOgqtlmUYJoi/SMJe/Ucbcl8wziv+DoX
BMZFsBkFystLQyJ1v5tdPRwACwyHqLJW0OAUUM1SszE/4r7QRYUFvQYHN/odl2kjW3VeVwzKsS6C
L/K6QS7uaa1EN4SD1nAJ5D4WmJEJht4PFhq6yKd9F3wpOqSCW11/DqiZT2N1eJFai9CFPYFxWhNI
ozYXGk5xujVhldbMb7oH4hY/e4TjQKshJFV7GVFyTouWKOjzig9+Z+4E4ZzG06I6VCX6YPxSWwrN
kUV7ViVcJiqonkK5pEJtuGq2Amn980GHW0omr/7wjWfXxT3NAGsQUpUa4Lhip6dwXusM0wRjNk6c
PNJund/1pfYMh1woVC3adaeYkwEsv/5YdY+Uh34BuYuDatHuBnxz6S670W0aa27ScL9Fnv+aCr5x
SC4OCrrkeu8EAaJtT+6qJDmxRt6HifoTPMo3vNC/yMe3fuPVPf1Qo9c1q+PloPgHFhnas+H135rp
+iVQGLwMtir6dJiSvysjudC03cL2OQbLw5p2azy+UND19ukQmXrPoqKyf21zpG7hhq9uzXlLQZ0Q
rSFQZpc6OmYocw14TVVZDM+1BudI1sVdH95NlNQPA/KU+0pM8TMVAfmi9zp+EmO7PwRGVXkvBD8B
+DX6FeojJ3NPSFl32xh0l0Ps7KQg8VO3s2fp1UWoLuHBaUPxDq9xktwxQ1QGMnTPlvR/8GnbwoOl
n3vwqG0V5piMPhWgbfM8GOedHyfC41UPKDtEmPJejnJN7eyZd7jQNIoy1wJkPVLf0IiUQz0e/Kqx
39vlQtN0Ua3QOwq7S3yYrFfh94IExw0Tu5Iwudi0KGlQFOhQFVCzwFXRtEnB2nYjY7pScnDRaeE2
TAHvNXovZVNlR0VspvdYvrOq84S/uCA1pUG9R3veXrpFytO0dE/bXt+6Mtf279g4uLhqjnZAh8k9
aR4lmEOzdoxiGPMo/FIVF6lW1zFC8L7pLiNn82dl6pc4WLRfou3C0lpQNnUhiIov6EZGgL4lv0NT
7JZzvnJzXEiaQSfcam2w89fJCdE/Kxm8eAUOLhqssnSbZNEFOargPG3CpkiFnL/9evE3H3dohDgh
DzmgCTFHur2oxWqalUMb3vEobn7vR5CErILvz3aN1fnXv/bmKfHE7YQV3SwqAkmiS7GvXTaG06dZ
CZ9jwtpORW/vq0Y2mOq7rHvVZ3j4IBPKFi/PgNWdJBqIAc33xsCyaBh/NBA7+QN6yerGvX/zK4Bu
i/z8sqsONSA9wbT2oz8XanonZ/3Qx/JcY1aO8MovBHUhbPswJSwsYAFtWXxJyuQ50YsfYjh0cWtd
kRBzxPJ17e0fGlYPZcI+/frWvBlbQSXHGQDfNrSsGZCIKOyNKO1X8aAfQ0CA7nW7Jn+UVLYff/1D
rwv+J8DCD7kBFrijRWgTdUlKJqdU8X5Ey3PX98sRmke9jxbYfNtPUNQNW2CA5u3WIMq/T+MbP+22
QxOmdYXnvkMVfdhya/bwN7FQEBhtpb5blmBNAf9IslrX4IFlZZAR3dSfuBb1c3cEXi1CHIDr4kN4
F8PxEXVEvtSq/V87eNFEYmknErN6BVdmizYBFd1d22GWV0/066+/2xW34iLskp2MPeSC1eUI9g9N
vMTpYHo/dUt0Mn62zTE6bF3VNfyK6N8VJWtOsubLnd/OnTAMJet+Q98OIeTahVm7Ll/R/vWq5eDI
Ha8iwZI3dZNsLnVFgJjk25LG9XAjmrl25o67XaOmavuybNHw3f8y0bRkh2l9d+54W6C3SRAt8IfN
Qu62Jfi21JsXuzdePMebsKqCxDOEVS9JKCkYvPovc8l8WhBY23Eg29abQY17eyltGN9BgoJlYHOt
770ui6vPE0ByORYNfMQ+T8FHKBY89dF23PB9V76nC10bbLTvHcUDBzGn6qFPpHpEif9Wt/rN2BEH
4xiRSvpqRArQXKqQ1mfGwbAccVae97b3qhXjJxxTioUoj02s7SUewXFp1W+YL/HzLy78c2B6naXd
avQ6hk92ar/ta//g900dM1JNZ8hopvYyW1Gdt7lfM0zxlH7xlguHN7ruA44q68XYlac1TZ5UiFkI
r627OLtd0wTqIkh/Ce3fIWKqcNeZnxhy4iLsQlRzyWCQ5UHLGpWysEnDFW+/386dZy4s934bLQop
ACGwZ0lUkoZ9cAsGdyVccTF2Y9SOyIhYCybnKA029sdSzKdw6j43SWM8/wMnbN8rqlD0p+3lwFTs
VIMyv63/9Dscx1QxUEOWcUhgR43+DN5inW0qvDW6c8XLuEA7xoCFT8oFYfTYDClwyTYtisWrrA3Z
QMf9RooGdl6BpO4iCk3z+PNOqN+puLCvjfaEzBLukR/bl3m864zwcy4u5stEKDh3ICK8NHZ8VKb5
1Cpza670SkDrQr4mK+dlI1MD7vlu6t6NgxCfy1hXp15rEJOGTQUuKB7PLBW6It/suhY3MporH9ql
4ZJxYMnc2A5M6RRQ4hlEzwdfv3tdURcRNtIYtGRJjCvKibhHvYPeL/22+tmWiwjrxkRBo8a2lyAg
D9tU6HRLfCMb7vh7vgATQtcQYVO7xZ9a0tMTmbftRoRw5ZnlTtzEy4kxxiskYaNNHni1ly8J0Nbf
ZwWnlHkdvgsOk3S24dpv+A8mNad6Vajwaet39i48TM+MTnRCPDyw6p+ukBcD4kXPjTtefzNoVNfT
3KLfi/amHe6blnuRg0NS1Mlutl4efKrX7jKVwXAmnNxFgnq+4i5EzGzHQOoOMcIkgykNSPky6sMv
/mD/8fabMqaEKRk2gdUGZAjN13EF1MHvsjhBWU/3eqINUneCSc1s5mvSpw0Rpe99IT8nZ4zv0dzR
obvUnH4Ma6OQtCdeDM74qI6tCryy9VijNlYOUZtREuiUleOtpvIVW2WOrTZKruP6GvkR8GY8Vsdy
PARtRzLWksAvu3RBYvFCWLOrRV1CWo3pAqmhMLolhXFl+y5GrCQA+aIT2KLGPymdzqydzmNr9Ye6
GrYb2NxXy3yjKOKixaqwUIDhTyj1h8dwlkdrslVHK4I1XCAjxJe1HL00SSDc61gw202zNjHA7kkZ
ivd7JbtHWVPP5MTFj01gpVWqQyq+qeG+b77yyZ69LMyFj21HG1TcsAYkTGw9bzRi98FYfPZb3DHf
eDIMaipI24pF9BknpTzZyPpM6+PEHdvFKIEZOwvfUBDSZaFY9CmI1y9+O3dsV3e7SmRxNBdL+V/d
sBuwdiVeumbYuWO64bgsbccXFFYwSP6gaLE8UaX9CisuoGoCPJrqxqjLMBcm3ZbkWxXPft/TxVMB
6CQNEWFzWeWSPFpoHEAXvLJ+7sYFVDVqEmJigBkTZn8biWnOUK7yaodC2NqxTzGFxyRDpCUgXyqf
Kj51L3OVzJ5bf/VyP7TWdyhWDXOIxpmZ+78lse96eUse4XWDbzgxF9m3mp6HTdzgmo/kWNBqTdAJ
PyIoswm0cR50H/EbMfe/UdJbP+WYa33YIww4EFa7UirldVmkrQjlwzYv6yObQHK+lPafeEjmLqMq
oGkXijnFtPb80EEe6HkShN9BSorcF1Mjs4iF1UvMV3ra13D9kIAkCbQURfQAGn9+1y9hc1esyIsy
NoOK/ET2w5zLoojvTDKos062IkzrcaEPYjUYf17Aon2mx/65CnR3NzW2p3eR7QeboX1ejOlqDVgB
SzWQT21NOpnZJei2ExCeQU6KA5x+EFQ4h+Hr7FQNsr/7bmkG4OSrQ8hUVkw91nyINLSTRl58oWvU
fYTuDhocEeqfv0sy7y+YhiWPQiLQCUMxvIDyVd94qq7kOy64rTp4v3ctnlqQN1wIOU560jdCtNc7
+NZXdVyZAc8LD6IJ7Y+tnu84hvYgNafEmQVb+ejlLV2AG4nnybY17iiRByY+xvCPflhu4YeuHM1/
wGyCNgJfCnG3EEl22Lg/t6YbfIbUeOJC2boRhBYjUs1LBzbc9HNIIePudSgujm2TBzhTdhQU53aP
H7p+h5QYbqdfNuIC2ap9kD00UFHB2WadSRBAno2c+7Pf3h1/Vk5bM8TDAJgc6XUWr+z9jAlzz4Nx
cgYWCNGgyIrQLygfeKKrDPUWz4jeRbJFkBbfxq7HNPw+38XN9gwAjxfIGnfFiTjCDZh1BgDxZS93
CHsGYfk52Ur66ddnHr262TcM1YWuAV3N0JpEd7umpXgXIy7+B23o+GSBxUuPvQh/b7t5z5Yh7O9j
OMM7bcK4ysZo54+NNrbGX+KvvC6YdPtWTAUNRiO7GvD3vnmmBfk2T+0t/fcrj5qLpeNREW8U08OX
LghKnRG5E3CjouN0GpfX1ikZIYDmd91caJ2MO8ORXjQXWRXPPatepA0jz7WdimESK0NeRREupjxa
BFsd0tNeMz8rdLkXNeo8IRKwBnM0s00xsEeBKbJ+vSYX2lYNdmWlEDWIfOIQdPElXr6O+sVDLrSt
roxZlIB36pM+ygot8IpacyvXumYpLrZNQC8qUdOIEjnd5491Y9n9DijRGUjkWaYTinnPO7SZ8s52
kCDolHrRcppTzCIXUzYwtb63k4lvPH5X3td/N/lD7GdoJ8tjfc3NEvm/uQI9aTnoACVSO994o65Y
i4uH29DkCZKK1SCc6PYsxAwuQAylxkiOZFubVf3gBY7jiQuOK21U2IMlKPjy43nDv5bWKr7xX1x5
xx1w3K995JU1XAycGHo+QdoStswNSlmmQeTWrn7FJhf9xlY0iZMV2HAIBvFzMrL9LNrg8693/jZx
Fk9cjrbm4MYCktlcojkyGeJP8GRU2wYaIujkADGu5ocpGVWTHoLuKXQapzxowVz665+/dnCvV+uH
S0ogfdCtQw1XwsjXpmzv4bhupA3XlnZiBR3vcuEcSb6i6wexQ9wQ4n1eEsk4tdcf/WHfahwRq474
Jnq2IFdbls+2v1lM//cJeOPF/Q80zmz7XgQIc/o9VBBlHAv+cbaYBksbeegjNZr1fynRzkVWGJST
T3XcFEPWHuHyEA0HvWdLEfxebi3sZFLFiRQxedoBYwLuf5EphPLGb1NBQq+Kh3T5lEIWGQFCj/oC
Nrw7ufQK/Bjli88FkS7YQxwQDhr2owSLUCzShO4yDQ6vYop0ZfJi4BiOKuYVjnnN1N5/pmvgubRT
ShkAfl1UHVUXkCAdp2UZm2dUnLyoA7h0sR5yNmMgFPLHKtHxy2LZ8k21ovX0N044achApmDdmwvf
1k+y0WDhtYp6hW+Ji9XryphViHyBOaiz2mKqkTFyq/R8zeKdQxd7Qk2D7PmyGrKfLSEbSCDLG47y
7cWli9aT0TS0I8VUL+u6v3f0/AqMM3qFa9IF6CHqtKsEWeGFBkOUclm+X8Lwg58BvRahf/BUq6EA
evUIafemeyzwSKFR4WucjvdmJJmOxqr6UoihzJIlysRojNdNkS76TUD2wJZrUl+2cv46k2ZL4zLe
zl6n4iKaAA9mMz4nwMeMfyxl99In429+SzsH3raaaE4tllZ6yJK4l6c5ln5+xYUzSczyo1zNgzxp
uiGz3f1g58XvwF3MdDww0oAxNMg3TJpnUVDUKR2G3e+Ou1CpSoStRYyEnaslemawok/Nui1ej710
UVLgeo0LttkKhc72XA2nZPbiUIKvdbxhe8R4LaupulA53o+9edip+eZ3U5wKGO3GuNyIqcBhv4sT
5cuOCXNpveJaDLf+bPh9Nx5dGGHj7YEcg0bIdaaaelGFcemipOgxoaCp8DnXyoTPhjZhJgkvvMJC
6cKkmgnT983WBPnU1cU9hGD30wrosNexu1RkpZBigWpNkbfl8BLo9d02cs9b7oKkqgPTiuDzgQ21
Gm+bwpRKMEx+l9wlIrPrQTiGi6tLwMkDi/ryYbBJ9eB3Kk5EK4cSL3091BexH+rchLXMmN5v8WFe
eT1dgFQSd1CVM1h9Nu/35OtSfPfbtWOdUNmtqylCOBGX9oHzNR/rW/O+VzIj6U5eDJvoIh4FCA/b
mX5gYMlOW5KUp7Fv5Tuz8e9lq3U+FtV2CdZ1y9Zt9OurSncsY8FLVwHlUl1szw9wIh7bubS6OXkd
mgvK37mO7D7z8sJwaHO1t2m7ln5ex8WqBRG+8kglmFDCesji4HiycVh6btx5WrkulSkDWl7kVJ8G
umbUT6ecY8rrZ2+ZrEagEBRh6YI3aaOPP+Nq9Gp9SheuFo7gzgxarN1O/Dmpx++9BuWD37d0zHY1
vGrBDV5eyFjWqQ5t82AQlXmlAoDM/XwqjekC29IJqy9mS6Eof9bFuntu3bHdtuWqJKsuL10zh2nV
BDxbF8iU+h2M87hCdBqalhYHc0zd7xAV+5wslRfzIS6L87SWfdIB/qcQ4gGp/kAL/bmiQvk54v8A
0SI9mS7ccFtIjBZj8GSAG/M6ExeG1iNAIkMo8axaNB+K8CCpkatf60e6upCs1COHbkZ5EcHOssHE
CCKrid2w/deyzX9rItKFokGRowV/RxLkTRAVKVqGUzpKZU8H6Is8T96pGIHEIDFtRIJ8gUwXoMcl
OOKNZ47nItJk0Cd8Uaq89BvT2RHXH+do/Ob3XR0zJWuE/rUiSV4hkNmb7UFGiZ+RuuqQbVwOTY/2
ey5A+Yf5qWR9WIShfpUjF4rW1XIzbbUneWAHlXVTJE5jsftl7C4STSw1HdHoRJddzueitu8moW+c
yuur8MZldBFoHWlBVDaYIAeqQN/RuTePTREvjxtf2BdUqpo7rw/rtt9BBN8V5TYlIBAoT4Hdd7Cx
eII7pQt122sj5IE0L4e22PrUQJbuAeNlfgm2i3GTZSK7YECQXexdeF5GkOhtOohvnP+/bfC3PoDz
XK+HKGu1wlRR4G1OGNvsn9q94Zlpt6/WTHA/IbE5uDvr1BTri6DTe6XD4rQnr9rsSflbZTi/t3u3
ZWjLAs/RHx/7mKlsHFl4v6rqD7Wq8iOrx4domd7PDWhkQgaUJxNb9RxFXQNkl/zd6yu7KDpj9xJ9
lKPIK/xDxI6QdubjJ7+1nfiAE0KkjAKZ7zUZT1VRvQBIc4v/+nWRt76C43eORunarjsyKdo9SwuO
LI3reeMbX1vcCQ96PUKtJIyTvBjE80LlKzrYzzO4jGuLDqqg402Sqyk2c6psGAzZQOfOb4ZIuki6
JDHNVJEoyUHxumRmTf6Hdr+fs3eBdHG0TtEqNpnTMiz5adlqU2eRDsSNCP71tXvjo7pgumiiaBYa
+OS2LaesADnLg2Frc46W8vBzDi6ijlSW1NPCk3ziYa5GDZyt7DyTBBdRt7P62DeFiQ8QxvAuxQA9
6FlsMpTUrzjh8pQ1yQC+i8Im+bHwEcRzSt/pQMsbbdsr197F1QlSrIqCyy8vV/vbFIRfdso8N+6Y
qzk2+MhjgEWR/dTpczhUnu+UE2wfByg746GHQVF6x9CwwKBDdKtBe6WtLl0YF8AMut2aBl90W5uT
rVd5N5NjzrrCDk+kr9oT3kj1Fa2ikKRq4sWjEUNwHkWi7huF93KDlvCNq/u2sAeXLuyr4JFY+RAX
uRjC+WmQrX5KDIptaX2E5bmTio7IZcrp98lMRZcBRh5vKTNAQ51IxOsn9OvqUxuLcU0xbLw/deWx
3L22YOs0rOr2PmrBAf9r33/Fkl00C5LkaK2mUeZ6ifW5IEv8fGjLP0EoSXz69U9cua0uiKWjYN3n
JpZ5XdK/SjJ8HUfupWfBpauTVzQdWC6nDk9X1dMs7CeWbpb7xfouhmW2B/AEcyvzsiefGYYyszUc
/vQ7FCc4wcj6AmpNKXKAO/i5Usc9xn/mk9fiLjDQghUrLleZ5CEN3iXzeh8x9Zvf0k55BSFbIKhA
tDke5LOeFqjSbJPffDpqwXhufuhDVR0s4VBzkscr/a0dzGMHY/Xb9+v9/2Hpjcdkov0Cl1nIl6Ij
X7eE+HljV9GTN2SO5whLz2R/agr5PWiE59KON7ZLxcAjBdOJmW4zJhawFYIWy+9IyM9HUtXj3G9K
yjzhpj0VK3DSdmxv+MArRu8CAmlcdLZHGT23EuissO0OEOwIv0voQrQSaD/GIVCkeXQU630BcjuM
vNKPvz6W18v2RmzjArToRqxFC1oi3+TbvemaMKWiOE7KHPAwTZTcyGtfLeat33G+LVgoMVZLV4lo
fkUpwUBqrwJLfjScOA/bhzDZgF6toDzx63/rygdxgVg2SMZjbweRj0P4v0Q373kU+VUAXeSVBH8P
qYJJ5BoNx5Tx9f3B2he/bTtlNJAdAFsKyZl8YvbjMJdfIZvrF+q4gCwuqoWXDcG7NPfFnyuv6s8Q
uvXSteTSRWRxQpPDtti43IvtBNK5P0Ym/LCb0gVkHc1GhqLA4u14yPQ5oQCT/fq85du30qUhMzGt
SAXd3HxsYvoubmjzVDfNdh9D8jNV8VjftdEa3OmwHG7Y29t2IFzinbZYKivNKPJaM9Qxxzqtu/K7
sHEu0Lk5EbV9+vW/dsUCXBI0VScSeegq8n1o2WUI5ihTgfBDqUGE82dvGr9yTVd8E/khBHDP4yuL
qg383gEX7HW04woIV8NRYVPqVK5qPs/bLf7Oa+fivANNX00TFwPPAaR4Vra911Pxt9+ROzE/q6ut
BeEuz2NZJ6ejSV76V/Vov8Ud19Cu83jQlTNUFuCtkSFWH4G/KW80ZK609oQL5mEg3SBL2+O6YAqu
T3XF5j+qhMWXxM5/9tG4n/v2WM4wljUd7ba8Q7DlxSjGhQv2WWU4W1CKsRyjSuVp0XF7R4miXm+z
cPmo1q0n5X4Ilkd7EePRD+n7I+zjWynF2w+ocEE5ilQTJGoFz5OpAsXIzpsTOKqRsRRTaD8caBX5
xYvCxfljSPYgTIYs5xGdf2N8tpllarjxQL9tF8KFLNZlFHZNQ3nOqkSeJ/Am2tAvGQYf+s/eAuCC
aN+OheWbnp7KIf67XG/NYlzbtmNzKqwxGYzx5zyc9/XMyB4/zswMJx+jE4lrdLjyK4D9r0du16yn
HT0xKAN7Le5iFrcg5mPbUZyKMW2Kyl7wGHfi8Fz99cn7IQUoJz1MW4TbIqIe0r6tje5RgP7Lb+tO
XlRvNYbkmwTOKIBuck9ydP38ZneEC+hak0OVbQVHN/M2TIdjvZu6ys+LChfRNY0Lhtb7g+XlHISn
QhWYAYCCtN91cRFdbLT9XnOLMzf1d7Fxkw0lJmX8ztyJoPsCIyaKd7iLSjdzFi5AifKCMr/pG+HC
uhSKs3COCue+7b+FqN+lC6V+8SFUE3++jbvepj5qNcvrMCgel2n4+xi2xc/Du7iu8mDoPAEunyfL
Pj8Wm+zvQP9xayrziodxcV2CtPVCMLmOXDr6X0ijZzvOf/76k76m4/9NisR/QF3zgjlWeZCcti35
oG2oH4epmB5K2zZ+bt2FdiFEMCPkoSn6ckMAxjGRQn6ee2VZYOz++atSTD1FrAtoHkeg/SlZf8ea
+BbV+LVzfz20HxxYPB2yC82IxWuzpKB+fOL68MqzhHj9zR/WDgjqLgGrXu96CNUCg3o7tH79SiQI
gH9eHfirIgIrNssrCdKiTmVApHpu3HlJV8ZwZXjPckju/DM1zZ8tYR9/fRmvnbdjokVVRvGksOu4
le8P29xv0S0t+mtLO8/ochSVHqqa5LHq2cmacUjHPvDDEQgXvKWKyoiGDiSHXtufUR2c5pB+9zoT
F7tFrGZsrCHQsyZQ5wCNqk77kh4nv9WdV3TbyAEEcE/zJdJ/JEzhlgPk5pUvCBe+NawYgN2Q3uZo
B9i0bcoyrSX1tHwXwMXkMoAxZKM5GLCHFPK73w7bffE7Fsc4j1GU05wYmved+E6m8Lsc2We/pR3L
nOpeJvXGo3yYoEiagqNS/a6p3LxqjOI/+IFw6rcyHEk+lz1LaR++a5PFzzxdsrKJSD4hLiJ4QcMT
122Yqaryw8wJl6ysX0wdFqWOc1aovylaLkp5WpBj+iWILiMKUfU8POgLyGPfJVHiGSm6uDCymaYo
RxPlCwUhhdgU6rqlLLz6IcKFhukxqZOdTlHeKpXRHayOjR+VgXBxYT0AB20cjViasn+SsvqtA0OG
1w13QWGaoNEHcD7JOQQBQIgR/DOsfpVP4dKTyWna6tjsJI+aJTx3vbzbksp3ccfqgy4pm7Et47zS
+nN8dGC6bJY//A7FMfshBtfOtmCOsp+tSu3EXwaUoTO/xZ0nee8tOB2kIrnouf4Wt2H1sYyqf/wW
dx7lY1Rib/qV5FOw24fYtB/6xfp1LYQLBysKSMiVWxTl+xjsd/E8Bidp/OZPhAsIo/Eejw1o3PNl
0J82MULmZ/HSXOPcDbAA793jouj7fKTBJ3DZYN40Cbzq5NxVLghETBrLD5VTu8lTIKYSGaL2myji
LoI+7PgalVGpc6m3PRPd+HRAk+HGk/92OgFplJ/jTrZU3OqgH3IgueYPCyXmJAo5vlMFina/vo9X
fsKNtV6FF9BSrPucHOuYHfPSZHzsq3Ntw8MrY+FuzDWU22Hk0uic8j4HZ/oD5Jy8nCMuzs8HVPXh
sRh053JLujoHN3BxbmzsR2jC3YiraRcLrfN5yDvMIrdDkUAN0Pzud+6v3+OHhEXWMSDEQd/lVdgd
j6Vh8nkYbHEC7futfOv1EP6bjHKXyNUAAxhurOjyKBjCj4Exqk7j1szv6kai3BA0/LxXhN//+h96
OyXgLsJvboZ5GjFPku96f8/rb9BW9yp8cZcnD6AsaEjaocung/2eBP2HuL1FIHFl0y74P5xKgtBU
9vksZnVepudjJH6EDtyN7wIFjm1wYfX51Pci7ZrtKYLS4Q2zvbZx5xlZ6nAbExN3+dJXAIAFW5uW
o5dkLq6943YwqyMjDSRozqLvu0SysdU88Nu4G+K10zbMxNRD3u7FlC4JaR/ndbslbcvfvvJuiLcQ
Ec91MKp8wQsonyhhVZMhaTJgWBGs/EexwQ8ix92Qb0Kcuu2DVpiBDe/Fsn0cNj/uRu6GfGaWpI17
o/O2a7+yYf8yBEAA/9pMr/h7N+TrDeojQx8rzNVXaswUh45uO5fojjYYivOKoLg7CNCtqi2iiKvc
zmbLpDpAcVncAkZfufquannEdlTBd6LyKKZJFvG1Ow9y4jfO54rTdIcBaB2wpFtmvOfJOL4zpoA8
qOhBaRclmM/OIiKG+71T0Q3fdu1zOHbM5j40x7jpvFyiHpwnhiBKRg8zUl6Ss5y7MSEtWaTQosYT
GbSpJKCuIaz0gyVxNybs52IG8TgWNz2lz1203o+8uQUTvXI2bvKtzZzYBVqneQsw5zmpxr+h91w/
tYSoGx/7ylVyEfxdIsBQNUddrojJ5gLkI9R2n35taNfWfnVRPzzwS2L2OuhmlW+8/KcKhs9zMN4I
qK7cUVccfAVD11HupstHZpbfOLKsP0Y0e0toXrMp7etRgzZY+pUSuEv2unVbMSmCCLdldXTP7Vif
koJWfq7CxalvUh/cHgtcRTP/U5P5IcKQuN9b40LUN26b4dgHlTek0idbxe95u+iz1/d1MepWKzTN
QBuZK0HkKeGDOLcAW95o31+5PS5Cfa3BR0SSVeXMNpcYOUuaTMtXv52/XqsfbuZa0ag6FBTQessf
+5lXaQlhB7/v6ULTa32Eoi+GNjcU+oiheeqW9YPfvl/9xI/73tcGoUnU5HqsMNEw9jaNZj85J+5i
0gOS0LUVpsnB6NVlYOYIsjI6/FLQOP555+IA+Hk9ojqfdPF7izzxUMuNpa/4gv+MTy1FPczoTubQ
JwiHFBPJxSMdpuXJhH30UgZBBDJ+1d7ob127ls5zlQCMoSEAWOe9XJMH0MaWmcRc3g17veLwXRB8
NZeKs/ao8xXqjv8z+zLdlSTanxbQzt5wnVf+ARfazorm/5ydSZPcqBaFfxERkgBJbJVZo1Qenu12
2xvCbbclJNCMpl//TvbKpis7I9h44QVJIbjA5bvn7KXaZvXSKonsPByST3qA5YjXDHXB5VnqFIWt
JVrn+9PSbdXdNsTTg1/jzrLdp3XrJxOXSOkub3tuH+V0+Gl9xS65HMbbLJmm5UvdLuKky5hmBBLq
fjHBNedu8HDeLslevqzC/tlUUBBOqg9+g3L5zr/EhMRqmN6AmnrRDf8kp/GNoa3Xq0XsyplKVvZz
qjSaXtNHq7vPkSbf/Xod/d5raMrDJKkcyhdlJ+C57MAVLvZLoscuutzTbehlR0iR6Om8mulpCfvP
fv12LoYRWQPk0NC0DKNP0RH3WU2giOjVuFtnAVehY4lrVb4QpOzutvpiMDTC8tqvdYeeIWSxnYoE
KXjQvlNse5E29TsJuHUWZYvHoXKLSJGqPnk7713ytrTSb9NztUIju5Zm7qvyxXZ0eZtWbL0bYNJ2
oxDuSjh0SfSdJGu4d7x86U14gU8UykSD8MY548rW5JLolcL6MRRdV1aRKhOEDW85yrhbqH1E84MN
jD6Hgty62V6+5CvpLlcMtJn2JQ3tSopmIIqfNtKpc1fG889Uz/E9km3t/d4P5HQwXvmFZBdKDwlU
K1WiSLEftvtJUjKfcaGQXo+P4Nl/jxIhTMhKmGLhDwr7b1NVvktQ4+C3GpyFXMmOG1QOYy+Jf0Jd
ozuriEc3NsEr38Hl0uHwhKNIS8qXNgWHbeK+vz/CuXnWuobHCxVwtQfV8yzBgPlt6v9i1eEo1c7z
RIp2wyxOayj2Nr3fm37ssuoVEwtmL3Jr4dbfoULvXT+WN85uV1afC6tLMdPaLLUo7LJ/Mmv95qh3
zyFxzsrVsirSirZ8YXJP4Km6w8qO+00eFxUP1h2VJS32XBbszzSJfxox+nlFxC4pHkWwso8Bnxe2
nZ70Lk0WheEtT7Vr4+1su5ahFJqXqyyaxjzpiX3Z8XzttaBczcepSui8lJQUjKsfYb/2D1E4+4GC
ceCsVqhJmmE8NlHMgflZhVxCZ5lKr42Ru5w405jbkRyxBfSgslK9fE0C6+cGy10QnIp+UOPaimKv
9y/QmXq/9KvX8Yy7dRdsnpXcAi4LdaBK8KDLt33k5Y3Q+0+679+bCXcZcz1wFpfYSAqwtu3LHiYz
zGxT+6as4afxrHCJeBhAzGTQ15YPScnJO4S49mmHMi2kYUe7/hmKuXwXhdAwy8Azs9O8zSLN+qWZ
fzBYCX1MOtp8r+ODlRlsBOP3tm6TMmthTlPiPk7tT7XK4E8asOUhJEOjMw6/0Ttdpvo0p4H9VqX9
cY8HBjABqzFvqyqE0/RWzyt0mXEQznoiZptVmDIvXcwOaObD7iMu0xY4tQ7WjFWVzsw6JrmF3vyX
LSUVqvPShd/DDbwpSkP0A0Et7VO8rj26tArhtWtyF7DvWQVZGEqhCN9MKjvq6SVFxtNnHXIXqd/5
FKOcS8iCQ8OpW+MusxGCyH83/vrrAneJ+h5Oi429dLwH8vJzxGXvCarEf6vElG/KqJsf//tnXg9T
3IXrp60f+cBiWYRD8CBT/WHFkf7Gn3CtbedMoWIN+nUZ00LCPCgjer/jbPDTjOIuXA+XrPhQ8pBF
bGmhJP+E8iSvgyp30Xq5ID+jxZQWOkxlRskHEob8xpi8nnZA6f7v56y0S2CuRqwoZAMCZqZ7+WAm
G57a6fDTN+eu/3NslsmaASYIczy1Wcz2lxry1zf6f+Wbunz9eoglbEicFkjKPIVHHZ66Jaz9tgeX
r48W2cOW9UiLmS/7+aJ8dxqabvC6OnGXry87NZMKcg3FMMkfqgu/Q+j5f/+9il6/ffB/yaUeM/j0
YJZFtTBzVmW03CUU8vp1CuUu0ZLj6YB2xo0fu/YJot+nkEZaZoNYgiy2vo6QhGvfcZN4pYK5S9rX
UcDGSiHq7LOYToPY7so18ZO3QbHR7x1fOJvSlk/ouAz0fR/0b8pJ+hXbcBe0TykMsuMGX3dpUwYS
Ka3veGzS839/4Ctj7rL23GyxSWaciqYplicSDnUmjqj3W1QuZj/1CVRfEy4K1uPZDxJAS3aw+pNf
1523obIO1UX9XhRxa6HCFPxQTPoFSldA1VYwOd8NRgXFzI/p8Nglg9dthbuIfV9CPJIcoSig8/Zi
BpwJYPDoleXgLv+VkLG1bL30OtZfUBfXnJKU+AnWchcAS5vwaIf6EEUH2amqJ1vGIGniOU+cDRXT
rqQSfurF1ok3rbHjuQpq5TnFndWpdjptZC6TYlPtQwuPy1OdVp5L3yW/prSudKPKuFCbyqmRT+nm
eex3ia+tUnEX8youKJx7szZcH6JRfPVaOy7y1YdVCGGTOi6a6Y+ZtW+bbvEL4i7uZVBGHyS1igut
sNpFFD8FrH3n12vnPm4QmcJ076GNOpOCLF9pc3zwa/kSHn/JgG8yNG0QXsaaxEERkpo8biPSbX6t
099b1wbSheNu4gK5PH6O+bqdmjS8cdC9YgLCXUTKGr1B6QXoG2qVsdx32C6dtjoun6DihOM7Fz8E
SapsTzeeB9zE37CWzeM+IfZUcqAqK5tgvYvpzPHMSKIkK7Ghvd36qArxRq0lPA+H0C+wumAIhfdg
vArNiy3MLpPaz7+Su/qQcWk7Xmu0G8Txmg2yC7K2vnGNvbJFulUAMppwwYtognXY5FINNIuSxM+8
gLuU2Nq3glcwQCuQ7vgeB+aLxWr0mnUuJNbCqSAOI8GLvQ3WswrG9Z7y41aC8sqouJBYU9XdFJYl
L4aFfeBNX2eAfrzyQNylwjYRQqsrjji878QJ58vvYvOzcuEuFUYsFPQ5YbwQuDxnzbEgW9Oknpuk
y4UJUeJkNil0fIn/XlKUdDDqJ/XNXRzs0A3kBhZAfor1JEv40GUESrE3QtQ/2fZXcjUuEKYjOnZ6
wWy5QEjZctGhSWKolmUh9rdTW6b0XSmj8WMgoZd8krMYVQZZO/HQ7vN6Cudh95y2znYtp2EJiJDR
RSfyDTn6wkrqpYvPXdBKKaQXxt2yYqpoYfquCGXp2bR7/VW7jds+pUWwgHUj0Hunc30Lp7uy1tjl
dvbL7oSYpgLb0qjolT3TWD+Ex+J3M3Vtv+ee9xPgyKjAQ+qd4lVebfxG01cyAv9imZnCg4LASMdd
30Ilef9JJz6cjybSfhdfl2keItXqmZGowEH66QinZ+/V5tJhXb3WgUGtQDEbjEkcvO+18Jwq0e9f
M8RBQGzLHhY0lTZLiMrDo/zTK+a7IFjAVd/3YbgjvA31WVQ2yTRM6f3ygi4KRmgfERZXQdFv0Y99
HPAuom50/MpkcUGwyMI0LrHHUahK7HlvLpN8XupsEczzFObSYFxvR2X76Ci6eDCZkPJLX4tb9+gr
WU1XqXQcx1aV6XDg9axfPrasrN/rdai+8E2Vj2yoR89bgYuGHUg+MsH3DY8B4sO2E7Cis99Bx9Ur
lZEBD7nytUgXvT+SsutOiU386kC4y4YFAo8YYYfWBU3OczoN91oFzG9mumzYDC+SBkWVGBVr1ozM
4u2AdN6NvfHa3HQW7KFtMx64RBYKwQZev61+hNdy+bBUTXQjVl6J8NS9AFO8vqZttRVlB5Yl0c1p
7KJbt+tr/Xd2VBIQHfV7sBbJnkB0P+xNITVVbxfJ+nuvuOMSYbJqBqTFprWAGcbwOBFUsdfIZJ/9
Wnc2V2hidqiQx+hQ4AiZjqIvNLF+Z03X5XrQXQ2lP72haKU+ayKSbIRq242Zc+WzukRYHdlhhGrX
VgS8W+4pBLAeArP2fhuJS4SZQIRp36RLEafteVTj27WdboTjax2//P8vJ45loEL2xi5FS/Z3qa7S
U1TayW+yu0wY0nXTzPpgLPRMzrb9Dlkor0d17hpcR4zHiz62qWAihNhv292tS+P3gMxdJGwZ2LxF
OxkLRrryxMr0PakrP6Vr7krwDglceOugm4pKfGoCY3HtaTzH22XCiFgCFDCgbcu6L6qc/kdGzzFx
pXd1A69DXdUTuA6iMgsBCzprv8XjEmGVoUh/8XLCDRN0RBUFJxIPqd+G4RJh+9aai0k8Ol4tx6nv
5HM808jvXOoCYVvTjRZwx1hAY/ClCZJvu6g/eIVCFwc7BtbuG8rtCik2uLzS+Z0Snvu/y37ZwWIb
Tc1YWBP8LZf4Y6BXL+SZu4wXMsdjs85oWk76jdwf4HPtd110+S7LZdULqMQXVWjLs+5VeIJky63H
6itx8B9dwF/ioIam+tBDSbmY8Ar2Qtswvr+k8P0CoQt5IUnXaV6SvtjF9jFqw5eqbz56zROX5mIB
HEF0V/ZFvMfHvTbBD3IkfsUs3KW5jqMfmhpVgMVcbn9FAFPsfPOwdWXEXZwrkULA5VB1xZasL/HY
n/Z180t6u9qfNa8ayG5sbWGhcJqLWCxPQWi4X3LaBbp68B6WgVkqcLRVJ1QfntkGnU6/z0l/348p
/AHDCIn6oj1Iedezzt4l6RB6dt054MpVQ6Bli4Zi38UT5wVd4htHlEuG4pWskkt0tQuLarxhtIWQ
DZnvhqUD2TMFtvueQNf6fbhU6WOy6sPPWoq7kFfSCCj6hjPGicXBnUysODXT+M3nIzAX8oq4OWoa
J7pIRvJ9aBOTpYM0XnsGcyEvWPfp8CDCFOXYfQqhT65E6HWYYy7kFZfBMai5MwVJLH20Ez9reQiv
kz9zGS++KxHJeTbFxMEkzwRFwmmAjKHfkF+uNL/EX8THtO9sbQpugv7cLSOqL6HO4dn6JQb90vqy
9ZWJk6ktjjL5Zrq9gKXGrYfBf06z/576zOWcwB+lAkWobYHRsY+x7Ks2G9oRBqXMmDeljNU9H8Lj
3bgm9mWup/3OhF34xFtSI/YlM+QAlTbnSzAU2cq0nE7VEg+5hBtueMdHUF/RYHaMtqCoNmE4DnR1
ubxAcNoP92cuQxVY6LUNCquX7smPhYUPg929cg04jv8+9FWU1HsI8cZiGmTW9dDW5Zb5peGZi1AZ
OFkPYY08ko4kBPiGt7LxtCdgLkOlaLpQxLI9XzrzqCGD/bNau+qH13R3ISpxNOsCs48jJ2r5YSZx
XiPhx2Iwl56yTA6p2psjrwJaGhT9MXlCdZKf4ixzRSC6rUm3VMk4B4TwBhzlmtVd/YffsFySbr+s
06DbAGDv5sinSQ6nDVWXD1PC6vd+rbsxZpUkFXLe88RuUS4ZzJ2g6GG9gA/mwllIIqdpbzjPN9se
TyGt1UnDeMjrXMBcPqsWEo/WZZPkhC8fEyR1skpI4hceXenTBNpkfcXLGFInlGcrTpJZXfLV63rH
XCJrNniRHGK75+DJh/t1qpr7VfrJNjOXyBo5qfWUhDRfefKlbBWs9/pbT2WX3eGVwO4CWXVgEcp5
Q/NuHO938amVnd9e6sJYeAaA32ybRjkVWPtJNdIT0speFyXmslgLnXDAgF5oTmqbSwuJ/SDxLApg
ruRp3cayxXU9ylE5u58nkbBzTf1SdMylsWCQI7pqmKL8GMLxtHXIMMBD0c9GgblEVtqijjtc5JZ3
rNJ/mihdp8fqCKrAK9PAXDyDoB4MGhua5kmF2rZUZSZo/EBk5qIJVdIR3AUODHvcj1m4dk1Wab+c
Os7Lv0dd6D/qeG/7LQ/WZcu6akrOIzYov+Diwmob/Ow3A0W+HH7H8Msu9bNOb1Gr11aoc58p17Gr
D00QzDsFU5V+ehyC5ZPXbuFKlYllZzROaZQPtGLwc0MRwCKQdPBr3RnzdKVNt8t5y+t5j05NND9J
MvlRyMxl1Vp1xIctkyiPT3qnfRaXo+9EdDL0xtKEH1JEebmxR+hlQS3X3Hp+ufI1XVZN7EOSNkMc
59qKj+ss71HSd0u47VrbzsliMX3SlO2a5GFF36Gi+APfE7+N39WC7Wmrx7oVcJMlpS5PYx3BcR4v
d8xPH4i5ymRxuIfhmDCsINpBTpB/rq3+7DUNXXQo0G0ZK4mNCOmYCs9pXQwx2/iWNd6VQXfRoTpO
gaxBIDLnES5BJZ6N3qlts49+fb+kIn45LNZ9RGnb4STXkXHKkj6932o/zym8JvzedqnpkZLJRrnd
ljyc18f98HNQZy46NBw83sW+RPmEkbknzOIJM10Dv0Qmc+khMW+AYEOMeb8D8OgkrT+mCSWeY05/
H5fhEHRq4nbL9ZzQ+xRH3rvGbNpvJbnQYDgpA3mhYc/nKmQZ3tlX+Nejlstvvjg3UUgq1tCChuuz
idcaqEc0PrZ4HPDLGbnCUTNLZr1WHc2DoHpj1+V5XxLPnrs4kxiDLtpjsuZ8CcSzqPblEYYczCtl
z1zhKLOoPrabXPP6MPx5bir9Ce7It1zar8QAF2kKBeuRS6opNoz0HMvgjtWRV6kHc5GmaU0UU5PZ
87qPh4wgr3Oq4Arvl6dzqSbcWuJh2tFxMQ7Rk0h3cyehFOG3kFyiiQ5c1CXDoAe8UU+hsmMuzXFL
kvByo33l5uJCTcmyVlTjBocgUM73YZDQH1rE5gPd7XjjD7hEwtd+wjl6BfMIO62OhxcP9fRtmarx
rOMxvttMSrCHUD+4lbmgkxjgVTCsSZgnXfWFJcM7KanfCc+lnDRZyDS0LAQK1wRvaUrbrJzj2C/x
5YJOS8RwrVOX1tfkfSCIyewY/OUVylzCaVS8h8DVuuUQLW4+GV2tb9eEyls3pfT1b+syTslugwQs
9JrDsH3/0IdTaTPouvd3uonI+aBmfKfGEvUPpqrMH//9J73+gMDc985qw1YF4S6bdzrkDzvB1VUR
ch8AcvsMQe/93RwOyIT+949dCUouW7XPtNubkSGg8uV/qAH4lgjlt4e5bNUQVyvvYYKet2t6st30
V9kfnvuAS1bVMAUYGGq3kTbQ1WnpF7wdpItfvHPJKp7oYNv2YcmjJrZPUUmWO9w1B7/7jiu8FTLW
W2jILPk8QnTi8hAFh2/PhexCVVQnSBOAt8k172iWhvin3G7My2tTxbmo8Uj2GxlCdDxcyXm7kCxj
Yvy0npiLU9UB3ODgrmhzU0IHZyVLZoN188t3uvpa47Zug4Z6eo4LbP2oEiIzu8P8+b/X0JUNwOWp
tkmjyKXXa75AU+3jHEFtLtM13nHDuYKW3Vx7Sh0xF64iM9klKiHXXB3Rl5nPmVyQ1/7vv+LK53XR
qgm0XNO28ZIvauIZVFEacLTDn36NX370lxtK33EN6nddsAWUbbYx8bLZzS/L57JVC9aSgbeRzUWy
6buWjR1SlMkPv447m7uxHUCCxa75WLLpYeq3FBoaIfeLNC5fxUCbQNN+WPOhhBVTcCwmC1I+erbu
LNhOwjcBD3FLfqjBZs0E7XcjulsS6vz1rdFFrOxkRaehkJ8jgcvuA0TkomRd+rjHsvHbQVzUCmx0
tS5lOeUroW9QDPBzDWPmN91d1KoNyxqme5juUV/Pd9wGe4bSGc9nVpe1mo2Y5SzlnBO2d2+ivl0e
m5knN06cV5aqC1sJUQXYpI4138e+y7ZIfKiVn/kTc4moy4Ydy7le8pUFT7X5upR+VS7MBaJS1kRQ
GY7WvFv37rTPR5Qd1Hae39O500K0kppwxZjQQC93wT6rM+PUT6SeuVBU2CwRGQQCbxDtdd7aCmL4
Y+j5vOJCUaulYTItDVqH+vi9OqbxNKST33XcxaJEI5qNBGrJhzT8BJHJN8kR+M1DF4rCFLdtU2PM
u8i0d3Ur37UB/EO8Iq9LRbFWQdkqoHOuUER/KoOxPQ3tjbavxC4XizLcNqA2hM2HWWwn04/6YZun
5qzW2jMn57JRnLFKlbOa85qmwf2ErOuD0tzz2O7KXbVlG2ywwJ7zFFxLQcjxOVza7gZSfG10nD3v
WCiutEmw5ciINs0jZP70+yYY6qepjOJbP3IlhrmYVGK7to9ZOOdRPT+2Ifu8J5Xfac8louxumL4Y
fORdONJsHsmYNcF+o/HXb4TUJaIUxJsDHlWIj4qjvn5cxN262eR+A838Af6z7Snqy+A0SJT7+iwE
6mJSqMiKoEa9LPnYj9HJxoG+C8rDTyqAuqRUtPI9hFTImNdqKjaevqN1eyOd9vo8oi4npZjuo2BG
2jhuI/ZEVrgKWRv15wFCQjdOCNd+4vL/v5wrgxSwgU7wYJdW0fZ3F4j6brVYddnYilvHqNfv49SV
hkohh9VFM+6xYqjtd1tXwZ2daHeu1R4+lfFEH/keaK+DMnWfN4nFN9ZH2eT70f1o66G+iwNctPxm
kpOzFgE0WNOxX3JD089lv6psLFHT6te4EzUqUKwk2PiEV0L+N+rGn1E09NOvaWdv72qGNN582cLA
83QZbRf91zD1oZ8pCnXhqSZWVdiLZM0jHem3paymF750XtU21KWn2rpX3MppytMtW49W/Ri1DL57
DYwLTyXw4liMFSPSU91nE6n3Y5f6GSRTF56isAoAGbB3uVX7lE0lfxqa6EZG8EoQdZWnqvlSbDrw
LoeT7nyiVR4FrcqWvgmzhq9vVSKPe679XjypK0Ul2xipZYjH5aDk1ImGFc/iVCuvQxB1aScRCAMN
6d3mlpbdVyREgsclhCK23xd2lizdxdKFLb7ClETjW7k38iFctupGQHg9c0Fd3GkLmF2ICG0+s512
Wbem9JTAQaYEWIGdzCQR8YsOLvrE+JRCbTCYcrjvpVkHZ6ksknt7I6d2ZRtw2ac4NmRpumPMg3iX
HxSMPHPdt+H9nEIC5MZviFfvu9RloEhHWnuk5ZqLTYcnuJ2Wpz1qycsa2frciKq875B5ztI1jCDv
iFur38i5hNSWlMHcxFP4zDfZ3x17O96RzY+PoC4hNcJ5dtiOJXwmZUUzeXDwzJ6VJBB0/X1zXjXD
0yJH47rSbQZ5v46nfjuCy0fFI41hJYqmRQzdk3RuTTYD7/Jacy4e1e7HsnRJtOTiWHGUoBBqzocm
2W481l2ZrC4GtCsVlwkD1qyXyspsmLqqKNuE5mZL6Y1T6uuna+pKVzUk6oPNID++xeon3opOaoa6
xX8Pzz91Rv9+8KIuD1SZMUS19zTmQF4rgYEHxbxf3g4qw5o7VAn2j7Jsxqd1r81pLntzHyxG3tHO
mL//uwvX/jwns5U02tgVXynnBiqpafotlsM3r6ZdYqiJtm1u92nJSbjBy+l/deKn2gxi6vflUA8H
TBPZjFOMad5B6IMufrQg6jF+b3nlQCZbgQcLzsl75D6/sdLPjI7+S9uqrSRqqkashUD9jBPUIk9p
85ffUDuH93aR3YTFNuTwOfk2be8jMnsuYRcU0npt7ZxW4bMRBge67Y4aceN2fGXuudS3DOmm271E
6DHAGpJ+PbG1/ew3ItHvH7IR01ExibZLq8AfTi0KIGI/poS6cCMKPmoadqrJbdt+oYbnigZ+wBp1
6SlqA9LLRATPld0/CEY+Jba5cVa8ckZx0SnVxWvbziR4LulgH8mBkwPr+/SNsQE/Q9Ho+Og19q4C
E57N2u5IZPAM1cxMNvIN1K0/+TXtbIQTUu813CjDZynav+tJnS2sZW9E4yvT0YWoarLtPF7T4Bk1
MH8HSfLnPspbKgrX2r78/y+3ayL7uGxLDEnZ9m8GE/EzPHHjO79BcU62WJ6YhxE6Ppj+nUoH2GiK
yU8+iLr81AhP4HqQPHgW6/i2pPbR7n4q1NTVXYM8nDBpg6bTTZ1Syr+VcXCrguragDv7WjeypWcT
Q7cpnoZF953gmuQ3UVx0qqF9WqqUBs9x2nxsdf9H2rU3TjRXuu1yU2qNoAA1otv0CJ8WJR7Gifvd
f1xoaoSfVqKGy4hU37pxf07b+Ebq6FqnnUUZmDZadIjxiLrmLp1Pm1H3XjPb5aWorMmAk+8lkjR/
BM2R7b1fDRl1Yaloh2LoqDAcY12+bXWTKar97rEuKVXutuIwADP5FCx9lprtOB/VdMtk5dpoOzvb
gfqJ1TZ1BBfG8mNFduinHbvn5dIlo6oqWmkwquhZWPmlXsSXtNn8dmSXjLLpsG50uayaQb5pV3WK
28BvartYlOkqMS0rpom0uM/NpYJimEzOXnPQ5aK0KJu9RNFxPqpePUK9n55tTW/dha98TReL0kDe
A2JCLHhhvyx6vNt66yeaRF0iKU0PVXfN0YA2pGlGDfurXze/s5uLJNUqiiUpTQgklWTzYh+O1Xg2
fRmqX/bKtt6kShdS5xH8kFidbdMXvy/p7JNJ1BkhNzSMog4E2O5kbOp3LnFRJA6dSbjC2+N54QvN
6njcUCkJ9RG/jjtZ241EjeShqPPF1i9hrb8P8eAHUVHqbJQzO5pEybrNsYAAUAVAaWkGebDZ72u6
NBJ8Lpa1CSadL011PMYlNed48U3puDjSVjaT4FPT5XXdfx1p/31MVj9Rf+rCSJpIo83WHs+wIomz
PVqCLFLM78zm8kfH0C1RnZjj2dD+zIz8RGl1K61wJaa4/NGQmmAE2t3mhDZf5IGy98lwz2ts5KzO
YErTruts9GznbdMnPtYJ5Pbrxc9bmroMklwUglU46lwS/pVAb6MOas8TvqvwtGkSjGGZtHhJltB8
7Kftnipxq5yWIz69ksxxEaR1CiYImYku3/u++7Y2LPjf2Fn1oVwEffAKBK7QUwqNUJYetM2Pdf+q
a/MSqcCL/aIuhDRGQyBDlBnnojPqhfVJ8NTwwd6Y7v8M8SuD4wJIyczrbVt1m0PZ25yTzQz3tGP7
fan38BRxtpzKoQtkFqp5/nTE6fGwYg5/W8k6/4lngfLPCPu7PMPXXD40SxV/20akOOJwrNoHaFTO
JzjohPIuCvh4LtUU3x8Tb89eo+4CTrSy0ATEuD/j8ekMw74mG7cm8rtMuHzTTtXO2Qrt1NQeWW36
h2a+VQ/4z+7z2qBfZuovO2l9MBhWhF2XK4IQfFKgoc9QZrTJYw1Mpj/NcIfhp6AeoP4G169HIK+k
PxEit9MiSnY3NQxZQT7X5BzpNKwzlHRMH6kOg1yWi3qoyiU4N5A1eUhQSf6nHdLkDYrUUUiuhBjP
MtzxYcLLqaalLPxjtbK65xEfX8YIz8tGTdsT1Aq7XA7DrfeLK7HPha7kpJp6mDCcsfkxriIPrJ+B
DHVh8gQeKbbtpw7HEha8H5Z5y6JZJH5vmy7SpeZlmUWJfsM85k28/tl4gszU1bgS8C3B/QDVSTIu
zyh+/JIS7gePUxfm6hqYSUpOmnzYxg+ikvDVkjcixpUP6ZJcTUIijSLCKu/rtcnmdKwf4N7jVyxP
XZTLRFvS9rrX+UEG+rIl3QYBFU/XFerSXMCUuJCVUHlcJ29gJgfURPudYV2WSwYbNRpiXDm4yL8k
GT8dIfObgi7K1S+wfyVKqRxD/y4hyGgmZvOzxIVn2u+hyNSqY/AxUnmJO0m2GzyP9WXtl4BwGS6Q
6GFCzEqeWU2+NjMyPqiT8QzQgXPfLmdD9vKYyTPd1eeo7HKm/cg26pJbSlesKTtc5edxql+2Vj0N
hsbvvHYtl92ayK7jKl0qIL/Tm6A1S1ZPvd9TauSyW1ZuHGIIfZm3UbWdbd/CMqE8vK47kYtp0bZk
JfzL8NoZKnmHGsj9ZEzrlSuIXEqrpXCkI8jG5kaT7a6LZJqhGuyDz5hHLqd1zH16bFhFz8hazU88
PY6zGSO/J2aYL/y+hvYuXbWtwvR5PtjwYvAw8xgY4Yevwczt99ZNtUNpGjZjzyPbllNXc5rZaiFe
mbzIFbRquzFsVghEPk+haE5TeJy3ofLj+iJXamovkylM4j19Jl2XZjVLvvJ+nm/QCq9vRJErNjWN
0POBC3D6rAit3khCv5J4Hjxno3P7TudQD2kA2YC4qj/Ijq53mh+3qq8u8+Lfx7/I5aXSSo+Qnpbx
M4oq2X3CaPUMgmo4dz1d/D6ri00NfUiarQri53mz4Tkcov2j2Ebxx38vp38ula/9Bc5zLD2OgQaV
Tp7HZIqSryxMkg+rFkFWHSp8nmEjcoopROOWQTbvWDvCnun/nH1Jc6W41u0vIkIgkGAKnNa9M9OZ
zgnhcjolIZCQaMWvf8t39vK7dSuihtX42AfU7L32asY4fAkyXZ4mBM3+mhAI0R3TDO6eTdfRY9aO
6zNPGvKQolg9IvSLfIv7Qp8WthfVDIfoCyQBiMfekU37v7/E36yfP/k6mVzidHE6u2a0H+5hVkbv
Rstg5fLvPp79/9sW/tygzjQsu6Zr88NF9kuMEvXfffQf500cYcl81jLXqIvDdc/dVglW/FOl/ner
84/zxuQFjOrcll3hztFD9unYXiXMx8+xWsy/KgySPx2upiRDstY2ZwArRHjN5zwceCf/CZb7XIX/
bXX+URlYgmxDg1ypq8JM/Fk7sV1aHJ6icnMx0ooMHmZDLE3+yZ/y85X+t9/3x2GB4ee82N1l17XI
ixqa1nCSNNI1LE3U0aBMef+H9/75gf/lF/1J0CLxrqd2xXwo6eZ4+WLTvPXV4E1c553vKwsX8jLQ
zH4RfUbSGomRCSRusZ3xBkePtILik3eb+Cy9MN2m31W2ia9ah+IJ1K/RlqlbKPZjT8Dc2FeM/5BA
/1nUPuWkkw/tFIkTHLjWrx0MVS6z8XIsiTDsBrDBt71NxcFKq089BDW+K3O6xKcimHByNDLfOmqj
W9uxaS0RcteWtlPjd5EgkvMfHs7fPJs/uCcGGcOdcs1+NbOBk2JstgNX9B/A0r95w3+SyKhfPLAL
za4tdvUJRgTtMetTe+i1H55HFdp/mFD9px3+b2/4j1NDhrF1phhwNcCfmFyGfnUI/ABfolwRQXQA
x8l8h1WBe4c4IjvoRH7EiU7LuA9dqTAIOY0y5P9AS/ibA/L/sHlSF2sB3vB1tPuvEa40ZdPj0f6r
1/UnoSdyFt5/qU+u6cx+bn3ZjdM/nOt/867+5PPQSOiWdSjeSWS2cjHKV4SsWcn3NK88KfZ/t+D+
tAJCUDpTceMSvCpNq6iZTob/S7528n/Yf6NwsB7m8RV7if8eeN4cPdyq//rfD/9zT/y3VfbHET/P
AfZcc5xes64oXjiZtittWX+bttweRiHscR3ycOVpvv4rgDT5kxHoyRLYol16bQG/XlMs1RqZis2/
aqmSP7mAsXRB7lOfXl2R+qsyJi69iosv//tp/c0++JMMGCyjJGSUXs2+GVN6i4pErHny7X9/PGQu
f3Pl8j8uEADeQ6cAGV8tYVKklWzhD+srS2iUJmUBoxPyvK8LG38p4NiFKdu93eA0kLRrBDMhlSdZ
48td4z4YSkTbmZY9CgwXl67yYzwvErnoLMfYbrdjiHUVcdqlL9N/tmA5bRij/hazK8RWYoww7/ct
05l4h5mBBjS1CQRHxOWw9625T9TaHXwokpOAi3p0GInFZbEtszr3EPrmB0nhcDw1zp8wxr9NdGgR
RWgQ6LwMJiNV2sushn0jjOFiiQu4mCCBO7soz247eAs+xYo0aU12JddybrQ8wjD5t1DR/qv5tNjp
5qktHSmm7w3fmnsrOvbaF9v84KQhR8nhir7uTd/+DmPwtuw21jUPHvYZP/o8J9FJQqXdPfB5xPIo
R1R/PRa5aqNS09g9FEr7euxJW8KdBe846CWv/Zz16HWpu1WxkkhidkOpWfdl0Ht6W+A7wDBaTlvV
jXFTs0i3lW7n/on7DfGMiXf8OOB1PhJYzCz3Rddstmoykz3AI755iBquzt3cx1E5wwu80jscgc+7
3pLhC+jYyGiXffEjamHplnPBkpr2ybdUKPLepMlvFrS9Dq3yL1mRC1tCjkRUBf6YrsHgzup+GMfa
p9N8bHMxggKiogZgMoehoF/G4WUYuwQZIJ1EyqmXRTKfV7kn5KGINpDw5bK69dz6ZqPfnB0cP0TW
4OfnkG2fOHRqdLVw1p+dYvEFL8DirzQtyPWXYRUwhhlWoD9TqRDN1740Il/hPDbqIsgDjk3bTlVk
utzcxjl+tKTKLtXuBXlUvSBp1UFRdWyE7ZGlO6/pHNXTuFpxmXSn5IPZZn9UWO+3XUAC4kyHERF3
fOC1GRUtMzQlpjZd74cnrvOOHLPRcXI0RULZsc22wjf10O/ABEqA6HZ4MDya87vMNU6+GOcYebB5
vE+sbFA5kspIo53GX+K66ATwMNlNpQxGSVeWmrk7JmFc/RECWkHflmlR+2PUGOTCKND2hx/JEvSK
ZDBLk9WVCSYWS6mHZTG3SUI6erthMKXe1S5idRurEf9rj2eSPSHFhkRlwMvIjlJlhh3p6Iv8vJrG
55UhDQhm5UCQolMtYyjyu8bwQrxycGP9EUx3+PLkFj9Q772NYEqwbunUPCEDAnZeIHuz9SjdkKoP
mHyNmOWhOVvEw0CxEE/5vCzsau3QIuVt6BXwhkHMmHJPCJhdHnU+i0ProwZDXSfcwsuxWFf2vaOU
Dq8uIDryKU/7DBULybE90zke6Hk3Kd9+t4mMFqgtV+Vg6L5F4kJ7WDHUsWxbeZmYHKYPWviW3uWk
1dOr9sWWnynNVPRN9OmAAtKOfMvByGhpWuV8HZoX/JSZHweX7YSXK41yc684GecTLBfZfEj7kZiv
HU+3+Y7HWNewBe4jfnAJC8N3+GvNGTrNTmIdIyajOA16LtzdTsUkz0Xb9u4H2fOkvwvpMIq4Wrwj
sygR0kXZhcOCwPzyTfupJ7FQlZzaGN4k527rg7gZQLmMz0wWqNzB4966/bIV/bKKSmeZVfVEtvTz
dJ3jaPludman4zC7gd4mOI1CdrDKNu1VK0iqvi8pY3AAYqZgSWnM2qSihJQOtJ0OZ0V/2fCd2icP
7ZE9NEUzZhcIlrPu1TRh5FeJmMmj8jLrTt2K/x8m5LttDnADzd1TkyCiqivbWCf2jDImrH2dmYV0
ZwgO1WaOe5HDUj10eDH3EUsxDUTC7NyzEy4i6AbiQqnpstp5NR8cKZ/snFhII0sF4wpRjp55Xw+j
7uJfu1+i+dTHMK9rS+/5Ekoms6gWY6yiviK9dfObTfhGHk1ntEF0OYTSAj5TMXECMBUDjDR2RUv2
co8tLqgi61XzF5S8a/TMXRzPVwNnnu2U9h3Pb2MdL/l7a5M4/jbB0sgcW0an5geN/Zrc9Tx103Pa
YpH+XpJo4ReJ8a0j5RAlcfpXSpLJn+meRuRmNMtmygyMf/fBl2UJsqQLAja/80SN8dEq0Kbv9ETY
drs6iuao7BaR67d5mpviPo+7Ub5u2AiLLFO+js23PKgmOrbNmrBjwsMmbhUEBFHlaIgzWfdJSmG9
F63RSfvZZTcrptjqDdhR0jmol5a4HetGJQVwFoLLhLwjCY+oGr+o17r+3BxjqJoUo6C1TEziCT8k
LM70rUoQ+62qHY4cy6+9d6N+a03WTm/TriKO9iy04Vtucy2/UguWyMfcKRps7fOIzdmRKQo86TBN
Q5zfwkGu909JG5FRnnv44eVrBS3p5M6zdBsV56FoVPjoQVfH9aCQINccIPwselXmHRuyrWR7rzIG
Y2SojtNySoZouU1yp5rSFE3Kcds2zTj4kvnJZ/EBvACWj7WkJrPpic/LNL+OCkY62WlFIgLsOEMK
ptzPds7cFCo2LxiW96GBEKzMgxELK5mJo3yBDEhtp6bL7ahPDXQBIq4VK/LIXAHPz/QpWWAeuFZ0
K5h7a3szD0NJdSzV1cpPU6kqVXHX72WXr1xDu7QMO6vzZTJcVgVmkuTUmghZSnCro212gclk0Gce
mXj5nZGB8dOaqGg4SUBPeZ3tzK/VyPsWBdOmRpmpY2x5IzoMZRZmDqxd9nDq2KqT16iRZjxsc57+
bndu4g/eL1Sfhw2BLVOSJlU3KfOYRFtGSqbjNj0hRVnkN4VIyIYgtyzfwjnbY3rN4XodcF+vvT42
PlrIN0O12A+siJqsPYlk09FtGKMlfs/7hJzh2Za2pxw5te0BDtxjtlTFgpS+OyVJnNzZLcArqAJK
l4BN5NbmUfTCQDXeL4uDAIKGSzR7cxDrDLvaYYbD4QIPgVOBMsr/xBgXxDV8ZTrmF6+L1RWlNFvB
DznNwXwqd8QimMuKyhKnhmrVXBZwwHzKwcEyrkRVtabmFPSUJM/xzjYRHSknbrv2zKr2KYpHWNil
CBhDuYatG8Ojg1NTyL9ERJ0/54pf4zy1F5nAYAonbGFf16GAO5kbd63qlockv2Tx6HP8t9FEYxkB
hVN/6dBAf7EvMpJXVNaM/pg8bq4HkPz65LkZdqIvy5RjATLwEzDYmNps6k/IInf4S3Kd7vMZ72/T
TzvLkHc69uoXhk64DNtmPwvEK/7mfJTzWK6LWYZHCl/u+ZYPMrQPFLKk7CFsAHe/BAoa7hk8xV7J
culkBnvqjoZwRCTDaD+KOI6yYycmkr+mM5/XL9kMoveXRvS+eW/xt6Le0Zzv8mczcUSmgzC8S/aw
90VrIZ3suongmxFmSkk6BXHFmAbsXz8uW1wBsVWhtCTl4pID3z62mwXjCf5NgzoleuEjzopNtw8N
m0WEirIjSLkErUEVPSgjhyXPEUScMYKMx4qo3kdfZuvUsB4wmGiy4dx1bXcqeI6reuJNXsjKFyai
KM72jP9qYMFGXcWWYSX3bFkzdUm2PbNlAp/r096n7Rfe9gIhy5qjjzva1qYqL1cyk/4uzb0ZZKnb
vHf3SaM7G5czQ/gv7ufIJyNeXCTa/Q6OpXK2VTuEUOLfRyBXdZmcn0ZcEDj+QKRt/FaKUZmaBr8N
v7ImRE9sT9G997DZuzEo06cdJ1rid+B1aSS+YtXC/5TD1nK9jDmK6BJSskDu48nlGMY2RVaIW4Yw
wBQlw2Lz+YAP7s4aRgbbV8mHYt3uXBEP7nG1TeB1N3cdeUKhoAiklDpM4hj1hPHnuUC1cjSezfmT
Lwa5nsaZN7dpPkE2XGTihJJLaEhPiC76EyjYNH7YUQb2hyHBurIHD43x6C5LZrPBoaL+xPdkvER3
am7d8ntc24n/tcJq4WVlSf6B5hSH2bEIPYyGl6TZ5nqA1eivgIimSmGUeJxGeM00lc8bkZoKhw9d
wqFdIeBxp3QGkuEuAoHO7oAGv9B5nc60X7/KQYp1qjGRnZyoo3TPKZIAZp/Mj1kxrskjwmyjV+XW
HHQZgc4gr2gwSucv6IzhJzLrARmCSKBCNi2v2sizCK5RgFbTrJapmWDeNRXTndwoeRspc3KotjZq
k6ZOliGKedm3UAL8cHEarXVENzNrRI6vzXLntrVFYMvUoJKdMe4iXXIYN9EMP3M15OtBY0dkzzm+
xHwtHF+zrsLIZ6pbN4S5TMfcdmUfsc/oOgNX3ATt7tAtbxYKjfgU8s9EnopvkY9ecMj2zKN3jXQ4
7BKxKGtZ+GRLs9INMFY8MS0zeRc2T+l5RQrpjOByWKrIchI9xi3jjslE9gXpPtrf9rDFTAq4AM64
SRtCS+61xfUIjODKus/U0hTOjId8nbPaUEGT2muyvao1j048SdIHM4coqqMN/wzsnX44qKqH49S6
9g5rhd2kuS4whJpCVE3LQC89DcvXdmP2y8wzvZXwMyvQrgHInMoY06JQEtgF2eIrS9MNYwgzfNB2
pCugdVBOnN/2chMFe8oXtFgoSWBDF6MtPCmctKCi7SkkfKt+HKnHCb81O70q2/sb7K4xriyidAB0
F/tFw1qjYtM+ofpel3NGJhQom0fQd8j7Cixqf2qHRdRxto/nkWbNiYtmvbYKB1QeL7YaepvdxTEA
m1gOLQo2EOPytPFwv9/JgY8+LuHJp6s8oWuFzEN7WpZ0eB2XEYcWnMXqtuHxAV5UDCWC4SXN1+9+
KjTashSF04SWe+9GcpAtzow54XulJ7aWuUWUaaAAPBBG/kLlMmHJgfiOg6I5RMBPEjyDqDlOmnh0
THa6hGh7RzgnQ9Uo0LD1HH+Psnqr4m1s8PxFEo9Vryd3g3T7BF1AOv92jsXfhg7HR6qi5bWz41q5
1LNHxLe131raNheELTbXNncG54kbSxo5VvVtLA5BUbi3xKwXB7DGUTbJwkVnKI3nOrgWJR0CMaaf
c2jzcmhAn27BE/kK1RimTYyKY47Q4rMeUASCeLftaZVFfQPTPrTNAdyjEzhe7CZBfsRQZjgaTsIu
DPm6lE7ysDVp3sO+Ktv+Sp1HAYzmNn102iq0/3wbPkCeJOcxjcJzCuHnyQq+aEgedjw0obJatI4c
OuqGd7Os+c3M2PhFbEOClZ8oDFMYkGSJxXB0mYDvdjuk56wV/QFm2VjovjfnTvmwV6GY1mMfOS1L
4hr5IbpePbQFFT/sqlmZLFHfH6iM7Utnmi0cdd+O7KqI1UfVT2yu47QzXzIhhqch7bK3Jh7Ub+S5
RYiWYijMijz/ttsooneQ4cqHxZvmsiayiMoNzhM1hOmoAYKe7UlhCPQ24Rx0Z7YD5qpbKZpTmzVI
PEyHjshqV004N0Us5MGSKFpLTnQb14O1GcCtcQke0FE7m1rj+jo0exPi17HfcC+XqgvkJk75Pr0k
2QTL/SJbInXo0MeMB3TraVqOeyHv6c7FHY2ZnhHeyjuASH14JyT0rwx8gzsWwewN7w4tItrKBXgC
7snoMPHcf4GLGjw+/Yyok9+NavVQEdRQ96JNNgZK6YQoca738VHEKDGnvZ2vYU6Q+GXi3Il7TMMG
fb+j/BUHPaXiAb6cpqh3gQxf/PWoL6ocV/0bYxu/gOdnjwmL/O9mIn4H5rk2V3B7JS8NatWswupo
RdURpJdVCUjnD5Sv2Ebr8hlkxuMMJgCdj9bsmGwZ96XnRQFj2JEPPXScLXWXjuP2O/Q9dZ+m5INC
BdlnTzJxI7uL/JT/IlwZWTFEW6HHQ4jxKxlSjlWMCQA5gBCDMoXjrdpDl4fpJ2q88Tti35oP6zzN
yjiPRFKxNUVpLGezgA2+ocuswlIsMzbLSH4ou873OBTiN+/k+uExlntcc4gHS0I01mS07tPduhbs
ukoh31k3ZX+hZOPfDek5ejJhlugmwP38t2xQv5XJkIa2FqiT7pd9lHuVbrS4icWY4DCfxuRZT6je
SoL1L8t96cRNggpEVq41yXhstnE3RzGmi72w2PZXF39CIBy/rCjxEWZC3dkD1Oic7CoKJQT/jpTu
tKtFNoNonEBkkFXzigzC+ykjGl6hfIAg7XHcOE62PMX597jvcxP92FDVXTO/TQcNcztW72QD4grv
I10cQPCYvsAmES76JN3yDFE0jSiedsxaz0A80JvhUCQNgKG8s7duIsRV3IQIzFyH80Jax5LvUgzF
w55s9quN4SpW73xqfJUi8cfXk2vGfcZ1sI3uS8fS/X2aYMS2kXxMD1HozTNFDPnPyPb8ZH0+qZvZ
UZR/mUv1eA6rUi9sV3SpCfrZpxVmmh/trjt9BsVunyu/Ado7sh6yTQgiuv61Ax36AeIrcz9wqHYO
TWalPwCzYEtl0IOIqwAqP5/xE8U1AcXInOCCwNo6Zd7iPRHlRLXlxA8HxsAxriThEj0HOB9TPfmU
PhVrwAvFZ0tXcmn2B9KDu1xaXBYI86AbriwLs0xzs4p2fVPZOPrShQ7zDObS/ERSPwFACQFFeDqu
YCEvSq8c4KyQtUQi835QdBP2qvYOO1WDqpFc8NwEO2R0ai+qwIRvNVNMLgke3Vs0r4DeOxQmdwWF
MuHYkGEMF661TS+mSPkPP9tFP3KmEME+691gQ+BmY+4C8EDqg+cAyM57tC2sSuc+v2nkFqAsQU4J
YG22LPEDaq8woUtYJlnly0YUWrh2WevG0c/7N2lsUZzFJPT3VBE5PBVTLKMnHuIkVCjQ7XaKxgEe
7Trw+HFeTPumpx2NdKYC4ExYumjMVuI0fu8kRwUCm59RHOJpAAmbeE/nu5Sk2YSediFbrZziD0Mb
LX/5aVZw6NK2OKDDA7ACac/QIQhKdm/Z0tKa73ObYKmHRdaGoTLwaMzsMS9WefKQW/JSqyx63xfO
74BI5OwUqAuXz+DK9p0OnjwvXvTohXzT3w5k7t0jl5RcAEE+ym6lDzHCKK9whsOTtcFCW+mThgNs
NL2kJzNuoKwaNYvXoehCW5KYLpeeTW1aJWoTpz2Bg/2PCYEEB+JGjwLfrrdD2qbo0tfNuDrbMkFO
EY+H724Yk6JG1estuOt2Hk4uLBpX8ozGrBx0kh8sgMqi7G2MgJAllcNdEuftVI6oLPsypf30LA0M
H3C6rP3Jxt3+S9IZU+FOwuD1fkgWPx2KAnLfa+Zw9APlzVFdZMqMn55BEYo1kjgYjpRTplJZb2y3
ywHp8kV71ozkrAI6Svsj7Jj6tTaEqaJaBYT8bFwZZh6BBVsyBcSmjMmKE5WmprjP8mirojRX7xvV
ekGPochybIm3HKmQG2oeEsSRJaZoy6hAFgo6B5jwlULafrrsZgiuNjbIvOw6ZBjWvQOFDRbug77w
mbIH4NZZ3XZU3OdNinWSKP7CpgR4VY42t4T1RdO/iGiCL7Leig6lXlv8J5YrbXWdYdz4+VVAAinX
YhauXGM6nagxOyn7kXaHLcv612aW0zFZZzT9cuwxZ1kK/zx7G35mZM6grO8xQKhWj5L7MCuFkyDJ
s5w8SrjLf+32XcODqxn0c6QRx3TvcsTJoFlfYfRhMZoIh6yJNqCjoCgPJ4uYZVph43FTjgPc40uM
0sKzFS7MNTB93APJDPyvnAYyTBciOv4mCqnN750Oa1uivQRaQAaLh2SQk3vTeNomlTGpAR+3kdH+
6Jho9MnbaHGokKfiFlz96bGZYZ52YEblea1AWpvqjRd6r3zjxPMGZcdSBXgsfMVkzX8MMQ8ITWnj
9px1cXvCPY+bSbj+2gMXg8gJXePnZGGRD2rFmoJZXeiyG+lWOV6D4mzAQA04w3kWRb8dujZ0bw5g
90HYRv1YU7a8whI2/ApobK4A4LHqaNi+wr0JWsEOYp38qBuXPsxobS7YWmqtA01dVxkPwRK6m45T
WBfRaPwa23RiJ9bbbrh8UuRDheHAem9S8AJuMMAyxc+w7TGmcR7VNw4M338Mgw/vfpeJOK5kib+2
AtMxoVx8AXOB3cxr3CBgdMjG07Y3ChU6hjEfE/NYBSLfYtBn6MAxGGYOfW+DpNaMAfhboBX5mq/r
Q9Jkad1nqV7OKBBs2SZBoqZw06/CbuNyh7RVkxwME/uNRkLbJXfU305rn50kyRE+DFgOPmh5QJpS
jUjf7WLxogGQwkf30vMRFxyqOTWW/ZZ6wA6ASxHiCKHECfT65Jd0GKqUS4ThzKTa5fcC/Y/CUb/o
0grVvITObRzLa+S2FpFfcPCsbrrLok397tMCRXAGx/cMWQoppixcqPVumIyzZzvl+ssWSQw5IRr7
tuFqw2U87goA5pZiEOxyc236In4OEYVDoozIYRkSe4gJZmUtzhgcdBSVIc0lP9CEiOs+zOa4Uvz6
mEzyOCoLzK/QuGR6DHlKw3N5BCw8iHLli3L1DGTtWesCnRhsNjF696S5G5RFybvobXpbWu3qxmcZ
bpWo68shT/Zjo+Dwh5mVaCq7FMl55WZ54ds8d9XkcYZAccLv1p4PZxoak2K2o9gDOjDMuzE0q0yX
eYAAjaCvY6eW49QL8QTmQF5PjK/1NmTr9zkaQ51g5PzseNQ99IhLqQBz2rPkTfSC3Q66KIGHfgk0
LD7NjSeHdQSAgLtQnDo6a+wg1aAtyRGIVvW9wr7sd4MSLkDvwVb5FscO8ssst2jd1Hzve/A98wZ1
bxVjtHVORmAAxAt1N1OTlIBEN7ScE8wSN5/6EglX8FwuUlqH3j0vYIXUCYWUKtt4du5ts53TGMNY
Y0K4RbMRjht2xOOSReoMSlJ26TqbH6eo309wHelupy4rDsa17wZStgo/ClHW4BtVzlYjajVYFWpb
bMWjbjPysiqb1BhMkgeAut39oPr4HYud1nsqbUXp0jT1ZgmmHCIRpaWSlI3Zm0Ojl/aNCmCGtCfi
PKpY1lzsI07xKHoD3awBoKne4sD6E1ub/Ljk4GNhXaS/OKSHszzsFPBg3SIk+0lyNR2BSGMs2mxb
TT2fT3wKPCpVs/wFqz1AM+28X5xNf6Hg/nBiZc+Q6SIgGbYC91uLmdUKnP4rEYSfMPZNahVtxSUv
fHQ/ru6NDXY4aCcxXRFNgYRPjPbQgrS4LVuefgWyMJ4AWukrySBaA+nQ4SIP7UeSTvYMHJI9dX76
OvJOvXSEIZZtRg0AhdLYwJ5N6xs4p+bPcad4vXvgEceIFX2ppS+S0trQl2HipG5M/A5d2YjnuWT1
Xvge/BUZGD8YqHZ9BSaLKYs1W9ZKgj0hcdlDulA7DVqT2ybxuEXqNWnhIvYmV0M3OIVyYlh6EMh2
rGa5y56e1mnGRahZhHnMowstEbf9PCY0OgYGaRVQqWkSe4YN0GfL92UvNnNG2Ra2L4BSW4thVfBp
8U2OS/qe6WDlA5Ebdwcb58H/VoHuky63VWdDLUfpkru9gJ3yW64csVc8bsjVswRMAoy5/SAfEljF
09vd97pOxdIn3wONd3dNdNxj3EinVbrnApIyj2tviXFLks7F67di9tJ95NHKXCjNoGIPOi/+A6oN
GF6uJdynZ1nNaSuA6Ya4+DlPHWro9P9xdGZLcStLFP0iRWgqDa9Sz9DNaMC8KLB90CyVSmPV19/F
fXOEz8FAS1WZudfeGUb5DfmzdvZq6bL/uxGrvRtO02uxzmWbrGOkrH22DJVOGeqGlJb+BDrOjciS
WRhS2bvFlx5qH80rs/yguZV5NrzRUEpqpIbjpk3Lxug3m2xw9RSX0VocCLZy7DRuBnllqOKCM9RZ
Lb8X6L3uVVZCd88Ogf8qjUsu/o3tH6uqkpKXtbrvRzm0aeyQsEnfiYzlJ1zLXffQTZPhN50bprVJ
rRlYp83qKKQGzweZucSx5+t7/J5Z/jFZvY4eqLbs8k2vwsjEzL5c38pu4GFyXaQnZ+/p1f2N8Bo5
jzVDlvy7IP7vew4hsYmYA1Qvd4uwI7rZngnDuVez46VMmoz1SOkz5fsxKqzXeOUpIf/Wr4vBBkwo
wzpjbbYQLM+25rJjo9tUMjeexEKycxoV0by9TAXizK4coZ6sJOwBfWFp+2lrkX3tzJ6/nVVC8O3R
83pf3G9NwbqgMchAH7j3J7Vnd7E1f9TC6tb/YkZKkUtwntrY1O3OZLlu6cC1zkyZ66lE/Bs3mb97
lYUiTj6IF1nnVhZj1O4qCW52aVyQoxoxnmUD11iL1jnB+yh9HpU1tv0uHNuouY2b2uJjWFSRHM6s
j8opi1i6az79ZW7zdLU93LJ5N6M07dqWFNxfBaMt72ljJYIcdtsYzkFGWAbr18lNdYy4scgjnhGt
XQgN2+c3tCQiAxiQiWXl2/3oeKHX3tGT0u0mnUtY2j+hhRDjwVuC0oD/FD0jizuMvXmvDlu5MAOb
7TxorgN6WPMXAasz7yMHlviunMlGmAzKZi3tk40N1G+pFUJYObStmp99N7ltGTl74wRdR+9UTNZE
gqlxLKYNx5YPM2/OnCc0cKy5613zYedLKHfeOEVl/YxYoNf+Ftlu2No70kcG8ydw8mD7asK5qFG4
ddD82ZgIzMOh9Ly8OMio3AaZjq4wwzU3CNjkTQe4ijfGA+3R/Hjnn6Vh1yAC/DINKXpoTmdEnKSN
KbTCn5CQnOh+M++vwz1vXxMtu2jS6gqV3nRXR9Ca9Qfu0jBi8+8s6E+0xznBb7pt5B9e5sq/2pNb
Dsmweqt/cKqp4O2vWdGaLs4YkT8yxd95YZdfC/XPNqFzFSIaUzZnxm1+lH5umucsGLmujc0aKw6T
oDojbrXipY7KOXtY7WaZrpaETr0QVMH2tGxU7Q5mXezZNC+oTZYh+lfEVR0nm1cNvKI5ZQUl4zBZ
by1ndr/n52/mfQka3eCfj7y9E9hmvmU+A50vkZtAfkJ8uf8GbzMRowUEVMbaa+TfC0Rqeg6kDe+Y
BQrgyunj5jmSZcwGsS2wg2C3NLariBPwm48CyGZ+iGkvdIowGg7Xomf18EF7vL97GSMCJ968Gemm
QwFS/Lb20+rtY8fexoT+wTzovl9NnywYPExaVcxfHy2oF3FAYmYxS+VpoSlItuFucId5S7OsyYoT
mXEFqmSh2ZfDy4Obs3e35yG3Vv/dXgN7+7JZb+3s9ExDznB00W+b6yyK4pjYxt+LE/fHaYVY8/Ig
PMfexNhPwJambt2w4CdybV4lBhkVL3oZMsGO2aKRxtxjZtf3UACJMEVIhD4PgPua1YIpkWyshgT6
qnkc/WgIHkaqXYqWYpo31MKqvdR1GZpzgMf9DL4e/BXxZhd7gA37ww3C5SXnkyV6cB00ma1tAA0a
2upZwQiE/wJm83+yjLfltNXd2u3IQWAyGNqUgucQ9d2/ACUsT37pa4b8bRexbEnYy22traq+q+qi
p9rw2vnLl7G33ewtlp9oedu/NgvbOo1lVvhJP/s+ql6OT8SCXk3XOFuitFqqouXiYJMKY0b+OFMJ
IzXxYeVJaazmKpso2Hd5uxxFFG4VWfMrYwj750Xu3Rg1REv1WayTwXOFnM5dscg8ZBTq1m/uuPT/
NQiF/0hA7s2L8cXwqS1sB08Vq5CyO6Vqi4xhbS3xIUMhV3vASSN3cTe2FCarV3Q3oYlDS7uSIcoB
z1dlPQfwHZi9TK3+IMn9cMY/4/ox2bZ+ZqK/FRLJrs5tlaHE5JWXruUMASe0F/es8Iq8mgtV2NkD
A1y8Xgm8az1+s1sqd/YFKAvFlh3Pcb3rhG6doyWV5X7YfdYPb7xV4frjf2DAtQ4sEH2IGWOrhA+u
Df8bY1n/KZ1+cHiGzFwcyOGUwR0MGVd1OeL7CuJ6CFNjOe4JQKka8VYyWJjGXj4tgTsw3FSgCuVj
7vZ+/sygKnhmBFvn/4KRnsKeq+WjJ7vxCYvp1qVOwPmAZWoeOfutubGec86uJz/b8jANw0VE+2Ar
arDTcLD88m5tpNe8177sOC7zwhKnlQYsPMURI6NDGDAeOUB4lfMut1cQlVZHeHdEPsD4hE1l65eB
v91Uwr4Zn3Mp9LtIj3u2DxC34eX54L62G8Pd7di4rfF2Nca9x3xii8Deh0riuTLt2qYFS2oZz65u
DLiSEAwf9g+FrovssxFNJe4ZCC1ZlAYyi/yEIZIZ9t4QhOIa5ZTGD+ymUue2Lz0fEVoNnEtzFY+X
KdLrqxzNwLJh4Y5FEg8tqkOPxHls9Zyfw5aT/rToeVxZxgjAh8DBOXQn9cj2c/BRu37puZWA2jtf
8+PlkkHlhzBz7+/XWPp8G8u6qN1qSn6KoCQBNZiz7iXe1vDVjoP43R14klPWudnWt95kwZ9Fl/3n
Tp76jOwl7A8bCtaSFJnc8n1jGB2nFmVZ8Nfl7LOKZI5JGXmO1kCY/dIW4/Dm4+y3Dg3ZJtm/jjIj
fDdSLE8qd5s7i1LneZTRAINSKz6vJhMajWGew8S2/GpkcBzqkad+brqhePSHrrEfFgcO9b7JJute
thAt3JydvkmWzLvQ2VVd34apQFOB/MRw1RZNsxehVZAD0ExGoJY7uffawc2de2cK8seuVUW60iUk
kmZ6SVYRxCfVwXcunTV8sD5ojJMmd4sH6RC98yg4FYudqab+N51JDgAw+FRdPUOc7lq3jWLnGBuN
GriluipSO/I3DrHOjYmF8TaXMyoqzO9AO30KtjzOP7i8+9iMo50/tUul+peIhZ7VWRXN8FP786ok
RnuMl/TiiectmErYaxfA71hQ/bdTEmbawL4wq3yhI4n7/aDc5ea7nbjmMhvOMfUCoEVsud4zRMvm
72i2xvHNNC54ZbgGbfNayszu9mW+Qew4aDBMBNdszG822xEeasfuBApDPdaHfM3a6NTJRZT3QHwV
A+JlmLJvJIVq+j3EjexfM3ZEi4RCauITMO14zRjI+gcY+Cli9LjM/OU49cNRAcoXXERoTKe4n5b1
3ED2PlezW7sH6cqs2SEN6/zRMRlSd2EBY95axDACZlqH3jzxetden40189jLOp8mXBLcfOKKwM0P
0ZUuoGLFW4VTXoxB0mVmGq4ekfntya9NYRBYJlhOZuTmOPZWe2hgfM7DylGRVPgtlpRCdbqN7Ly+
qIhInq7v86c4HPvLtLhs142tABrI0tBTCq1F7AXbTa85+lfazxabNAeVed4HFYUO0tDye+/sG2G+
K8lb9Lqaprw2mzt8jlhO8qTq2XCW0q6v+jpNcQBfwdUxpQixkH9S2051N6MOrft2sMbzSsoh3+bQ
h48i+4nCtWZvvulGln9UHMhjuE02/qTJ2+wTCL9Qh3g1IemChiI57X6mPBdmmRlznKwwR5+Fpst/
USxEmPrL6nTpXE7dGQxBPQ+95RfUm9rX8U70XF0pGNhaPC6zgULgTZxo1UL7G3SiTdupd+s9//jg
IzcMgXfnDZaMz2M7qGaHHYz9dllND/6Xp3r+zI2e9nBe2BH8IOvVXjotvb3ftO5ycPNRUhBa24MY
luhQ5VWt02WeiQSbHA6rXT/Y03EwY/+PCqveL6Je74XvtAcck/Nuo7y7n3Pmmj2eg8817iseSFkT
hGRkv/PHqX10qky2x6bU9QPSSHsqnK19GKzS23OWuWiOm14OilooqWITn4Ss9CO/5WneUxI2Epok
sKeUDhe61JP5Yc7RC54kl43iA2TV84u9sSPIj+W8A6kgzHXLZ2BVX8UQ3X0dKsaCZuW+GEcfTaRX
V1+Y/LeQ/ub+qpQzOf5xxUXkfihVlSwdqNbm3h1t8eIWQfSeQb7lKR6jbEkiC5E4xLw6Jqqt3P82
6CiT2PGyXgvRr6fGq4FgWoNA26mfsQHp6XcEqEc5v3vl/fX6OugPiKt4B5C3mzZdOqLpz7mBn2gd
N5cnOxOxR0ngklhl5/49nxhlwKYywKraGcg1tv1bxuZjXi/pW9NB4M552Ao9XfkiH2BbBJsQRGBe
8B5iaq0jVTtpVsz2yQhoo33e1FafKng5QyoTd0Vkxvycr9aWSNqvE/j4+NLXysuYKQWLfg6jjkGD
IZmvT2oVWvoGMAsXTtFn/QoWDzl8VcvPXW/6o+OKaDoidOlt33El2v/Z9vyzpQHSqU4ZTMAYrp7X
mN1En6sfmAsDq3GwDELuLeO0K2nTDneFwdjTHze7863dgDpaPCMusTdptmIaiwRxb6CwrOzYii9Z
VWQK2KehO4ohjsRdOM0opJoL+sQxCJg1dTKjwVz75ZF+3v+K5RhgOfKXYmNxtJ+/BcBtFzu0hkdB
mpe/943qnRvl5pztnB5E/t0ua4uxoG1F+3DdqJZ5aKPTwDNB3UaBXaSC9hFZzGFf2A5T16yTNgx6
9Wi6tcgY5m3OwOR7zDOIDtjaFyqVZeb/LXMsGU3fvRJTGlqXVdLx7cfYGX75fr/tOFDyV/ZHUNoS
rFdSfpcmDljRhiRVJHDaHASMEznFbUSAG+l4FF2o8suez9j5smlM9sXsC3HgqoRVyMGG0LxqKulE
rTXkyaohbK8LBWuQcptu4z1h9EN1cIBA9KMzD6ODaML6m8PPOczeG2RJO0pEA8WQ4iVxin1uqiB4
XDe84YkM5BY8xK0IzQMgX7Ge4SJ+NhfYvFXXile1vSyhGP2TzmVJ72dvq3+M+8wp/nOxHJAXaJWM
OgoE1zWx6yz6HfeRHzyyZXf0eamtwsVp1Df5LihsVtbNW1YH6cSh0KVKTthMkgH2bXjSE3cvR3/e
AGGlpDXaXTpygSBGzNkEzZlqD9j2Pp4HJYBoGWZbv/hvF/+8YTtmMa4X3beq77Oro7wm26/dlr95
c1d8YQ9j3O0XYg13SmnB+Db2/Wh+Q431u7t2DRF9GFOCbYKzDnDZ3jAepE0HnSxYplzmqjAAuxo6
nmHROP5yMe3IQzuGpX3sonD5Ly9kfCgCM8rT5NEvJCxG1YcQ6jNHnZnn29BPc3swi47Uc2fm2gJ6
KXMWRWSFVMV+ibv6r4WIP966Io/Gve/H+hiE1qqTtW8KK6l+XAbUy21+0FlZYh7BrJwGWxD9gzPz
n4dMlvdFH6KARoVLZxutJbCJMZM+KEqJLcUlY8tXdFt+9VYe2kzhiXuukrxZvOw097LNbp5l7B+3
59R5AOU2tNjVJ6Cw+92vY/nQdV2oWRIciFchWT9Kj25H1b0rcE1e1xFx4r+8DvF5ma4IX9QPxoVA
h4Z88Zlotwe3EgY5ytrMlQfJoZKuV3MaR5E9Nga08qWlYX/0uXRhCPDV7TIxbuberco6PETI3J8U
W2TquR2naJnAOZt3exKxwguoIK8j7S2M+ufST2rXCB6cfvg9xkO3Uyg//wW5rSlVyLM7WctavBfr
2L3yNiNcisw9zai8f4dSmJdtE8G9243mjy6r5kAmUnUf2mHARg2YBtQHAMNSVX8JupBd2rhCY7oW
270FmDemsxo2VL9cfbQYGmhN5RzeWpyh3BDcnY7VtTgTa0bkoTvJ33EZWMhpjXkDYtweDOrjubFC
vINtFpf7iij7O2vry5vTLHTGJrOYfoUD0Ti0Ym4IYZ7Ph8FxlyPoyPQJV2Y9rEWJwg6JeYexdIj3
GNq6f6BRdopjhmn9uFqvUbGq517L7YtU7u3ewazyuIXbpeZBOlIrDS/2MnB32aGaj8Dn+SValDr3
lgtdbdXUmMR/2XtHLH+ZS+DGGYvqHioMF5i7OSxvicVvwGFJis8W/1yMLVAO21/7s8mFfXLXTl9D
TmGAk7Z/73OgWotP5G+xlP131wSYWbbJet2ghp7JM1jv62Wbzz4QyL3nVepfrT3rzLBvPfOl6Gwo
q4trFNTxfb78EH1j5jSQhA42T0Vd3CxS7TjJIgaPTpcjhtl6j2aKCgmQLRiPbTA3cYU2iYseF0w+
B/KZTKZtAQGLrCGh9WyfXBfAUaxWt3encv1ol5aRK8OtIt7pRRWnsdgm2mIy61NV0fQtnl/uZNi6
XKk20CmLaUcybwQT7jRv2NPOyEvNMIDhkF9HawBFUFnfpHbtfI11aJ1ZUJFdsmgLf2+W7zGUi8QV
DWT6oytrBtqwq7fVCVFd5tW9R2BZz9Zi5juMMN0ui1W0zwlovMjZKndWxdpzZFGCWCN7SyYq3x/3
oXP0aF7JIt0OGKS+Qvja02Ti5UQz631Fg5zuRiP6J4aGTF+9kVqb5LrUkuHSILfYPkdeaR1hY2us
CXZ82DBhEuiZmb/GwWlWYQZ/D6ZO/clx0DwhjWN4XhEqpdUsR5a0TdyQPEbQx2reMcByx1R3oXnj
+QVaGfroV4a+Ve/cxc6/dd1Ze4QAelY065vDO4d4O2f2RFVqd9dR18JJhec7L7klhg1p3m4vOq8l
jXS1uVe6MPsiETy5bIhjBmJGtWHpAnvnmbOLt0KrKa2HOS8TVoxhkY5WKgjXjLvanYGAmKrol8ma
ZXTwa928R4HPFJYR3J5+CFYuXMbqESaMqQ6DAuusZdyeeg8NkDV9GIc4o7uEyr/e4bmb/wZdUH7g
zxgRPcKVoDG/vsq8aJ/jUQf9U+vjIigK2X6MHXtqk1iT1pIUkx/R4OCLxlHXQBS5U32TtQfCBVh2
bERVXeY2Y+zN5vsNDXDTl1L69h0ObXW00F7aPbVv/bpRFML/4XLDjGE1KIwsIhOu9N7bvv7somDA
dzzNXIRzULEVgJAUhMnAc1NnBa4+VVoB6RaziwKNa3tHVbHsAmYK4ENze/QrLb5coLzbiJdk50Yd
Ny0fa8AtstICFWgTKVVxnfKUbW82kNmcII3hvwvYCnQW9gZMPox06IXVlYcVGgJfO3pDeMEP6T31
a6CecmP0aXDaekFdLmaopsH5ZgVve8GibsPztxbcYezTgAFlDfF/A5PVPNE/1r/U8VhH6/pzfSUB
ZwrvEHcrgTWf1vAEoq6hm2CLqoRip8uSFVPaiVIwug6FyvYMg8FJlPTSliUBf/C1ISRDgk17exym
XxkeTOedKIP4aXM0oEY+lHNTJYG34gHEjDIfwnZyzq0C1cHyOR/0kuP5KoY2m9PFnsLL0OSk8vVx
320Xh2wCSrPJ6Y7TuDmk49rSPIqAor2O5bLswqAx71lQZGlbkMt6rInj+cz7YPyPokKcNC3VwYjG
3mOf6V9dEzmvxluc/2SPe0XMUca9ZJD8Vq/JPwu1uAV4j+vfF2037UmDBTNmniPqhPxD/tF8JQ42
Li3nAnGxMoecrM8pxozHgDmsfw1r65/bqbS+GDH43UnjgL7DXEZIbN2W59Ue1FXkVgfkGffDfW0t
PBvsELoVmp8tFtS2vFGMpEipLfAwjWucMP3avv2gHPc4DgTfky1eV5L3ywTJG10OeveFDLDsagOv
3HJPdkfGbRI/0qAPE+MDP7HyRRZ74vf6l6UfaNaqhlFMUXn9TZdd/6crre7RigPrJMLBvA7QX/g/
GUaZdIpnWeF1qZhUBkF8cOe6eTJm9Q4s2RYMH/r4vwB/EgEGxv6BsVkUPJFixGrUKX70VFTe15le
336QmJuLsv8rDP3loymoPvBTmX/KGYHFp4XeIaGBbS6M0HTqqXm8WPD/Tz8mQ2wvFg9FOsT2ct3G
FjPN5Jq/he15zyGo9Tnzovaxcs38x1Pe6mHeCOqe0x6pAdKXKSsxazUiAE3diAXC4SD0wzk7+Fu2
3CD5CDkkVq2rUn+sGGYDRwSQUXnU/4oWPLN7bhr9kE9z1e1H9gm+BDbXRI2/9c82+6BFW4wQfbPx
YlVfZeagMzkaSjxmdvJtQxrufTU35r+SKLLDOPlz9BAtDlzRZDXzvcrxXVzYnGS/jSNjqn0h7AEE
cJJhdS5yGJOeoXA+1btsrGBwyopovCPO66h9IWoldvajLvorpLD1y5UMoQ9x5w/FoQ9RsNMa3jE/
YCYS/2SRBf1RDzhlkiLi/iYMyW3tt9oJAueo2M3mprrhQyBQY1mMCqD+OlzZ22xll1EvWzykkmuA
3DotnEynNHzrcA9lp1kXGCvsVIyTqkXg+SlmTQ+KSfrgz5ZXMQ8As9kOaprE2Qr14H62CPLp1GTO
8swlGE6v6xrlxdn07uo/Ea1mtqQeLN5cmjnvLtT/x8vHTD+AfkXNfZtZDWluFNLVeBPjUG0s+wXG
OJDUARK+qdKPdpYcFqs/eCIYdkDoLkt0VGhLyX+a93q2d7oI7fU3cP6PXEina2E5kn1ErAkhMfcN
+XveW4eeFL+izdY9J2NT63dZMIEtrzIYPZiGblidvd0SJaiPo9H0u8iytbiSluKuKdOdATYyBspf
nreppg2qA+CXNrN9uaWV8Ed1RUaLItwmrVA5HFkIfZeIvFPmTs6x1z0bBXn3YAc28HeK3dCoRy+i
b4dyFiJ+tTtbTcm2+PN2z7RNf4k+BgZJ8MnMh75A54wTlYGzUVCHIliSGUyoP/mBs+7c0UKwb83o
vMS45q/BFuHPYEC4eVgk+vAXw8joXbcmOCIWDheP5uFJbd5T4W7VKeyYnM0q9NMhFP6fAfH7M8fB
cpkH399rP2QsIKGqkNq185s6z+LuILWmxHr56LQOhaSANhSRAkdZp6Ddi7amfnarbAYjipurLmT0
yhURH305cUuVNRexG43HEqvAB+kznB6DoOxJWsFEKSSM4+K72/YN2uCklfrBZMasc5G/g+axW6Li
0UgrZKFD3x2CBr59HKtGMEzNGn8HluQ+amPpK5PAGkT3x2+YsA5+/K2yEFSokKL48kaJHbwrt4PZ
Jr3L20C+bYMN/+8v2zuEjPoVuBZaTiM65zMevPUUeys8DoXP/Eri4YhHvlRbipyy8Wz063r7WbH7
0Xs4C1Mayvjg1ZG+K4e5efMbuX7WxBWptOCt8NDY+acMWQb3JlQgiE7bvk28cTvBkjjWatdz+IRL
1flrlSzvwW3pvxq3bK+1HVZ50sptfm813Ddmnf4o6LLvI/rW0zgASycaj8+HZC/Z87BqBf1P33zw
OQ7o6jCIs5e3KF5tq88/u2J1qNrH2d/VDqtom9hzXqQ9LtZ+i8itVLmFAafzhoe6rDlsNOkGv/2t
wntTBiZ/GaJxuACGm93SbcE/17KZHDA6i1LuD3DtYfQuK8LadXRc98Pzm+2xCyGUbWxD98oVrgO/
PmVAK/gznnKFQRU/ZLWfA1URu+LmjzHf4m0MzfiN9xLHpUcOhtIYWrGdRnAMU57fBZLIuMQrrO2D
UYO6TYy6GAN38468i+ptwjDxK1+cYEd6oT4Eed5iMIe0tRMVCaX2jeUG7Q4r6Hgryb8JbvgR2C/D
oI2x/LO7Tu5ntdqihzYAG9phnVf2QVu9SZ16c17bGj1w5TnZDnboyeU3CmrgnFyAJHkgXGL6YLz3
gfEO5tPDdjgkrMHDqiXCItrVXR8se5vWsLrZkxT5tfhpUdKsGobdqKvOpEsmGQF1RSsPnQdhfpyN
Wo8EQjOFnslH/IEk4vgziHKrOFjximmjd/Xyo/v6vTk59jKC+5F+cpPEFZ78rogOvQ2qeMmsCesz
mNUzMTxYeLQnKQDisFzMZeo77xCPNHlLaSnkMWZcNBjTzBE9U1fNEclH7dTWJ7X+cJQ/8RsH1TYB
k6/Yr+eUc23eLegPJzmuy59S4zfZxAQnhSLnOTzUMaO2gWgN1jIs7P60+gHe1KvWPxAtxFa5zIMo
KKCNfiJ1qyF1qM2AzMNaY2TNCkXkiaocprAd9GNLTWQtihhWgoLMaZALNDGt0oXvCw500T8mCxsL
M1NSuc/CrDkH4MQXopPWO6/AF7sV0JajvXEfuDQIPGGyZ0E8HBCMcxZv4i9A4DriQZ2GXwvjzX8N
19Gfgg0e+9b12gdl4uFd0f7uN73qlDFzd+zsEDdnXUmr2+kmt14qEcv/dOu2e1B7FMjFUn3qhgzh
QxP9rJFgMOTjhM0G5Ear+9eSi/LLZCFquJiCgbLEAD5nApS8Lhy1L6IF2CtzLXin4GNkESdibOTc
yDSswdErcRwRSA7cR9njGGr9K+79Dr2mqn4xjo1e5xZnGehI2baHZeT3ByCCtFZCBjxLstV403Ft
/bfSvBys0Yfgw6n714jaQKhFvUxDgEk6Q4c5MlA5ylSn8ipdqsW62AjPO7XalMCwGA4rwl1WLbOo
Xu0iF+b2aHtAXGdkScwv7uZZJXP0HnULtUHZuyUEZTsvjmpPJME2T17J9IhsryqlE8CXEkvQw83K
qW5nQqy+ZuNCT8WgIyU7eE/V5JJNY1BDHric9Tt7LtSzNRDhgN+Q5q1zJLay2Ku2I7mdsXOgLTL5
ua46UfBkK+fKRPaHDkG1uRfce29kV0zqIOexmNA8g/bDXiPzU2saEhdNrtz+CeAluhdxOVVvuZw8
cnK8KlVN752U58vwt9+PpuXcwUiXlmUvTybAtU4bSqLBKlhcUZt+3p4rYOZwV7S2a3aesdV4Eh1Y
JFSeEzGmLezJR7VoxtdGz1V7mH5CfI7TYMjKI8UuzI+B3S2GHiRo2l9sGFiqdCxz9QO6xVX+t1mz
kie5GxT6ZEgSVvayaKJT7FRrWdIYeF1LD63jrfVJZmLk+ncpq6H9ntoQVAaFrG7O+uerX4ZI29aJ
8YXV7rBJbExGo0hhjZoIhVH3QRw47icRAGHIqxd2Qj7HnV34Reozh1gujb+u4ZE9w3HL8lV+I2nB
NRukxeSEP8tx1lCdyPDonpEn42clneV1WuXm7lWoIdgocrf2ak3tvN4xiKyeOrZEvpsl0E3KYvi1
PHhBu2aHhvSnUy99eVd2NaIGszRUTHJdnMvGq5kW9RC9lZPCxuXTBf4t2WieXbyekv13RcpWgN2I
LF/gV62/NGLIwOKhdfzCQUEu4TLTt90JFWfhERVHZPsB/vua1075teHwe/Es7b9PNBRQJzBkOBNE
UfqXmaQSnSjiYcgVo32MXpDk1uGlyvoUwooZbsthJKP4LiOwYx9VM5bRCK/Ttie4EIsMzNb03KOJ
HNzJ2DdN0scVdV6AV4EOTUcciXGeNMwvf0EFVVwDdZ5RlxTrt0R0PjLzEGXazmI+V5kj5mRdCcoj
saH8NwfMO1HJovULaad6IaZhfYgZ+9e7QTB944f15U67vThljld3CVq5fJtJ9zsuYRHctRl5LA1L
Nb9niYpzzJ115Zi20LRbvt4tnqLQPTZmGm8OtPy2/x91Z7YcN7Jl2V8py3dkwQE43NFWeR9iJIOz
SEqUXmCURGGeZ/xRf0f/WC9IebvEkFJs8a3Mrl0zJaUAA3B3uJ+z99qji/Qs9qwm3oY+RzT65jHG
cA8fRe5l9k6jJZcHJF78XVajwtxAC1UlOhPEHys9GzGqNwrUe7vN5aarMEYAeWLzytS2QeqUGUuU
V42YXVoabh/DGQPaCjzBuK8rZdJ1nqfTMaGlR68goHrJ0X0Ft7t/rFQ5gKpIWm847bxJ7WqObztZ
x/kVekJAVsjE0kMRkxVFh3y4TLOkOri+H17mRewjSGvte5UZIjnEaQYboaPHd6nbytvbsQcQzJB3
wiymU8d3JO1tP/EOCTsTUEzTcKLisXGv88r3mgua/Wxk4ITEyio21TTCZvOMUJFfNGNYqkr/Gqfd
fDE1TMy208WuaUQGag/hDyij7IDv2+F8l+PQCKE0XUR0U+mAt674AHifvbEfhdmTHy7+t3CsPwRO
m669hQi1zqtUveccILa0geYNJI7mimrShAJN+GawFkbbiW1gx5Q0iRJLzgekuPvCAsdoVrJ5GCFE
mKcxL1P2kl256UohT5yhq0vsGWmrN4VKDGhGqbvF/vQulbi5XVG9y6xSXArIabB/5mGfe7O86yKz
+UTEen1du3CSmBvFrTPP9m0YgtbjtWlSqiPXSUWrimLpXllJzO+ZImuhUalriQA9+wQTZDqzm3HY
SsFRZ8VkEqyqk21RXzN9kHsTlJtL1LC9WiPC1oesr0a6GLBF2frpsb7zrDHbsR2i1FAmQ/OxgO11
PrkLyKkdplsp4ECvm5I3Wq/aft8kc3najI53Oxu5ewU1Rt5yoDfO6Sk6ZwLbD4V0HnR+MFvKuxWF
oGQPckSZED6T9CzHhSLWY65UdO6kaflY1bU4cRCOceQMRrpI8Lz2GFd58081zm8ilbvVHLXDSRi0
/pnO/WGjWfQ+SQIF7rSbj5REcvAfNv3CDaGy7TrMet7Iw4R9OY69E4v0M+yDfopjCtr9+0ZWWFwq
3HYrifB+T5OB2eebqpy2DrWd4EQXSXWnaiu5NyEZrHB9GjvLKPG8NsAaNjWisnLVN310WjTY6ufc
bN7AFJXnWnxVFA1Whc/dYKVE2GBxrm3N/DLWdotCU1Iy82c8F2HcA6UiiAYRtuO3Z2OM/CQvbe+Q
wi66r6my1yuL9vVVULrifOzU8NBU5udptqMH4YrwjWrD5Mp1w2oTWJz9zKRLT5DxuBeIDZodGXMu
XHHtlyclDZE9LTT2rQALl3WLviZK4eCDH0LN27acq8G7xriQkKEufVMmJTqN96aY5Luh6YydMTrx
BeUFqAKiS7fKRqccFLqHaghO7DMvXvXJNXDdTIzUK4oaAj+U7IbL0Kinx84Yg7NubuMtVBWBUayg
qFGdwDZO2GVmEXhh5zS14LVNO488kRgiSUSQwMc4LqzyPOZlFWLdG2TVEOyEHyVdQdjLBmtVG0r6
l2aYFNQPUrKkujcokiMnXsMOymgScOxhOWQ6ezpDGA1aj9mFfC675hQ1S6BHftjiMuX0PDeX9IiS
lJXA4lRwxfsVFMCqcFMEyRdoUYjS3c3weAJ2v9DZd3pGGvrGQI9ZPP0aMPwP/GLXgwL9XdpYGwwo
1hTZ3JZvXXrojyvgD6/76COQNNCTTA1TaR24Oe+rZjzktfkCcv2ffmv7+W/NIU2oNM3FAT8x/sl9
k7avi7Cy3KN8AEMg5UqSWh4ocdw0zuyuGnMoXwk2P8oEDQyfQmGdWIeg6a44677jPfcCHf6fbskR
JnryURGiYbUOnH0gGwS3RoI74lVP8jje3h1MhFUWnqIi8z867fRBMdRf+dlHaH5acojCbNVREoFw
ZRfiNDJeGdTyQ6a9jYfZokV0CDGgbOzIsuE16fp1D1Me4fjxmuhYmnBD2CriCEx2KAVfF4EhFxb4
d7Myq0ooJpEsOVrD1nuw4+mFu718wE/g7vJoTtaiMEMzVuXBRahkUHEi8JptYLuLoC2/MpRIHs1O
R1GXRNLHRUTyxS6zK4zzm9eNxKPZOSadjhuRl4fU0x+SurhGEPnldR99PDcru00y6iQH3qlXJke4
on9dNJY8mppj1dV0X6PpYJLaoMdrOSWvS2E4DrXvIKWCFQimQ0AA6MYRSxSRFwyvG+DHufaqFGZF
nXxk2mv7CmlRdYo8uXvdo3SOYoLCBiF+o7vh4A79WSOCvVnEN696lM7RzORJzlWNAvSQs9cg6+x9
o9pX3vGjmaltaJmtaPqD3yTVFlWa3Kpqsl55x4+mZ9QL0BAo3Q5iiv3LeuToSsZD9Lq3pnM0LxNI
J5W0EXY3C1Sh7Nwn35ev/M2PJmZM1aMeavDKMkQm4xkFZ4PMSV5Ytpbv/5Nlyzmam7WRlWwm5xYE
q2pxL1Cu9UPxykd6ND2114QJiN+MsCSFsyU4r53i8VUD8Tjj3gganfRBXR3QHOFHSRO1qgT0u9d9
+tGr0wlGCa8dzD8LOEQVI7iPx3h43SvIPpqexM7Olky68uALsXg3FZvZBO7Y6371oxmqBbqrWRXF
IchnDVWmv6RhVaxf9+FHczQHGBYLzssHnFPJCozOTuAIf+WHH03RLm2irOt5uUVmegcKiVNk3r2U
dS2/Jrj/ZKTbR3MUv6NpT7HkxmAov7OMeF843Vta7uAFS0JJhTCKRd2vTks1H8aCBkSTz+dSe9m8
A74SvMX9m5zGkraZ8huPs85SK+egg6ah+SxH5GDoHbslnqFeowu58eshXAM0QXplYMSuJwS8HZJc
OVnyUE1kIQz9JzVSS8Dqu+Lsr6+H3EuuUhOpLzLP8RLrUnRQkNdWYWicpp1zG9XeVUycWzf078Yp
pFA1J4hQOerNOZctVW4MdzrPk13rmsEWDZq3S2pvKQuXNwlerG0adALxfNifCtS0Ej0PQQPT2Tiq
YDdzzmvuScs4sdN6KFZ4II3P8LIVESayRy4Eurp30KOLwd6XCFLOsW0XVJxiqMthdOVVvn8FPHZr
Bk3/Pp4s7MCtu5lIUt5ifjkTun6Y0TacOl16ZeR9s6Ncb3A+L8bH0WNn4JpnGVWGyvRLdSIM6FUY
kKkP6WjBYivRQ0EZe9TKRjMiOsxRa2Fsz3GzOass9M+joEPdXJyJMj3l4Jrfjtr399KAFO/i+biE
84cPdEIP24PPdKzrXtrXvZbDjkNghsNajVgfW29c57SjtrR/urUbe+m7OEKDGLXGXqCnuk6gwQEs
vCw9mMNZEd/PaabX7M7yaUcz+AS4z11pTAPVEfzG7Dc3XqqTaQOM/NrBsrZGQQ0ZrB6nEyAb5D4k
oT4HYTogyZnODYzJGEXlWgS+v9Y8/cqwpaIP6457HwzviWsLHDm52iFWbN5SUkS709MRJSCjExj8
qHPfAW6OMPtCqltDATJ37kBjcY0NHeOma9Vn2m7USCfbqcCR09NubZILympqz32vvSwYjAvJeas9
mJZ7XbPLAjo1yHXWTyfUmM6HIL8f2mkvEt3l24Jei+t4bvqmQdZyPknzIgbbum1Aa69D5eHvE3Bm
e6DMZ1gB23VbmfcC+dTOBBnPQIspuUudJQcaT3qvMKG4Glu8E+xJl9jTu11EEJobWnZfPFrZm0wB
L1DUoE47/IObii7nKnB1RvzLDES7M59mZ75pWzLarr1ANTD/mxoQlxjP6fdOwM9zpjDtVQvJ2UpM
48VEciDgoKmaMRPTKqPZ2Pb2IRhT+eB0HZbhWpu3MFzcczkU9DsBPWfvBtBI3ARnWNP99KZbSE8X
krqGde8XHakgxWliu+Z5BP+Yok9j7jrLu66MmGbLEJ/Dv9vA/Dp1bUQw3tjvmkWYgRdUbCtZrzon
iXkE07TXUQBMCrgHcBHG9HrxwWEYG28SsFm7bIgObWKfUWL/qIJeX4rYAnXW1szsaS7nhzlKUxgi
UST35GRY62IgXb6vwkNm2u4XokAmeCzwoIlk8XBbuFJF867qI/tcWjT5N1Y3mjvg5hcy8iy9AdSP
inPu1RYJkm9s8qlcdlYfwpAEGJBA6VrS3H8Sfm7EwI2qt1FkJieiyWkRYo4+72f/bRq5i5ly7rMr
h9LPzsqKA4IV5gakaq9b6liFg8QWh8kKyBTLjO+cYMl5xE0s3noGhzj8HcQn0ySvNgZ0PwSzaM35
c29eSagw23GYDEQr5aIEVLVhbDXWsfsQa+FWN7Xa6KQGLKWCmmcR4kSdIjM/b6b0ChWaf0HGyZXB
El7mFAFt28DJgOCM4J0BHh/LgYC3/1645Ume1CcMMOMqwN+281UIIdynFzAiaizqDCmNrEDO4Ypl
OvvV/LnMUREmjZ3cona0kN4OwQP1KfBh7hgZ6zrvjAuzQCe8HrqWbnrqFd0nA+lIDYMqr+78untC
5mmcQYpEWTzxLOmPdIfAAOA48Ug3VavmN+wq5h1CjnLeIJhH4Ugr7FPv1Byoe5f0QgO7lpnhl5uc
9IOY2okA4D7BalpaW29GCRJ6dU6+QX3dDthWk5ZgSttpA1RZ9cijcQrXA6TvfaCuGJyYbRW9S027
LQ694fTTukWveh4PvafWtte+rxtU0zbY/UOfDYhPk0ZP9Gnc9rED17POvXZGxOTIO8z76Kla7Lo0
lrMNMCD8lxC98UoBbBJCw6YBgnbiIe3Yz0kRnPfpcNpLUR9wzYeQCCrnOlFmtrFdyseGZ542JEZt
bQl6fT1lwTWFR+K8Zqcb0CvFdrhzScjpC89VZwaM/eqDIsdnnYx1sJelAn7n1Xd9mIp3Js8UFWyG
NxF4S+GUsryHdDZ3G0330t7o2FIPae/RQqtMU19W2XwCvXw6cSRKuZGwlH0V0xsAoJ48BkmI0gMq
ak5r1P4ChEa/KWraom0afbZNenBoUEXx0E25eVb2XvDQ1222rXDDb1JWZKgsRajiFZuadB1GXYtJ
KoISE6eivzI6NAOdn8FyU6226SVZd/gZxWmAtvbLREzWvarK6cqIM3q1uczQzzuj2HoWlk07a+kp
gca8itt+vnbMmZMH/S5WtADAaIroZFc2qYrJfEHtRNPWGqt1ZqY176zCxrngCRwlWZk3Z0E4Ancj
xqy7GbAI3xUUy8/x++T3WAu7bSvt4C0i7pIdQlcO7Y4MrekEddFYHBJBZpYp7FCSzdbQj+vCnEUo
TovVUHJ6NmYHu5MTGkgOvG3kVyRPuJO9GQrnYgArTbsdE08ypPdO4w8Ee/g3NFQMgdWvTvcWr1I2
dpCd7I4roENC4BZV9z47sTXKy/x6CmKeXKaMbwmy//lp/F/BU3H9bbfZ/Ou/+POnAhkLJqT26I//
2j8Vl4/ZU/Nfy7/6f3/r+b/5112R8b/jv/LsX/C5f19389g+PvvDNqf1O910T/X05qnp0vbrp/Mb
Ln/z//eH//H09VPupvLprz9woeTt8mlBVOR//P2j089//SGWVPL//P7z//7h8h3/+uPN//nfHU2O
H//J02PT/vWHlH9q3INKYfb0PEcsp9Dh6e+fWALDu+uZpms7yuU4QxhDG/71h2GZf2ollAbkhGPE
9JZ40Kbovv1M/GlrTM2mjQnN0S67/X//cs8ez38/rv/Iu+y6iPK2+euPr0ey/z4zaItfyTXZQHi2
Y1rK/hrI/F3V0NJz68aNX29ylYTGJfTpoWB5zxtjA5DWVTvyQIA0OlkW+/idEa+TBzgZw5moHTRo
Y+4u7Abfi+e90RcsIf5MlMmpGC1jWON6j9ODEkZJYFCLhY/VcpjfwLBO1aaxTXCUsg6ta/ptyHbA
OeXpykFG1MDfUPXnwIFvvgZ+Yb8BdozFw4aaUq/JaoK2HA1dQ0tusHkB2uVD07nFp8CI1Ecnr4vP
Xx/pb43qq/Ipv23rp6f24rH8HzBuraVw8M/j9u4xnx/ziJrEt1mwDPWv/+TbuHXMPx1HonJzHbqo
NKMYnd/GreX9aVtLAI4m4IrRu2Sw/3vcmn962hX8N89myDvCXJLI/z1whfhToUFxPOlYlo0JRP/O
wH1e1dECG4nLeHWBDYFqcY7ro7CdrQBJ+NISRXwKX7cqdhHy/+CFfNHl3P/d/OA6eKddvILKZI8v
1VEVafLcabFbwGyLS3hCsT10n2iBF+8s5Q6/VZNZvpOC84VD3rVcCt7e0Tk+sWqcDgVtvnCyIAOW
FTA3v0tfqCgvZZLjb6RMNJ+eooTgiaOqW9jYHol0NJOjybBukIPnpB7RH71K9ByWK92wu/huZP29
6Hy/yPxwDz1L8FbUy2BxOEUeXTGx2N5VNblVsYOia5VG0bgJ7ZhUjQjP2Qu9rJcudnQT8W/hSLWx
QlbsphZMTWHfJ4ENtqgag2r362/2wyj0LMti/EkWaQ1QhOH+fc8lbE2TZAg22nZZGTcxNYql/1u/
cJWffCXLxqOgNMu9KfXy8+/WaFhEkBJCJJW6nOKzJLLbPerHGUG/5fxWhYohyBeyl2sRrcrG7Tgm
WESccKaRUJQQ6xhcIE7FTOjfC+39dhVHaJPFgkXeOY6nRW8g02maSA0tHbGnP5OuBelgL1Qhv9a9
no10vgwkGt6/nvJc9zjd3DJUpkxa5Rz/Ql1u6gaHlOYmlmG7B4HZgYWZ2765KHtZPSKKjoGsdnkl
9mNFxCpC/6yu7ygVzMU6X3zChAt0hG1FsB44UQsS30Trd2JFiFKAL2dsXblHrI+PndVosbMqLNI4
80XwBX+0jX/KntnPyj72Hl0snROVLRukLFvU5g35gxXoeFh/epN3hXofoPTtXiidLuPx+I4wUE0e
sGDtPA7JZjUImpANOkbBRGPlmwCRe+gcbtiYJG/cHuxqirxoB2EdkRqYWe/qtyeMrQjbcdi+yGWA
PR/KbdO7Wgx4xEbwC/BzahKC7cF4YRT/ZMLYSpjYzCyE9NbxEofjz+hxZCeLSGRaW70lz+wW66FJ
nenTr7/QD6spS5opTaH4WpbnHvdHYle2kZQh+xYSNj6rEarzKpc2HE44IdFtjnVc/lbP4evscUAi
SZsdoLApjz2/h0Y5RmD6uKTAQkYdhdJKFOnphdfE8dJmmYowFYtIbrnsXM2jq0R2DmlGIFOuOeUl
m05G1CVrNcBX/vUd/PFCmkckzeWFZC3D4vnXqRO3QayGZjJGfXag6gqiwmnG29+/yrcNg2aTK4/b
e8UIHSs00HprD1tIh1NvY+s+emHg/eS7WEQGLltzG229edQWygYqgbnVof+EGHVWECaKshNi86+/
y3Lrv5/FljCXrG/stFKzEzvu9Mfg26ogoojnNXN5E+Fp2RidNX0W2WeLTL8xD1/qLUr3h2/Ge0Gb
bLa+XtZl8/bsHYTrJJCD28B4zmoDrZ2J/Jws6dzotroUEeLAznPfYX4BGm2hqbfWrDQtCAppVRyR
y84hnSC10pOQ11e37U2AmxuI+Bp2RV112ZZ4uAFYCoQsvPFdNn2Em4KDS2RWneHMq5MvczVgO+rd
tkZCVzh1vHNtYssRgbVNvUGIHaQHSUoCmNISAwFFdFoV0KMt44pQ2xxp5aycFvOFTVChNzofgoYH
tOumEKtIGviwsEARDCe1ldM6KNo6G9ZIqyHSpEPVPE1iUacag+USgjoM6N6mknBGeAH9QOmSlyb5
hj7eCSKo0vAhhSI5b4VX4md3dAVFCbxx3W1B6WbjKqb6gVnXgtEH4s5Gsjp3weCtU1z36kM6EmwE
FF2X5i7rR0kM4RyGuy4CUH6hZ4dDTjkZ1b1ndhr7RDsQ0Lzyi5zm2LoWebyk2eRuNx9Mb/GoVyhO
1DsrDN2Q3xC2Le+9PILQQCwscaGY8jAGpeNwN/MiQh6euUNE8OE0+CAShlw31EhxoWx8kjti3Mbg
PgHoQ26k4ZADQ2IQpBsCUN2PLY3c4S1OAP9RFRQAKXEytVe21FAaUtf4PCbIzVddllV3fYfg72MJ
2/TOYUtCr6nB4H1S4LS7DbTsg9OS6D4ML5jn521teBUhjzofIfCDi3po3Sb8YExkna5L0j7fV6SH
QnZqWtXQYkLsTinQWmz9Va7wkBlWNuC8E2Ogdy6y4jBcQySt7AP+7T7e4bzsP7TkE5folDKwQUbv
gAOPU44G+IBKe6Ikjaxyhdsc6JbRBPCjM1R25DbGA30OJ6x6a+WZhvpgFIKAx9yN5x5SJe3cjZfg
vgWJh94+j4GpfXYiw5rOGjz4ximCYTJmKzpjhHl4ZpvuSAaf6ZdpEb+jtSfMT2Q1p+39VBdNc9JV
IiUrCjE9gFTyGR+CMffJrYIzd5sZ4MxPqVhzY3Og1JB9Jz9xoMP20B+lOSRgnanshyu6b6X64gI/
IBuksZ34E4Tz0bjsC5Q+qCXxKh20x/H9vKI9QBhn6PblRwhvGRLYvO5mklR7N5xPJDMe8phZRmQL
BWRxQG2dR1TSrojKm4lEGEwwORb71eDSHFz1MsSulIjUpfLZOSTahVXnNMiBs4quSeAg2U/LLD+j
YwAFtfTI+SKgB4fqqu4D9sBUJvHnuZyjmoswipIs3xLGMwTOviEH0ZWbhgMtyQvkXJuMca8n9WMb
FRI5EXc6SQ6eg4eftCdFRF1AXM4HXPXWaRarsbtmyQmbHYktIgQ+joGxhScQ+7JGDYL8uH2qI4TU
CZ4pSWlSoaX3SGQ+CdHBzsnbWCeCkKNhjK56annFSqBpnQtyKkQcBN6WRJJqGCi116Foz2bS7EbE
0nP66HNbNTlTNbDZsrS8uyVXV6+CqCMRYpja6i0uwQU5lY0Bpb/CTvNdgZlLrAbHrclTzByAIQ7H
BDzwBEyANsdHo1deWKuZoBrDJJQs4bhwYrQeTCkSPd3u8zDXuDds+FbNWZtEVkgpOrLN/QSdwr9w
AvapW/iYEx7lCu7GJiLZOVzpPobpMbqGGW1xvBHePRa8sqU9SHp8bSDL00g3Kl9D5iiztTXY3nUK
ORmzZSv47WN2LRDKsGfftqPUwxvTDTjGVIUPjcOVPu0wXB4EU04lsKW1W5bmDdbmmdw0AspLJkoZ
XBN+kF1xIsdRIns/uuUz3HE10MmZN3RHmuSswBLBqWJqIOdq2x30eog1cewzxrN8JzAu33KnLJrT
xpA9FFOg/LVARPvUVhVy9nywJCdVAHDRmkUnj/CoaP+joRVxMCUnCXtlx8o11mVvlB8Nq6NY3cZh
cmdDle4WPndlnraEQyyVfqO/MAZ8tfsWbxAmtUD7y2TJvHSnWFXetqol7c3Eh3k30vrMN7hvwAjW
FahJBPGuA6gbT/cjjqEWnbZpReY6NKziA55OUQAGFgAsqwj2hdVwElopo2O1VkLMbw3FbhzTCiZs
nKTtAMBC4f8FpQ+wPlbw4OrO7Ah2tRBVr0MC0d1VUcLPXY81QTwru5XBfUeFmu5oPtQk3IyFEz5F
dFPqe35NWZzWGfl7DCAjlg8zmQblWUs0bXcWAQ0s12R4Vem2A2IDKDG3IMA6/DPMnU2lylPRECC5
rms9DxvPxf+y7rF+Ug6vTCu47UZHhls7C3ROO9SiMCl9ArkumsRQzSbqXVuvC230DQM0sYoDbuxC
0eKpuoR2T0UqvEdFxdzNYeTPp1NMe+A8Two7PsNZKuihWSTNbQsfMPcHSRijY0LzAIwIcYN38k55
1RS97UynwmfUWvz/QFaQf1lmY5vDoEvQJp8DeqtG3uH52OgbOLpl/dEPC7f+MmDLbveEX8vsJODt
MK4KFuboZG7EBJuXNEqMr6wt4oTaVXhfYxiqeKouUvO50T524AiKPZR4fHbY7SdwcZAogeGBgUT5
TlM4S+Em1rLB7VLyNlIALIiPgCvnE/xCoNC6Ze9k30Wm3dlra8QNtspTzv4nOfgwYKeQgKiuWrKz
TtGfa+6ukQz9pgqHYa8LmzU0qjgNEohDP2vDIblgDxMVAcQjj3LzEm2afJlgDM9QWgmvWFXU/y7r
CMzAtmfbghNk5r2175IijtbxqIovE8usxloYBvdUhWvGJCsFfglb1e6OuZ9A3TPhjWx403kXAcBk
HOsUiqr1IGigbcgUie9DE40GnotG4hFNgYVsSbtd7m9agVDPACeTBA8UhO4RhIYd74YZZFxkyL1T
t9W5jaKagmEIVJOEnXGpH0t7etthxr5C76/djQWf4QuZgCEpXdWcFltwHoQl9r7lEyLvUzQYvwBm
lu99DDD93RiOo7HH7YNx1wj1NK3AfWF3Htj6vbOJmv4UEc+enydlxyo/40tjWbNtoDugNjprjXEj
2RcABEgNXlLB1p4UOllL4AzDuisb7z6u05AmlhcSS9WMkfkQd8rw1oDpaEd7I2SKnZF3ODV9v7Bv
qdXb9WkACB/Dfk0lfZMufhZgMpCWV00/S7lqG4UbsgCFyoWKUN6lblx8dJQ/xPsKriEVJlZUUh6S
uXXwNC2mCcvTo75ROXUdzN19oy5lHvMOxJydbu0O4zqZPFZ1mKMx7FYFsuw7ty3wyYdzkj/2rcI+
bLQj5ClexDVsB6sCcYlNh2JdDScc2QuJuhFbhMr+DMcPKgNMcCdfiTAT9qqBQfcA5hDyNyAbHMs4
DD1IFERtJyvhzrgGhRnyKuL4T0IAGUXNTWczyCFDdZO5hi4k4g0OGCRDPWPSWkm3cd6WpCh4YF7j
9KznbKPJocbYjNulB4SHi3+6+fXhzT6uGHCQIi2Lw6HruqaS+uiMaEo2p2Jus5XRsumBfR9H9KVb
3wccT/6tu4vC1vD2U+k780YR4wU8KZmn61m0I3t5BMzJbqIjNcFHSme5xxROI8Zxy7a4Tk0QTG8c
XD8AFjixzTvM6rF1CvPMet8W6JK288hqeMNRO8CQSIw1LrLCdd8TNBeqOzEr+1SC/kJAAATpLdbA
8W0809+5mtJImEtSTuCCiPIND+aS44Khq4euf//re/TjLZKWdqXHy4qyCq2u54dNKBylH+SgSXQu
xL3hzj5psrEF/IKEhPvUmbq7X1/wuGBEnRBqiE0BXpuuBePk+QV7EA9mMrmwUFCofZqNxfFK+S9c
FTNAwd++lkPNiA6JQ4+PrLDn10pcu29TB1CNrFGMV1Wud2TVBaezm+TbX1/qx0O7JLZ3KYIS6K3p
7z2/lJcTsSXJqAd8XT54UTJdTABnX7h3P17EBZf0tU+0dH3U8vPvqtNx5QE67On8gdWIv2D6CK/r
rBxOf/erMFnImADcAnZFHddvMl1ztOGQQ/Jz2p8QhxrhHcyz/a+vIn4cCMvnU1Kh+UrnVR0NBOIN
Ek82eCWXh1RsGwrIZGAYZMiu3aaWxhqEYc6mLI0d1SNpAY54G3OWm7ec2dsCoAH84XNeTZV7OnUC
WGMoYJSsfQzM3ubXv+zPbrwWrqYISE9N2Ec33vZKA0vTcuNV+8YuhXHaGIV6oZ3y04tYSuDPp7FH
UfD50xV0fK22nChnNpxD2NiWtd5MZYnA5dff5oc7b1OQZpjSZaPjhtLq+YWSXMGTbINqZbgtyStD
iEs2AsoLVneoXhLi/ngxuptLr23pQZjWcUcqnDsqV3KuYa3NNZnoRoPETb8FLGC+8JB+qNWxgDmK
Up3pWLZJxfv517KcWpGPNXUrRi+EmKkYTnmdxVdRWAQXPlmeK7RE5u/O+2XVtEyXMvvSw5FH9zLQ
dWc1mu5BhAZ+46CSJq2P4fz1if1WV/wi+kTVofjSHnfEn0k//sf1zgUv5X/und8+5U/BY/qsdb78
i2+tc4NGt42ogh6qZJRJuSg7vvXODaH+pMytHRQXxLebtmTx/7t5Ltw/kYJQOFYuvcSv7fF/t86F
9ScdE89CnkihHDn3b0k+no9ISc/cQT1Cj9mh8YYk5ej9U/jAmKbMv3FB8z3QpEjvyS8YCEwbu8he
O60ePxZkXb+wsj5fR75dFe2uLSggewhejtYRVKMT7XnvBuQbQbeBrN5wmlQvdPx+epFloWL40+DS
R1+NJLBKB62+Qe7pPEyqbu6SoBpfWqmWKfvf5fdvX4W+ITV4k8uYizjn+xceIMSq7hx9g2YvReFI
zerG0VG/DbzBPDFz9eG7sXX97YP/uXv+9+Wo+DNkFoGOddRjJuwV1ECnbkQiqjNztG+DARN30+nh
hRX4Z3ePrtm/L/TVXvDdi9zNPasDa3ADt1FsCIzGwVEbyQu7n5+NPmU79C9oL4kfdj8u6vmMQvRN
5mvvDX8Jb/Y4zPMhRVy+m7w4TdeOS2L3r++h+OkzU8gQmJGUBY4X/DSeoylM9U3D0WgzODWg0ap1
nA2BrjbeAC+57QBtcGhI1TsivziMUnb4GJEvRZ6y340g0mfnLKYOTop9KvxNmmccVX79W/703mh0
H9A6aCgev2u7uu4qL1Y3BZx24CEJHGnNPgP1oY6+WPbsXZeouH7rBf91eGnTtBhaqHW8H8QZ00yW
YzFaN3Y9lGclpclNpM3ht5qJf1+EMw/8O9ZE5R2paGqjJu2yM2+8rE/WLRvfr8CT/a9vH6fgH2Ym
e2ouwdILkoRj1vOZWYZBjMiU0BXk23JbSzk8eLFOC1JJMl3wxTw4deQmK4BZlujirchniFhOZYvu
ZDLN6gviCz/YzFlO/6hRDng9fCux2tdzo8gQrDFiuNWsPYSYI3ykhd//BjoA4FU60f71HBPdtAJf
hszX86LyXrlZeV8vHRVC0qr6S9g3kL1koCGFSMMGxx/M9ERWgBvsd2Nfg1GB1hvfkTLNw88ccUrq
EEiGwOwAr5sReRIb1EPztmmrXKDbAWMYGIN9U2IHsWDbRsmjFHE0rh01448oKMnskZjb9/5AlBMU
Yc9+U9sVNOcGjAMHb6hPN7HBFNwn/AfCFYcamhN2iOGDK9CbrJCLmkshpMzqdUUUEeLgKeKvkGjT
Pjl0jzjJi9b4FOAl/1LHsXMKXkvFGzlI2eMEMcJb7qN3SgWKOCUxZ56DHaIBJ1cVRXYKc7O9M+3E
incBCUinuBPQA5DKDlqzkWEVEL5RkCufF6KHruA2CaUZO5vInKRdsI0qSvjn1hDZ2ChYwgjoDiVw
5oBAxycstBPWBtaEE88FaHbwO2fQu5He6geaJtG4yrxxJt8EF4oLLAo60YrTr3drR5JYqyyoLouM
K6zjRKV3tG48QAva0Pe8VAi0GXtKarp0h/fElXbnoDY18nRYztdz38izyvSCx9BTGTrmOMzF3q3H
5AEWUh7vgBeBaWucsTunWt4nWwsAOVLnuRygdZnwqBE3e6ClyZAvN3FoOj1pDK5h7JSuK7GR5P0+
RqJHWAnNqzFWYh7Kj1njcyqBSlxAcvm/7J3JjuRGuqVfpdB7qjkPyybpY7jHPGTGhojIzCBpnIw0
zk/fn0tV9yqzspTQooFeXBRKECClPIJO0szOf8757F6gUc5UxoGcsqZwFR4E4mUt0i/OOKP82rX0
iojqzOWLPrUDiHuIBRuq+M0XTw74t9eMbCDDeD9ZKdqerDYGpZFc05Rpgp1kxMYIjLgIVSeFPz30
edGfCDNYHxyx3eWWou3pykyL6boRVmsw7TEX6g/r6tLktWTrFAIIgQVNdWWBUFqC3wWBmxikWZyV
2unAnmwgdj3Y53CslmaO1n7Q72lyrnnEdGSHiMkr/dcjjbJDuKQzPItUz7yPya+hFrej7zKouwAL
KDTRc9aVC2O9pBNdbBJrmL/ks2E/wQxUrxMG/wdvurD0RuEuwDNQxt6mdsFf7VXOXWGt+TtxVZCT
uR0wbRZBUxyambv5EFTZfN3OPHq7nPDDYagAvUb8rjAnzYkvCNBT9a7rSfr5Uk38UlNRQwyFYfRx
NKu2iIFhBK9BaSVOSEn8peIm6Ksuttdh+ZzUPbZ/yuSLlF1TUBSxp+n6GRW8e81hLxhRPVfi28LX
gBUSiu6jYYrmi1toyWe/ZuwcNpOZvkpl2M+zxeiMLmjqlESdjnqoBwUmXWRdDtMmAAwroqR/vvWB
q2mhVns5AmeWnU1lMuq1wLG4oTetmUtVG82I26lqrTSmvlDWMc2XzlPD+P9RLy/34KwPz7MiXkrU
EANnyDCQmWA/twhxKSe6Z9qqL5Z1WRKJY1IAl8YYinxXYS1VEcCZ7KxbuUsDseY7lLSoEfJygcTq
YypODbEtnNz4mDr4NZQzd5RgL51Kg9jsJhStzDSn216m5d3ULEsW5Y5mnFy26viNx97SNwOuhIVK
uyANYHDVxcRlGsu7gvseDKgvy3rT9bZzqybwaUwJ0/XJIEJkH0dAygcUVM+nXLkf5Gs1dA0RAtuE
PUyZsEZOKmybGmkL8dCp8pPfdakKTV7HNQTmyakGihu9brIeHNTGLmp0ZV73HdkTXs4WYzZtRJo4
aoGTqbMqC0EEqaeAHkCxKdF8+XsGETwVTPEDX3JDBCuB8s7BwBZJc1piH3pdCTLGM6+oL/c+6oai
SPQJLNqrNUkYSHnbKDIR8FjB8I3l3slH/UqrhXlxY6Xu5w573smWOg43fXVHJjcWs/ux0NRzOYJR
wh+2UL7cCD1/ZZZf3OrQj75piK/f2H/bILupyU4j0CUgY4YkzUSsNaqcN1rr23cSJ0K9gUpm68Yz
LUn6Y0t7ZRnLRaU5HJ457TeoudgpJJwlWH+0X820yVZLGfck1tItpEKLWCqJwljzEI73Ll4zEc2e
oPF2nbAEk/KUhbZx/c67LgnYeHvScsLYEL5txkjHS5BvRlmUVjRWdvsiRO/NsdkH1Uui+wxZRk8M
/VUScPvEWnDhSda05vXIrK0TkJqRoDpsi06pmNCmGVp17b7NiNOXxseJsjS7UCMoiRT0dEgOKMH1
t7TVuJ1tNNdw7ukuCC23kNpGF3aWbgjhudyKOuVsAFrK5Is105TVTyVccJhIPDtGx0K0ZesBvGYh
4EEVWwDcKfIIasI+E06WhB7d1XSpkeICWjsyYCZs1jAlzjlW9OGUpxODlJy7fgO6eTBjDqgF7LGq
TNtIaBnLPLXDqj3r5kxchdmcP+4SBZciwji5iH2e1JRo6dQzZ8SIDZIpjVOI+VCpxnrx2Jkd3ExV
Y9wDr/qks1UABq3T8RY5hedn8ZjmKsFSk3TBY4WHqpY3q9GW0G+rzrlbGRW+mu2ExpcweWN/svbo
bQZAbRYhqyrZMV36lMK2VfxmK+wpyWx7wd3jlpSz+ooGMb4Ul42DBfWRy5mMtr5Nh97AQYSZUkQt
WY5Lr7VdMxa3pjmFhkRhXgwky/iYB2sY9gxCS84k9Cbv6GrX5lvA52LecmSnrVMj4aDtJ4PhtatZ
g7/vlsnT6IX1Pf4QGEZzPHaOrmcEo6mXYwy/BtWuw3a5UvVkAR0r+w7fqc+DYcdS71nVVAdz98tI
pzFs6GxKiHNNRqD0XTuC5bz0mVvMdCkykHOxHQzdo7lKFKcGIClcmQZII8CZDs9pUF3Y1HS+Uukn
UvlNcaELfoSsc2DDAu+gp2+WHa96pzQifL7GaZCuQMZkp0KPrDFcWsYrCZpi1VoOYmDI3RuBBNgA
m1nLp2INBLL/vGq8lynCzHYz6cbNTFHX4+wYbncF0mbs8e0EwBag9olPQ85w+A8p+H90p/8VeC6C
EQf8/6w9xU3xtfnH//7H41vxTWV59V2A47/+/B9KFGoLOSJOXYGNYQ/VhfPQH0LU7/8E34AJM8zi
LG6jBfxTh7K830xGg06ACM6h0LY4ZP0zwnH5RxY/4sUHaOIK1d2/k+D4/TT23zqK518cwASQLhIK
Ixf9x0GYqQdrozllc5dWH8J+mvUu7AoVM2KIZhbgpkujBuiWV2I0xCZHcfIvztvGZY70Vz/BD8fS
LCFYHFAae0ejI2YPMuNUPjW+iKfzcnBo4PTbu3x4rVxC3S6nLe3r71/d/4M7+edxue9E1v8oxV5+
nP+K4f3/EaozL1/Ff77JH/JvXff2j9O3pv72vcrKH/uXyqr/ZjIQ4t4ODGZcmHr/dXNrhvWbdRH1
A5RUl5v1MsX5590d/EY4CU7v5ca7JCoYDPzz5nZ/I6VC5YV/mQsQ1sOH/Ddydfx3/nRnOZ4dIKog
vnOP8ySR2/heieiWvuaV6R+GMjDelsrG7Fn0Q//OS7P5W5Ox3z8KURXNyPAYw5HZ+v6jFH6qtm3n
Q+fYhKp9uq51B4bsn67/T0RILuaPvw8f8ns26ZIf4Mn/TvP0G/oHURUOnienLV6ZaSOp5vjFh/zk
ovGuYsRnER3jPfPDh7D++it9iQcubv/VhUSzb0xrupsx4PwtC73DGJH/k0AxdYP04+8Rzz9LuG6t
A3KcGipPfJi0GihNdqtFo+K/d9X++BhyTyZROB2b2fdXrXdhSnsphriktx4HkEAReaFflfdd/iP/
/RK7/C6kDnhZkk5jrsBE+fsPAbY6UINu751qWnbD1FsjhStuD0GWn4ryaNn+TZX98oG/556Q8wgK
/ShI4zFDqPSsPaaYih5xTnTw0/3NX1+6n/1WPNqehx/N5GT2g0uCGnWcmJW1H3Obqg+nTSBr2RPu
RoJckFB/9U399cexxH1/EcuqW0ci1XsN0A69HaYDhLLqbxgU2lveI+0vTCCXl9OPX5rDRXRdi0tI
lPGHlWd1lTuQSdiXy1S/wubN3yWIYJziBf7BqMgNMEG0xhe3sztCYjDZMlNKPg/dk5766RovtjN2
YVpfuoIrXFGw2Wc6UejNSW7x0/CnaXzOX1TVwmCQKsM33BT6+FbQ2KLBJDFNPlup1vjF1/bjI8xg
iTcedm3SmewvmFR9957gAJVwuhz22aKcHQJWd64oJ9vD5s5/ISn/+zeGCYBZksvO23M5XHz/SQlH
O71c1L5Oe32j0ZofDd0yfmMXjYmwXyGC//UN+bPfjI8hOsXE3bF+vOvLdjGUpE6jzvEertNIb4k/
Qwomfvr415/07/cGvxlbOTZhGB4c94d7cRZKuOnQ7sF9kPGrG41hAyiyv/0hl9c4KyDLBovCD1/U
UNQudXHN3po94HyediG3VMb2rz/kJ9eMib5LAp6YEjm/H15NpsWIcfCq/YgNjM4J1HR80CC1Wqf9
o3eAncvPc+w//SQ+wGFrqvNSulzTP82unJQzOkbkvfC7/CSQo7dNU9MINWXW30qwXV63fC2M1vkf
Nzpv3e8/CQELfqVW7RcTd2aKfT7KARP/Yk3/2a9DN+oloIuIY/xYuZk7RQsCuNgTAqjDCZ/ajp5+
1hEc87d//RX95Ga7WJ9wK2IPsikW+P7XARq4tMlS7rUgX6hmsnLk8sr7xc3242Drcs3YkVkEMal8
/bcsGRGPxoY3vG+84M2R5XKW3iDPU2W697U5ElySs/zF1PSnH4mAxC6Cs8W/jYIzPXXQwsS+gGsf
iZR2DR0L6d7t4BMsSy9JhGi/LI9jv8Xl+n4xZkNquSyQBssWPr/vL6fnDX1q08ChXCP1NyMtuF9A
frgMVHjYphjaxIVFv9CMEwyy/2zpnXinWR6r22I1qkOw0vVr2dTTzTJh+guhkHVHbEbIKb4v6sjn
FQQglJ8fBhTVH3SGGKu/yQqFFZI2tJwZjXR8745aGPsa2aUbbsXYjOBSkTnVvZvXPubGVtdxha4d
jqUgMauesUcxZm9QoWr93sxt7eKr5CmLXGbqN2ZniI/cCVp1BLVpITYmWvOozZqU25EyaqIBxbTX
6fuBxjdnOvrRoHsb1XIxIs+opqNlUkIdGv5QpXiqkpFcVDGDHCmVf90Alv/sWpQRh5VBqU09F8lH
a0OV3s1Fv3yiG87rY1EW/siPI9JvCJXASxW+zYtflpxPmhpjEdPwvZz85sIDMz1UzQgo4kAwppop
8Q5wiDNBaTF2R2nmwZvi8fKNKG1JO+9bQdgpLhDqoWbZ3iIivP05VVK+M2UwbFb7E6MedCJUveoj
AyJ6jeooyws/M3loKbxD1c6hvyyQRNtIA33z1U7HlDStcikoTw1JFMw2ZwTdHlpkHdTLV7JLpF+S
SgmwKhmMtlAXZXvVL4ZeRHT6Mw5I2rp39+kyNDWxK0AfIa6lrERaqZf7wXaHz4yI+veEB0zFjZ3q
btiu3fgoFq+5x0M5wY+d5sqx9u1MNCjuzckgWADF2D+hcOZiv6iquFvtprHOazYhmGaG0ew6f0Yh
WsmI7zrZPrpaUyZ7f2HNky2TyW1LFJCY26iGXZbMUJRanrV7kqtpF0GFsI69XxTPi+Ovr2VaGWd/
ntMXtv5zsbE1UagN23wHIMdQV4+p22uAN9fW+1QtfjPEHit6HoF95zgjqba6gKGDADax36v3BSDN
GM+ZUeaxJdycgiXhfGV+QKMQbEl4AbZsZHUlQKNhjHM6lYTGNJcfqcTLh2+vNL1YUBz1ts4pvdEj
eI78SWqAfsLVcS/O/J4sTGyXnXhwpsq6ZLKCoOf0ZnlNNPBKoVJen2Al+1mqofXTSXlOPRP5r62W
+SDTup3jITFmIBh2p+3YD6UaRKxMe7Y88D1xMniXcB+cBjNMu37Bo6sl8jUbg5wHSR+WXcY7TW0y
vBolTvZcN+5WxmJ6nPlu9+KSKWn2Li2OSbwspf9cthUewDpbVnsbMDTKNu5YBM+M22eSkG2ObbZJ
dRv8BGPFnuIFSDXS40+FfQBQMmQabs9UL2XVF7B8+UOZr47aEGC1nGvpYRoHHFrZH+XS4LNemRrz
V3imC74Ip23igO+CaELlJxlFLAWvkpwWvC8uURc3WjJBtg2Zsyy3IABpASMCStTXc7Oxj23IyF8u
xIF5K3NvXKNuMZc86pK0I+eTOeX0DNHbdoJYVmNzwbqPvUhOyXJxti9pZjKzNQwjO7um6v9HZKQx
6dLywpL0n5WX//ORZtTCqP7tu0Yj/swfsotn/+ZfNBLbtgxWOET6f6kurv4bW0l6UjhNX2qJLgbO
f0mK/m8gKVz0kIu55U+ay6VLxmP76fsGlpff/9Hf0FwMtl/fLb8cBajwQk8McM8YmFZ/bGvBsq4r
R9MSjB00EGqW/w2ipxXr63Sy88wF+jUdCTVm1H2N6VEbs8+FLfStD4dTN2lkNrquOTfuTLRGJa5D
qgJRPBzIHXpRA4WyDqGaBLeDw1BrA1qDpNgEDqG8LYSjRh4i22mBnnet6RUdAGlSBl/IE9jdV8fp
5qt1HpT2IgPoXKAP++oToYjx3JPnJZ8x3OEpYgSD9g9VkpTwRO+kXmwgjQeH1g3i0e6TIta11L/L
7EVDkIRIRI5ratIAAgSJZPBfvT/1p8DP/XWf0+NGZqIk6C6HoyRSSxykNI5ErIbIaac56rX81ltn
PXYSxWOat9cVrI8QjtVVlgyvoE2aeIAxLUNjzrsj1LGTcshkhGtqsH+YGxHXZufuGGYTwTDqDeUy
V9B4xY4BNR4m+p9qh1AsPE1eozWw1zFxmme1gsRazFgpo6FVTbBOjjYWY321gOi4wFHaBuRxVwWx
atPSval6yir0yvgYYOkIujof0ra67gYGhqSxJgoe2YF2z11HXgrbwxlMLoRDF0e9cUgIZVabRc+y
G7Og5ia0S9A7IFoJm7VtgZzVmVlATpzgmRlXbj4OUaacZ41UGnoa+I0ssnSS3zMFWDWDZaB+gwOm
d1mM7GEgfH4FpfOZ6kRejO5gV4QLdbElNiavHC7brS7kYWjXS0L3tqlB+i1Ga8asQ2acknoyRvUG
ElGEjsHMB+cDFaZBobZZOXS7EcogDhyD+Q+6JQ2Ww+BsiLpNbsgW2qC3tneyWxQBokpaYU3TQWbl
8uQhChLEzeW1crx90otjkzK433op/OioWUsJnLpbyzak7wTSSC4sLCr+BFy1PNAE0qsws2GV3JVV
tmZHmRksTb7lT92Wl7LXxY6wGF0jxoQU4yki2lBBibuT3DPxkOyUlh6GeUpeA3NMozxTYzR2wwgo
x5k3PNaMainee2CWW3WoGpNOInV4NJLVuxHDCOSUl0bzdZZuvlWcLkOY1vaN5RMcT4gRGtK9mtZ0
iHvp61T5gQWlDPQ1Z2tGncpOGpci5P60riKuiuDdLTA7FdKjuKwLTlRpJs9TlqVRMLEyCidx2L0y
ISQz1xeKhymXeUzDZ9LvmnHWqm8mT9SWG3uZjwN8QWwoa3F0nbreZkVdX3hISx4SHh7O60xcmViM
lhTHZmznW7KXArKiYLhHXBRQHEE+Ul5zausxyMALtlmv7mk/8x7wY5xc85LjS6jXPQ7deJWkk7hq
rFq1YdMGNANmmHJmXE7k1bYUAVL4qKy2xL7YKEpUe+b0uadn5Y5Jf/emt1pv7yzcKsxK1WyZGzuf
neMAlfpOp5GacSU5h3PK1JEQlr7UtyZtKU3IUSzTdj26wfuYkl3Yeh1byLD0Gs+JXE4Zdmr7FIdX
6ccqFpeX3dLHJM7mcJ0K905jXQYqrZUfwWSLT2UwDMluzNl10nBJMBne0OSFfgJaTauz/H7yymth
9sbJXIvs3BZZEWmpZT0WZTYdPbKdO/wR1q4CqhcLw8ca1rQEvzYa5MID2bxA37eBfLWZSR4DWMlX
nlzSJQRm0qMWzqXY9TJxKPTsWmti41oGvPp6zBMm5aFca0wT5TS99UQoI0v16ZZrym2GgQKWAxUP
69yMV+ibQ7fVCqPmNO6m3Yod1FiPDdrGtcAl+El4CitOFyjKjDIMpmne7d3Gf7R8NWTx7DxqbsK5
K1UpI3kaGJ5S27wppUPccfT3riBizFyVcuDAwiBWdkfFfuhE8VJk62OhOALIs1dh68Y6pes+QHKp
s6OnSpTm4LhqRb/tZprKcMyZce86wymDd3uladONE2RtR4gdXlNENiUn9WUyL9zLPHfvCkryj5bK
689jIbIn1E7XD1vT/GwF7d2gdTTOZjiYYHc+cYP74Th6d0wP07Aw7Du3MxaMnFl7xhLyTSzFV9Oj
2ifCoeRjWUv061II1w2DtJ55UVTNKiMTlLUTTa1VI9XY9yxR/jFHxYy71J7PZLurxxqIeRfafrWx
NL09SRw13MEl1YBrQqdwKAZzfWtkF489DarKgOUrV9LXxAA7Ag/qODU0oJp5u2yoo4MBWYwjkW1M
j5EGwotToLbSMpqs9qYKwJUlajoxZzizXb5PepJ520nZNW/YHLTcC+bHwI5zUfGyqIG6J1oNTO/i
ATG1dE+VWYGSkBvD62qM9WOf+9oh7836Zm3NRsNUwZgdU0Xe5VE+BOUauV39mHgwHsMyW3lrBpzK
mzsIuDOhbIt+hiRtlThmLGNvyBQwzKveyroLLXF5MAVlL5SmuYi6pjl8GT2e2a3dBg7KAFP853Xw
SaoT/t0sjmCnMRpWe+z7/JoGMxaWla7Q0FNlxFxNP81AvDfWlJ1mnzRpCKy4ZxVwcNe5nuo/F56T
GRGxFsPfqiABRbUMlr1JSMidoZ64/RUdLjMz01megtYcP3tp0ZmnGTuT0RXiVpXNTgx1wdG9/lIL
ncD2SCQ/wWSJol+3/eOKx2emKCI4uQmVIcyt4HlhQFxIeNIzscOxKY6msoJH3HqzE/kpLb2uSfmB
YKmsJS7GE5Wx93li+nTYLVXWblJVBbeZzpezzRO2q2FSTuV7avTFEFJHJswwX2XXRzniCT3GkrB2
nAcVvwc1dUx8keotuetndxii3tfpiyFUWqePab9438p6vEsA71FrYPUeIEHJzirmG0TPWSF6Ns+2
9DBYgRJsum1Q+d4bozL9LOlxoMiETWlyneFO78jii3wIJSww/D4Dvq9wMoPE3Ysu19ZQH3Jt2s4d
fTu70damD2F4HL60Tnsmy0P+iltpj7XR3LpsUGaSpPVobZXTuDejyUOLXynOoEefUMP9oxISVk8z
vmDHgqpqkDtfeJleCodptY/xD9nhzJ0WFzN5zpKeQx4UVwx8VY18mQuci9Hi6rMR27Z+q4zkBDt2
2crGSa4gbIxbLfG1LK79oZh3oH45qaYQVbE5VRmcuyRfZEyJDTi0tlvXg+s3+XESmYm5J2n3/WAy
UdR55Cmf+1bmthuKwjKvc73zzskyYllaF5p6MCRK81pnFX13PHi81loqWG+tH7muisETibsMqUPx
ICzp0bbsKyqBzR3fMpt2q7LPi+Vku2DQHrpZz9N49HJ1BN82b4TonszU7egHKrIvVBjsAfbWsT4r
9exNNen+kUPq+2Am0x7Wo/HBFyv3aSncXTBpdxw55oAwMsoae/DkpZc07ReaFby2raGP22yGdJCO
kz898eb2h2OfJeZxcajEb6rJf8pYounf1iWlpqJIp/eRGdeTlZTV68ScARshfX/oWU4appK+mID6
j7eMeECEtwoftqkM+WVtakNsbMP5oCtF5ptatMdCG7APLWmXy91KL3x5GixM4cjvqbvGwSRKiAVj
9bW0vHE5jiu1Qbt6Gtbg4GsY04xEM9pYrgO2N1i5xSMZ6xE0uVfx7/lmNdQRQWaQ1xTHuOnZN8mV
nzPHHtJNU9Q5IF6R1puRyuspWurWrq/hA9DoIRZeV2HmUkyUTL7qY/690XpwheSlgVpYf6t5MRps
vYPp4kcnUg5gN+jNZYceS4V01ZLX1lieI424emz6s/suKBy4LQGx2NuMlhtYkymPWI1LvMi79SHA
jy1fu9Jje2233YEXwUQtdNDK4Q1fpmHsqU1YipNayeUOldAifdCoB+wQ4u9KPZ+/Fl5m5njhycCH
y6XKG3soUHv48Y7cyLZk3V3m5VwBuFSPLCPVwEpNnHuDdvZg5CYhBNrF13HrMj5Adh2WfJk3Sder
r22G/Wo7TfImmOTOwwP6pHeL+kSol7ZATWX+i2OOvNipAaBdSuiqu5FeU1wlSe68V3VjeeEY9PZn
PLJ1vwGxnTrbokI73FZgaiJaDG+7xuMhtrLgDay0SCP2w3fziiubLVwP8THljUL1PXMUvIwF2EQ2
xiY7zkAbnU1VCmyY6Gq5tgUzAfnT0Pnqd/QJpVHCopqBsYZbvm9WmDgRVjV6g9tJiAnTN5X7BBQK
e9tzaHRf51G19qYo25LGE9nbz4mGaSxsGeUV+BprjP0E6py7qiAFs82YauKQz9Iicsc+dcOsyy8P
alVVHx1+5HLbBMJ4YgPT0Qtsj5ddUlrs63Gsr5Mqbd7nxfMRnrVcf3E1GnOo7Ker4qTbRXNbBNIp
d7lIwF56VrOtGWeO24RiH3F2OKgFB9ELg3VfSVf/FAQl/G1pSO1cIm3tEdWhLekavRxeljdPdZot
+XZJ+/GuTIz+vXMNDKxE5z9U3Y7bgiFt6AWZXnO3zGxmoZZY8FCwO25nJL2Uv3oyC8nlA6ifrXa6
dyY8z6nhrHBMVof6wqTRe3/T48IUZ/i4ecuW1GMP2WaqmcNkoKeGOh9jAWvuJz61SQnMzu3QLsPL
TKv8fUCbrAuoYsr31sg74BMoAD051hzsFDt6gjJxZiq7i4Rjnj0qyO/tAnJ0qhc7Q7KpwSg4m7dj
IAltUT01MJVCMkWKW8piPtfor8QQKFqk3KXOXwQ1GdUxgGoP9pypHXteNMq4KNc0PRFF4vgzdbNF
kcPEjByCSJdnDz4y4xLPLcPlG8vOFwoPDLTmgzbq3rxHOJH9OVs5nt2qVATYiqkF6I4D56wvBBkm
0AOZnlD8lbOSqYkJS2AnBSDiQXNhl/rmRnC3slMvhXZHIIx++tmnzo495r3bcawafPwFiY3fV8BF
uQYQ4R4QYtRtV5IN8TW8paXm1p9og0pP7ED8Q8Bx5aGjyR2pe7bZMwCFD4mz0O+OpR+tkyofqpsY
TNA26GOsxZdRmadRGrhtq6rZuKB1jhS1rTe5zfeQzfl1n+n04RCaihNeBzEFX0t27dGY2+9Ng879
h1KW9kdmzcK6KtqxrPaB0Ip9mgN2RacaR4PTVh1Q6k0vUn3r9+SUiqhsXAeXOU7nOnjXrKnS6a0N
2uKV3gt56lqeuxtPavTVXDzCwQBBe9jbib/RrQmij909CNk8kEV7EYHzVRsS/WUqPZ5Jo32cG+R2
XetuAY+fGMzfTXq6r3xczn4ilhtaVfsHyU47xDB6TmS1dyiUa9nsPvcFy14NNWis3tmzvmmivQuU
vIdj/60yxOkySooKUW0aNb+ZmYY27/UHKkpoTC1JTyvw3BVlGIwgXzSLp5GemtvOb+58o/rsdHCF
dO2G4kCHdg0kakK5bGay5qaa1Q3CzdVERR4y8vpGDuJzk5V67Hu5s62kpEmRVzX2aOdL6xbm15LS
Ml50AUOVLn2bTUqG6uKk0fBHNQsySunNkTOQPeoDBVVDp1XQ1/qL8ctzqDYpk6iyxL6S+aNe0aTU
rGw6udu/TRZ3CZOve7i/z53iQOSoNaRIifoW0J/UgBWqO0D2leteF3pD0YnflJPzFNSS8vWa9ht+
BM/t7BSLrtVu9LU7sT5fJ0vHGmctZNHW+cZpg322uvdoOufGqA9T7UI6R/EAAb1dDI4UztLEyVrs
JcPnw6SNVpyQyqIB4UpTNXxmnfmlAMfkjlpYADFxy+w0uVp1rqXQ2Rg0N/pYsi1x+8/lbK3QmfKB
Mruc7BfM7jCY5Q37LUVJzhgy8pw21eC7G73vn4B933ZG0NxIKz01HKQAHLvh7AVz+9T2zodZutaJ
Fxvpy5FTbjpN7ZVWtCsxp/marRbcJs/b+8wpQ6fXI+Em39LadkJ6n95w4IAyKbLNVBLZybX8pJr0
dpyb3TSb12O/2PdWyThLd2BsS30IjjV380HRlrK3a9YmVyJQeYNvhRx75JWp2vxgi+VTAJ1GSn5A
Vv+QfeuRSqEpSlYyNUbr7eayvO4MZz64mbhvHOXFnCETbr42P+F7VdbGunznjF+Zp4zvyUzRjmlz
DlxyrmaDuz2uRAlbpZz7A471G0MTD2tVIiCNcrnBYr28K9s/uGnyPFjra94Mx8pyvZ1VLDeICS3F
Lta9weZdX+mdouWQeE3NiU8CBBeGbZwyw1bhwngw0tU6cJ+N640zm3I/eXKXN1B2WIa4nXh7R6VZ
qQc+Rm7gLDnby3l673XGW1uy+SWQDYJFSo/5ZKXvXWV0SM3muTan4cZHSwsHWTx2bnXvMOsdfCo6
Mat/sNtAF9CTbyUqTBHoZ7diY5rkec91ZZIthuBOUe9zbOBxsRspsy6gC2tQm8mDOKYyy/mULvq8
RQC56TP/1Uraq8ZwXhtvnDae4dNRCHsyuuAtqZKxPiuNDGOar9e+p7hhDXVK3aJ/DTICeLadH9rS
hgje+hSwF31wU6V0R205bpsJOUNgHHs1pKWzR+ZHJ60vGbwvFgSd8isO/2m3ZkVwyqWxPqiG0j86
pM27LvOtR3cV62msL3Asqb8EnLI2DLeYJgq8PemiiSyaFAj6qSzVy+zw7dfj4m28vPNAKvXLvUqy
9WiBM+TxnLXtsKD962bnvVNjMbLHQleXbIsyIVlpyJk+UCtWbTt7TsmQZlfeRGiJuSQVUIIZci/z
e+DVx6ZoHv1qvbM86zFlmx+2Q+tdjV217MUy7Es2pJhod+zmzrU1d5HOYxVTuUgOI1jcS4vmxBLn
PRoM/SJkJqbTuWkQe+z9vQ8pDS3yigfXJXLGM2ut7Uunr+JQAMPbV0SqOLmINR6lV22MfN1DZjl7
kMyjqshvBnp+ltbd60rK2EY9uyoy2X7TVnYB6UAFVM/ZCSOgfaIwi9xcNh/qYDhM3nxUVZU8pHJY
TmkqjC72CutAbJTThlWoT9KpUQxXcY3TfU+zaHG2yqnfdNCBTjksvM90nn2x/ZXhO20ooef3Tyul
kI9MghjAtrLYTn53nMXc7dJMPXZeVUdZZx6pXQ0lrX/I5FX9AleOaseheU+19F2qOp4SDvSVM/fg
0qaPgoekKZiwXTB01Zbq28sXuyk4TVrIG5xI+a8W5sijNKh0W2IpCYlb2iGH4q9i0l69pb8lpb9z
eI8ccrv8ygGHBV7Td2ZbEXXKPhEHjhzj/1J3JruNa9F6fiJekJv9VCTVWpIt954QrnKZfbPZbvLp
8+nmIkEQIEAGGWR6UD62xGav9bfLa1JJFuhkfHWs1vlM1sTccu/xx+PAJb91Ks7I8/+s3mz/zLSR
pcr9irP6feQLhc/nb5ZSUHLfHqzCoWknPk/x+k/oU0ovx1x5IcZbAguFGpMDfFgV9KMPkwRcblHH
UDRbnLJZaDd1k4SQa/Fx5DX1ZurjRz7YQ+RJ782N80+2k19zHa+IQujmEsOFuXCBTrYBdAivIy8m
DusUwIb/57PnDCw8MZeu69Zvy+IFNObSfZRIQST9OJPpDaAJhiW+y5wAHSoiTBVvE2+YLJD0hKFv
msivq0aUfFbHeku1+8CLpWhoaqsG90r4DFeTpEtu0dR+8F3TixQNeQAwbpSkfvNReo1z9rnKP7Ye
99+GZn+gwZh7H3PRQvgi6EB/taGhNPhGJAYh1J5/YeKqzf1KRrI4xFanqqid+QqCuIi7NyUTIIw8
3xJGOePsqVskCZ67vnqmjg17LmeDGtNEc7IRf0TrVxx85dRcJ0CFhO/YXslUoLiqGfLbtEplRyN5
w/mWTWpOb5UmbExoA2zNYk/ekYjl+rcAvD/r45z/E85APM0wG5l6tYty0nkjuPUe53h/LLp1Ljcj
Mgq7OPPp3PSaSiuzjyUA7bYC2iLiDX0EJVDjwl1YEGBJRRHdfN7XUlXnAnlBRXQ6B2mJxbcVS4Bz
sNx0NrE0deFt50wHdJ9k315we54rqtXw5hbxo9EvYFnAO51Ypi3mYJDme17Zqh9pu6GiM9GInh0u
9WpGJXr0sPeohgKRVuHUkEYXx7kFgOAXUT4N4scWcxry6FihomfjQ7LZbJZxvso4T6nMThrS+Xxv
15pVy/zNHTa0W5KKEhuypLM14KVfKt5WLX+gK9gQDsumSZ5PQ7TPtsjjksD5dlp7poGaArSJh1vo
ge0W63YEFU22rTXFH+1aFH9yrcbQDe2syL+tGycanTLwrDj8T+7+/4G/5P+3hB4D3cH/QcUw9vT/
/S/WqPsP/Jcryv0PRP/309+g48K5y2v/uynK/w/ME5R5oComGOduHvkfCgbL/w+khIQ4kerjUoYj
EGz+l2/EctAwAATrhNu4QofS+7/xjVD2cpcI/k8JIQJjE/0CMDOidzIC/zftZ55kjDKrynGpTvGx
H2GMyoW+P/cDIy19TK48+h20mLkzW32fKWuILPUFLEOQJcdtUBp1+uLbC8SDpaXF65w3+G5lgEF+
w0G2CKoJ09TexfQO+pWZBEZmU0hY4A0vhaJK4KVfTKI2reEwGVPUWVT3NSmrPSZtL5kOI8GRovgY
gJsfTP9P143HRXgQRXQFWESChlafhQ2VkmhxN4lqj8qZ6DIVjIO1CGxiUiVqrtp61wzyOyEUS809
0CaXB6T8Xgkf7TkMTTrMqCZEuRUsrhZp3XmGouhW+tCK/Ijw+1MZM3RFh33caLeSLI6uBmLv449p
0faiGFKS38eIMFKopa+mhtGej0b7NRCR3GbeBzOYBWE/mp9j/dO2xBOo94kU/XApBJOtX4VTf4d+
nJ5Xpf4qy2pX9/PrWFggxBhPC794bdajWDzog8LfeoQflAyV0LxoHUx1wlu/pwouwH2ypesyOc6i
WwM/T/fWfOM8IkemVm+uxHTvvbj+1SUSM9JsLxgrI1CNunZ5agZoJkaCOdJ7ekP6JHNn26X6XjPd
nRTVg66QjeX+EwIB/Y3YXvkC0jWe9bh5G6AktG74qvwm0mfv3SAVtdTlp7Ba6jR527HNp31QIdNC
zcH7HayeEt/EKqHJm33ZiMj1mQu0c9Gvp6FUcGhU7PbrfLSF5YXFYh4mEhsmT2Zv3dgHTAPVCjjZ
sVSmt3pdnuF/5Z9VjvM/r32PKUWw1fINMxTCWT6OefnYCZpF5ZNBLDhWVV6XkBGmSmCTaV6u0P6x
1VYU2gLa9p31gumqf1Nj/QrcxG5e1dU+a5Z8K0Hw8BlzoowN3S0mSkDTREY4BXb9ilMfO+05W8sn
QTSxE2tTUFHoMngW87J/iYFhQArDfsz2VW4/tX781jR8pYyshIVbiPT6oqQlxdnNpJXEhHkAdrfO
IXaI16jYX1LSsDWSSVCcdKJ6BeLhnf+Tw/Q2zalwq2tfcbqYLamnJ1uM22WaTsJBeOv3LyhPnrPy
75qckiV/Fe2Jf0q2eTFGYrJCZ/paqz9+/+RY+dFMR46t3ei3YUptaFKccB3dZ0z+fmM5zRrmstjd
6AqI3UqfYobX2KRUQ+I66vqOi4zGmJy7WmaviNgfuzV/XxLvoiMbXAVlIk5gLuhgUuoOPfdYenX5
4GfrBnb9hZ6Gp9Y9mKo8oKxFJWMbezzfILv3NVPkxEwg9IDPMhW0lParEEadbC9/NIrubMrxd86y
L5jflBzr/KNhtNilqR7JybxQRDVsRi2TYZ3by19jlcnHSrwgKVQNTCv5FyFVEyKqTeMltabpuCqv
v1YriHknIa7QqfFodQqRNw0EKGu7R9Hbz53Z3AglORd+t8vLnFFnXey3kk0IaCyxNsiaX+y7q9/X
NlywNutvRZKR/Zoe4XP2qDXPY6GHBFMz0PVf6+SlEA8O+RHij1F2+zJG9rNoz/Hg0RGZf1p0RUB3
DJihp2Rbl/0YaN5iML16M/uLRQ1BEiXymwahTUJRA+UO4lqbvzMtoHPuqI/ROjXYPcp2nN5RRCZo
x5P0Z45n4idtQ4NfpDx22atiifQYYRKJyTUC11X/mhGnPRgkE5HC7DUR2r4Be7/u75BqOgfpoZUk
+l1DSnUt8n4Jc9QnySYeAKpM+YE95yU1OpJdfa3nnFj1v5P0TApqSyvo1zuJbruRlO/ClcgcmG3i
+KOrjlrnezeZ/bQ9XROMPkEhc0atJ5HvJx4O7De1QzjDNdOP92iL0d8N5l+ax4eER6PlDSlPS9kc
qmT6cvIqDWMv3pcJdQzUCBfchi39Gqv5jXYI8y9pEdkS0Ilzb7wMYxxnjbLO5UztRkw0gmukO335
wOUEsa19smSGrmQo7SurQFFFTv9dvbJZCJs3gDPzGXjMWx/aKr8BYD+bhk4WLqkG5amtvIvbZl/w
2jNyG/Xg8fEmGNWpe84E4rdwdOINN4kgaH71njwr+ayyjNKv+j7uhmP/YFnP7D3cYGS068kXPeeh
uM+CQ7FLcPvPvn/1HcIbmkPfPfTJRzzIL63noZbHCSLHRpQ1ooqaDDfy0d6mbhcWWnKR07BzG+1s
q/KTtePgyNeq7D68lrhp3oInz/DLzZyYS0SAEnqPmDyYFn4k9Qf34rQJESWAgenUyc06GIRbzdMD
tMyT4HcfrLUdggqpG424a1C5lzqZd27qI1dKL6VFUPTEVV78H2vptgnqNc/r8PKAJtM3Wu7GKQNc
l4eRCoGkZcwwKVq1m2k6+DWjc1bmC/Bx8dngGojn+o9VtifVMS3PVQzGJdj43QdEGVvE+9PzWBso
q7wfoUCGCdf7GRz/faBIhY83HC2efHQ0YgU0Qz23gIefoKBiSpe4VfzaC3QqD7TyUzk00y+KzQCF
/caayw8jQZ+tZM+zCGcINgsXWvFh9OlFqvzQIPO+KyK3hutHudt92Gb1ohlkJcvV2Ep2gVTGIEoI
S+B1ymxn8apKh3VLqdqW1TEYVvPUOoqWsN2IxK0ZW4DI8W1wpgOcKV9+K8fNmoHw6YLJZG0iHAiU
BNWgHQe8+jkWR0Hsg8u3QzqNUxdHQlH3ZeFuYms+ZfWO6aAZzezAISaCggUoL13KdfzQoXKiIUx7
1LV/kwmM6bshBNGTUcln1pmnRRtJyVA3LW0iZcbVp0kHWDk6z4UcPnX9F/3Wbmx+jcU8zv3JSL4T
GxWkCUiss2xq854Q/10xwLHx2ODTT+pz2p4n7wsmW5/eDJ7ouLaCrIrm9mgv7xgcIlJP90W+95GG
1kaNFHyCrXkz2RC9+buvvAhF7FYUF+QHwQRSxeXk2rGb6fYLesKgbhRJGynHRfWV3we8Qa/Fe1fa
uCHtoDG9jTdTYebRNI8oM9kwap+MtQzcKYOJGJ/zGXD5HlTWxPmv7vEojcUpseaHrPEaqN3pkqcH
w3JPqlwgSir9opQMs9H6241EtyjCmb282d+9ZITi8NZt9y04P9UrVAnahK/BMUALML6pP3Q17ud1
rDfdpAXYjo8QUIcSxUOjr2pLQfIrSHs0ePJm9GfRcRuADY7ZL6nT4UpAFS0FRxw7RxJC6CARGQl0
Xoq6i5YBd3wj8Ij5gzJrwjM3Jpxybc8o5v03a+oOGaPTRSuzFuwlNoKeqiQyP1BmLipGPDxVCs3M
8p/FDeTxw2t5jbcdyMdCKWXa57FCm2XT0ezE62sz8xEIGsYiM7rwK2a8dzACBGUuHhup0H9VTzYN
B7iUALLuAXj4EE70FNzK2v9SC7k9BnEsnXEdluIwNz92I8OYhjSmS6s5wnayB5B4YufP4/paE1tO
C3cgmv5gFn6YrvgD3MY762V/BCx6I0lon/nLu42+tnAFvKtx4pwIZiDzvNFP0kRUJAiowhAhNMKL
jHU8qV6KgE175p2NMsZxq20tUAWkueBFTLhKm6cn6ehRawF5rs69qJs26mZ8yft172tFyKLzsvCV
a3MV9tAidNvWwLd0w/dDiYpqGl69CggyH3VIBVKVcqtdNhjOQjTd3z2BRpt51P8yunafTs37v1CG
fkG7ZPHymOpd1hNxNY0GjTRaIpzQIdmzC4hroktIkyf61bN9gtpBtoa593TTPpTU1Gc4jUpnTR6p
6amDqe/IFVyRLm9SkFD3qi2quKIpveupcOhYU12FPnlX60qQYNXuYgMiA6tmSEbe1kX/CX7Hl5HW
2rvC3f+oCVa9Cb0FvmG1XWLzsHZmu3dH+0Vp2sXzKPzhzuGObBvlbTsNvSNG8Wkj6nXf4MgOCWGL
wIa099RjHchrN/7SHP8xhxXcCJuJHSr9StD6uhVz0R/KgpACPPe8Diw3ahs6sf345nYm3EfTXqDU
Keyq68duigllq3+y3I7KbiD+0KJQW2YF6rqq/jacPH+kRrT/gSjv97CvqNt01CMo4DfkHq7B7OYa
fRZa/zDAogTOPd6nRwYpEeQ9OAMHWYcA3VO6drQn60VoZRriZGyCkk0LmW/oKvE9IUPbot6W+8wS
WjjL2ccLQ4eRO3XmgfkH2fG98QHt1ELXA1FAK0ll/bat8Xg563WQxSFzu6deh1Zg/CODf2MU04+7
0qiGaQeNYBLG0vh1vPKhJnbHHfHk3R8WQbE7MXFJNBga2x9mwmCd6/Sq6rXfNRY77jBw2ahddoKW
/q7t0pkiMGxE8YPef7Wd+Jg742a2ArOX+9BIGQ1mfVXc2VSJYrTzPjt93M8+QWFZTj5f8a+b4LP6
+Ntz/b2o/nr+WzIbb6bRP3el9WIj68IHmP7VXOfb7vqvpuo/XW28ZdSuoRwT1yrtyqi7F9YAsM30
BC1+ysgMjdULLEn01GTZD5XqywkVEHb+GJoYbaCzsXsi5pZ7yRORT4iW2abHFdaAyK9Gy5jaSQDL
PVBCDZFcvz6JVqUkfX21Bo0oiU6UZ2YP18aVTmSXZRmCnp+RicGd5zUes8ULiAHdrslEC4f+1nOE
9GX10t9Xwmz8k6oadWS9trxoHBV6Q74TakA6n7yXdfrc1OUltvtLKwoqqhim2vVnQsRncvBCARgx
3QwpJUcc1/g1WZDnaPH0UEeCzFZ+K9tpOxSEGSzu8k3KztHt4unB9ZLfjDEHF8SJvq7HWp9+/MGR
uPmQ2dB9xfNYf3iru9UdsnBAohna66juvI8uRwxOqCt9k60PUo3A524pyI2vLB8eszTe26uzMe8H
iXBkVCIBjsjkZVlNcB+QuGv5uw7uxFPGsTbMkz7D+Jfjqy0qDdLb3eHs206eERYYH9G5blzioW1G
SVJHIbWdZd8NZNAl4EOjKd7XHJIts4A3jJ41u91083BAsc4o5X5Td4AaoL+j/6/egB/CBNJQsVZi
g0VXsfglZE0aLFNsPJqteRlIGR1M1I4NW3yjtZITN/cwvjK27pO+HR9cckMZRRUe0oUU1TQfhncm
ovEuRf1rqYZ6mzU0ZkY/L+3B0tBEXTB5kvhltso4pOaSXWai81BVmins79p66gm6r0xC/NbzU95P
SI317tmUkOtIc5ePoRVHTB6AUph/NwNCIhi8/o907MhXP7ki3LIaXtJMXabMJNrGIuermeUlMVsN
953VwcbEDpmeXVIBNGHbY8QYl3s4PPcTqXa5xMCOrPMm4/rEn03uqN4/1wtXcOUhiYZZg1Uy1XVq
hmiiKMae+AZNp72WXHkN8mJu5DnVM9RfTrODh6NqReeEsYb7d76WRANK+E+8hWX6hhMn8ixgmXG2
7QdqtNLLtDZ6YLAim9DbbekdunaxcFj0lLK1s3WERbt1xDQ+0BG8wE/WkGFoLKtBHVeTQ7lQ0F6U
whQvskOgXS2ETEKeFaHWFp4KgYIQaKu/VdNHNoqix3xctu4dpahdi01kPw9uiHpla1R6skV2WsiI
Lhkkf6gBLrzki3ePKqtNzi7A+/oTj2iFFoD5ZXBIWbMx94zlsFxGu1evS5Ut3xSHJb9FDdg5XmSl
7TOZ/DVJ09wlrQkpXZCJ5qUsW4Aix7LtNoXmHKfyDeEdlXFxkLQTpcuj/Tyiq9EHtS+I8thN5qFX
1q+ZgX0UixZhQn5STb0183U74UFd0BWu53Rs0aPoh0rrbjMPMfxGeuv1Kd4ksf073CXdzCg0k0Wx
/pDmJw1+scFxjfF5Z3Tli0exIlWYRtnSbzfefChhhP7m2R3nHzFLTlHZHKauOGVYNPdijW+5Jc9S
IMtTQFPLxH+dBm595B0MCWV26yr9TKis2uoJRBgmr+y9jD/7XD2I4eZXN+nUKPi6Qxw7yRVgyrFp
DinKXZsrG0eONL7WfumDHok4/Z15iOrxYvXqnMV/WvN5GS0jmOxL1pkfS0se5YcAlgPSU2sVQKVd
MqWh5L3X3qRaqBFiacl+YhRZP8A8jiRv7CksWwOcfUcX7R+uJ3YBQz5PMQ2S0E2fmo6osi5QdjkM
6KD0G6/wbhk0WT44X4uyB85tP3I6uiSNgdqjOZen3H7pEze0eZeh2glHsIQ6yU5lYxxJ9DsmGQBQ
r+f7RF8C7S6rr2ZQBGEdEC3uF18EAsXJZli8dxVjFrCh2GbNqtikscpok9zUA7KCK5J9gg43Xisi
h4NnsRU1evHG6XPkSnhI8C74Sagnav6oLeNXg++8P1XO1AZ6LSEW9Y+h5AU81eutrfm8Znmc67Cr
D+Cgx961UZFg8bLp0Zpwhb0X3Dsq1p8Im/2it4zIkymORFse/IHX8Tw8k0FLvulLg2+wWXFc8MXn
ajhPk7XDZcHL2d/V6q8yyq/eT8M1/nAAJcZpOy/ev5wNRwP8LMYqrLC/OYu+c9zxWCiMUFVUj1jQ
nlP1T1TfpfexEMwYpz+8sk9+h7OfRiun+OyzVxANvcKPBdSuU2UEpnCBG9v2PSuDYVwsX9sWUwmk
Vvcn3ETtPSPLqM5drO6G5R2Fspt4QZMD2RhSqczAZgfkLGHayb2tlr5jo96y5PIFWslRpF+poPuy
rNAKPpYU/AWFM+5pRtwjQMSm7Tza9bNnfpejuRFLGk2NuFUlC31nabtRTGR7dsW1z5DVsrNtGBgi
wylDZaKiW0GoqZN7ctb5D2VLP43BKaj69rH0RIic+unOqGIrCGWdHUqP3lMgrfrY6eK9pYfMke9y
utSwIDHBt2a2bZNfBZeAD6IT72Q94OLb+NVbgyK4Zna2nLV6XLVRP85WfdDUjdQIGrN7jJZqiAhC
OFrZ9KB3DYAwQnbzI1uHQ9bOL6X4Kudlk0/ubSI+ISdq1FFpaMSnxP60Mm+PYhGnjO++jnaDkriq
HyxCd5E8nJrhGhMW+mJkKXiTRiSCuzFQlVa9H7rxMyrZk0DbWyttZyL+z+0kWosZkQKGCssjBupR
pm6wajGH4G22Xmpibj0haOrMomT4GlG8A/YOB21M2b2JOJrzYNKPcDxG98AeZRmnqj2vOl8d4GR6
LLxDn60HLTnWTMdpHmHK99C112/leqU8FMvAl8YRnj+0zfGe70rGR5CqF2vKz3MWlfrCARJz7xz9
1twQn0yWnwxLbpn7WmhpzT5bf2ITk36unhBhbKR696wlSES/IZbiDL7czHfYGY2ZzQo5m1sKhh+h
g6PSMHe5uU+t7NLJs13AYDUFunaLMQlkLSMk2rLFwZX2FTmOH6OSXGmNqyNdnuz6ZJdnh+FT2zcD
UNHWzPDxtv9U/Wb273ehEYYKo3VviBrxjzZnNN4vuSj35USaNQaFTaW9oXNDBgzRMaGelZZAk0Vf
mLnHshl4Jd1r3aUT3LfJTvrzp5k/EQ+x4OsBXsGr2T7UNX7BMQAeHkxeLHdJpdha/hpayvhDnshz
SgjDpqseSbkjqQSVFpZwjMnuSROaJFKjggK0qjMlp+SB+u77ssyU6a3jvmD9YnyKimY9kKREAoMR
9qjyCNJCPI90LacbMvLM2N0vEBp5u8YIZD3BC2+Er0k5fEpjI3WvOlhLz3pWPrQGkG05os0fmn2t
tSi94u/Zab5MjfV2GN9JmSTBdyrrIxUqDIVG0Z4Xv/ss1MeKKGOj9/3fpsweumol9bQA6xkRkSFk
S8OBKrtKuxbxsLlD5P6y7DrykLQOf+1yjXU+9PKll7esx/eotdEom+wVF8x1ca0HgnOqrep3itAC
RHsMJoC+LwVUhFx7VPN5hsARYq3lXy7fc40I4m0x3mR+MUWMiwtbhSapn4zJfim3sXiozAnJw98Z
k0fWdAfhfftDdsvBYUX2GOsDvEwXueuyS5DOMCrMRXNIS3qmojT+EPOptp/BuS9dZTKBDyuxaSLB
GQ0M1SO/XUt0ZtpgfmIrDEv/05vah9YxQ7+FZ5MxHlbp8UKpDnm5nvXF/KmTPxbwcTiCVPpCSYKI
3Wwr3foCYmCCRuGFLazpYdL5I3sC1uvZ3uPAKa5EdRaftLY522IRjzxhQ5TDlERruvPAJHztk02b
h8qFB+rHz2JFQ4VKwixNskCxZepO9o8cYrYzcfanZD1mqo6GItnL3uyA5uo9veHE4uO9RB8OPg0g
GmqLu58wskEtk7yLsfNPo/lIQ2ByNd26lIXvne4u2Zdptb4dnee89tXNAB9Sfvc7DpKGUEJYFpyj
EF9g/j4AZYBBI9KUekKvrn8PtubskUp6R6djqVwxqtvfC1Q7YfWGAiwCZEkmpzq4/nLuR6S4hps4
YR0nClQwlU+aHd+I6zMO5Ja/oiwxiZgB50DZhGeq6pN9XhnmEzlcsW+mDNgokaj/W7QZD2Zmfvvp
mgGk4m81IUCukrfSxhtQDpKlDZGe6Fn8zmrocwv56yk3kmHnzb52rORo2BG+KNy8gO+hVXV7XErv
ieJqyBl9jtW9z7O3J4no2zdxjzh0oZqWeEv0lSVMbPsSgadYr84kaZYsEVPJbdenh1boD4OvX1wk
vWjqKY8VSh3zVd+0o4+zsOh0cobQpfncSY+us5wMCkS9TVknyaEu7HKrty7W/4nil3cxtlYeoZ3r
dn1viTTUxb2qQ1YmXjHUli9ZMbYCA2MKfFmk/N4wX/Ld7JRR35rDUTNt5MRlY55GVGERJW0LKO1Q
xHEQe4hW47htdjTX32xT1LfGgCL1l9i9tgkd9WadD1FB6s+r27fnguiXiGWzCVZ3RkzWst1MeG7D
qgGsWFN9eJbgLhGYvvFISjd+coWTZo8rDbZ6VBWmDUdQHiknCUtOUp6xbcnY3+sWqENlGs9F3P4d
PVo9LnUsTJrfk8b8nCtX/k53mDcRxhy0M1gTxoPud80Q6/uoNP/xDE4cJ+Z4XZvOjWibAF+pcujg
VpPnip9Dy7BMLFbkGc6sMAlKIygK8hQ8AAtC1tHRluKxc9y3yQcks9oYIWRcbNMRiSykO9R0045X
bLZaZOkGb496NjDr6OXWXjP/IynwWZE0MX+Ry/qPAhBsCbUz2w+yn83vDkf5KUHx8I85dq42i2S4
p4QB/YW29+PhbrtaJVibk45MH2u9n8nVeHBo65iaeM+1QI/HxnGsZfdvmIz27mBmd4SQ5NRVboDA
FrQ/oaCd6W7WDzQh27zj5/FilIv9MdU+dXEG/bG/+LZM2l10bdqJstsCfMx2lOUYTFJ2mh0+d5Df
OJW9u0lgtNiEy6X811lu8TwOcXubKPWFQqEgJJvXr4Ea861ereU/P2+yLqS5doWMnVrMm1VW50+I
g92NtjLAGVBIXGSf/W6iyZXxQgS+nMWnQQnGVeoxZZysNoeWcuCzmFe5E50tkAcuCXNOy1zVcMAI
Eo4MErkLSawFweAwoGUsHZ5ro3nIcx+AcE6Rq0mVRZZXd1y3DkolLlpnV+vnwls0uERleT+tPSER
TjW9Cx30LVe9wQGC6NrY5SuKxqntMGWQfLclBkA7glEzSnGeXqnEVe/upJZAdMLB+rn0W6ecauDK
1nZOaMD9i1eYLiLeAS2MyWJh+hqYhJKzZKlwpj/lTBfuLtM0Nhesw0FndrV+xOXA+SkS42YMxI0z
orlNFPsQuuxg1D3gywSbIzF3k5hDf0YUggK2QRj5OAIBR6ya02PhKD7fgI3kA3vsvPXHIT3bBnxw
YhYZAFXGNleIYVeYiZ2QUaq/e3G8dltZZWpvVaX3NRVDQhtAQSVJyCmm3USB8Md1tR89rvB95kv8
U3WW2FTUk4Q2gt0oQ05F+hgtCBc/ATfpSDgIh9z1uCyZfTB6+1HFsuLUrGmYjlt6O2rXoaW7bVzj
3Spj8xGIx0cfjxrSuDhFMWqbPI4rtoTWCApkJJFGL7TBMyuaB9ANEPDcnkJyN0MPT3loLrn3hMt4
2SnsjycS5CZ6jBENJa6DB6LphltcquypZcsgh4aEAsZJZB9z/JsR2zSTKpZ457bJHpXfEjZVkKhB
k/WWSFeo3HgFJ26FCLKpTT7mwrWO+Wy/z00tr9ZQq0eaBFZe18KM+FgkWJkx0WAWZQmyiI2P+6tw
a/tsUqKtl9dZn7gI3BO3pBD2bulaflZl3EVWpx8sYpFfnNEBd1GVwVSIjCYDoXjSOzE+gVW1GuT7
kiHe1yffCdM579xNrll2G5ZD9ZrCJcTebG2qsppPcbEMR5xskieCxC3lGd4/K8vhaWxv2DaEoAY8
Q9Aqkp1nYzDsI6VOF0oY5z8kOXBFvHbnrxNc8lAAyJRqrS9u47NE5SSq8hxW1iHtCkTZSnALz+Zu
8dHO9L5HLHID5u+5uHp0eZRs209tbY1naEtra6CBPptLv0TaUPKM5V0d+iQx3hR1CmfiRcbrghJ0
XzWyePOaHMyJiCBrRKigxguRWuBMcabHzDsTgbCDyrao8IvNINLbUnXmdeHaIt61NTOCUHL3Zare
MnqvnmzHHx8mWp3fG23RwdyKD1q39aDSeiPEftTsO+Tn/mTNxNB0bRgzNb769viB9N2L2vkOjzZL
Ob55s5m6d+20ozbSGQCUVndo9x0q48CmMOhM7RPcf0LZOuMPTFK5wLlYUJVk8IgrYSIIsyjUvXPJ
J1XM5qWXGBa6Yv0C6wGioYj7TxybemCVCvXF7JCSQhlipNpunRD7j215fxpF1N6zmaSmY6bqqgZh
BjU1kTuXdcjAMHBoMIhgyCeKb5wOFXgeaYek2YO/fImE1Ape2A6yIb9VcZjQ+/Zt1Fy6WCAtMMn+
pQE+uyswpJqpPE1QnQyyiv/VieE9UBh+kKhrqB7X0PLQWKL79755fdaP3KAF9sTZ/UPkDOJMaMkr
Mg6TX9S5BEakDjyPIbSLLlI+d1OQyjOSctYlyjlgAoUGUvcMW8rd4yt3G9t51ssStVOc3QakjYyY
3tREeSuyPZVAd98Mqr6S9J29RFuHTjojZYVzzCAfr6exB6uaWykyj8YB4Agd28XVS+Oxw9B+yEWc
I/kcR+Ly3D5/b9kRUH2RFRe2RqJ+50pmV6vE4tU4E+h0gYcd7MJXR/SvcDo0P9Pa4dvrZNB61crH
wlriP70iVW7TOCPrUanJn2Vo1t+ixPnsr/pS/Df2ziTJbiTLslsJiTkoCkChCgwyB79vrKU1pNkE
YkYj0fc9tlOjGtQqYmN1QGd4kowId6HkJLMqY+Ah4nTjt49G9el795671YHBrADTEzPYMXhGg+Fc
G6zkOxzR6clCk18gj3FCGDJ5vsUt3J6HjkY5anzzgFO9ecI0EmwCz6GaJt/lvddV0SWdrGKbDRZV
dDg+gRvEh4J3i55hi8zjvvPH+QspOtml5/v9DluVl60sy4g48Gmx7gTav7kY6+000bgg0hN1LD7y
eVPPFTpWDPr19Rh4hzFOsnXJlgS/IDdPlmaHT4Yxv0S1nsMHmaZrkHwXhHno9z4Tyt2IX/MpdJNK
oXmd23NndMXGGNWWQLT5ufLH8r5pPQRaMUnkWAfbR9HwUK2Id69p07X6DPkIieJwa6uApmGDHAG/
/1Vaxfa+za3uehQ+E+oo0d5DrbryUKh02PeZWeE575pbG+7QlnSalF1IZ6ykLTzhVe3mCJjmyb2a
c2RXvDPGRWib8hVvfnQZ2lbA/hlUDNpzmnkuw6GVH8zD7RzHDfcO+TsSH5z161GzRCQQQz+wmLx2
zBXJw8JxJWkwbIfBmHbkjMYQHGLeET+IeRcwmAwvIIS8Wze4TH2GH+HZc278LMxOAfCct2qU7E7+
RZXMezraeBpbSoDan3faXHbz2ThXZEPOsssZuZwdomKsul0JUyKqzc6SNPNNWy80lBA/DS+9awc1
kyC6DRQo2DjrUj6xc0AkCro0YlyinU9eZWCgy/LwkNLOYH7OkH5cpbUwKOxjtdGlSVBkmmL9FbAD
1pYb7jOzPkAWeIQRUXZrdzaDG9c+gVE5Q6iiv4cTmaqvno+pTunUBPRiIsae1lQ+4bEH1TVf+G73
aBD4vrFDPs2il+9Mn39d/v+fCY74Pjfi3/efi6sXwGg/B/3+V0yXUH8Y38u57aWFx/FDssTyI7/5
A2zrHRIXWkVMEAAKSsv6u0HAFu+IrrRsF98AgByx4Ae/IQ45Y7zDUkBEr4se0rL42d8dAoalye/V
DrIDifPAxD7wKxYBbAU/OAQcME+LC8Hmd6AGxLDwExvfBpfB5JteRSDo8JXlvRyNflrnfW7Qv3J4
y7EEIR/EArvqOuLecKBFZ6YhyceUfPPn0XKnT0ZYN/TF0d9uNKuUdQTvcN3jk8eTHBEfRZDlGkrL
B1dFm7KPXkFI2zsnljhvBMpRdJRZD0Wmde75LGdf5PHRQh2IPrKj9vWWrNSPXV3ddAFtY0aYIc1F
a9xafXZvYx1f4yiUj5nBZDoUMXP9oG0zsfWNqe/2duq24T3MJf+tjkwcw5Ekjf1uDPOUJdFUPf3C
JHXviiwNmfSj4xOGE0xrjoOMW3NNnRHV7Q1Wdmopaxoza+/6A6Xo2DtV8GgBVQM3ZzQDpq+KApPJ
amj2b7KqumZlNKy+mxrp4xJ6x3GGitU3HYoyUKP0UTFJXRahWV20iMn5rvSU+w+dRDy9VbFW+wjj
Xrqi+gb1YEHaJ4uy7AKQjc5wGTZJiILIRY1al4ur3rInQFel4Qf3MzQeyr0x7/A+wL2llGSZBMM3
Plp+T9SWpzLM2uaez76lfz+jleLoiQGWlVUYDSq4Irjg0dkOic9dLGOy1IvaOxqi85l5NP6hclnz
BrSSMZLVjlF9xHg31ITIDZWWrMXhlkw02q/xua0Z4uqKCaBf33kG6kfaDvOtNuHOAL34AAIL4RWq
qn0ded6ixVFWvsFMLcp1NSGH+ODWTKQfQoHCmDUYYXuw0YHXkqeWS5vRx6+vdf/dTEw4j/7Aw5S/
FYTgfL9I8d9/szC9w3Fkw8gQJGSQWWMSH/Et2Okd6xXmJY/FgcRZ18Jd9G2JktY7xatoEkePTER9
BbT+3cNkvZO2Q/4vtFz+PYaLX1mgPBbI7x1MllCwVy2JiMUDcmJJrFffw/gtYhBbhmkEUkIseY36
WN9IHC0gDTBezALJARzS4ui32n0gHqw9+F1lPPhVeYGiL9h7qbHlOcHkSEALGoJrLRF6Ss6Nj6wZ
8PZp+G+DuXLBHaPHjMf+U0Yc5hykPa3e6dYv0x6MTpZuR3qQ6xkUxxHlXIfLnT28p5XwXJvRM3rG
p3JAKw5A58yw9gGFjb3L2yncE/B9Nt2MYLcxfyiV2V3NeCR9FNZVMWdMJyWyniH7UOHlAHM+6ZNl
FS2DsXbamsTYbTniu5w7xvaTNMR7fhVmJZyzyUqtt95AMQ21MmIJmKzrYHajXWbi8Mwbxt+JF2HV
GhToD6NQm2RoeRXJRJ0Cap7ZVfOuHeoAvZz9VsjZpzPlxivaSHtc9YC/qYrtoHyDefIBsyFNyyZy
vhgofNwxCu/9pJZoGIaDVzBRMhKvWpdZOZ+wN+S/BTL8kvXw/8vaw+aN+9dv9d3f/lfxF67L3/73
X17yt7/c1H/7P/mnqKSw+5y3UfsV0Gwtf8U33PI7ySlXewrDImRl0/v9RVf8iYmcwfNMm1fMWxLN
v73o5jtFBgE4dUoEh6pj+aNvL7oh8DGauBz5n0vuDHNI+UvvuvkjcVnbFEGSHBaXVWOplX6uRVJp
jcC9GDlGEqIqMiOBLhGbg7QPIo3qy8TnrEWKbzyXgMI6/6gz6NLQAEIbELGBrwDxP8CrMahuHF8H
9DuhuD/TNcZE7bnFPWnwWNm+u+Y3v5kp/wL24KYg+7L5t79KLtv3K5QtpGm6uCst/l8oKrIfV6iE
xlNa66feKROkk71p3oTwv5CYJ018S/uQgaXb57eSWEiM7gDJr1NXVV8YaNvwAmwJM9MaH+mnxtfA
z3RLjgBSfhobM2M0ox+e+qzM77nRKLwyQZuYmkldmFxElKZRanwCXjV8FvTY3nMeRyHe2f1rLPvo
0gh8GrJhL2Gb13kMwc/apT2aK+jINcJfPePHw4c5N1+cxHdxLhXOhZ0azrorG6P4bVelsP/nsSo/
Vpqu0Ja2ee4cSSnsuMpdckq+i1VpLc9N9XKdSGCwMbCHnLiJmSjk1tKQbUwTz8Gv7+P/MsnuhwPJ
f7fd/iuN/F+vDFdR98Mq8PU//20VMEzlvSPbBq667bqKc8bvnuWvf7TkZDkWd0vxQ9+dSUz3necQ
7OISNGXjKf5+ITC9dziMpSV4g6G4c6N/Zcu3fnyhHE5D/GYWhb4iI4laYlkmvntQZifVQeoZ5YMw
yixhpC/qEKeJfUpnt6KGnHV1tYDLaKVbUwKRsUdulNeo1WwPVQ3jcwxE+Efm4GKoPQS6nBOGtymR
C18qLikjq4G+mVs2l2Ujwtd5Bv/wP0/e3zeUP3TL3xN62/zolrfs/7DLm++W7cL2bKmwuH8Ncfqt
1tTvHAvNBxoQl2fP1v9RahIU6mBYYqjJVEIJR7KufNuBOENb7BIO5lTPVsJ2fuks/NPuY5k2h3Eb
Vz62eYssyJ9Owmhu51FMjBSx0mfPKf380ywjrCR+198NxqLEq2c43OT9nel8N/s/3keW5e87qz4f
DySAKEEXKQsRdQ6v5fdPfafKCduZLKFuhAK4+9y9opsf7zysE5tf/CgpHcoAhnBSYV8Wywv43QuW
Gb4cm0Hn4Bnj9H5s6d8WbKebyky9P/lW/3BRJTlNYplmLYcM4fy06DOgG5kjUuwKpwFmhngd3JfX
Z1CnZ5AdoC/Se9W7qBRgfXufoZ7gBf/jb2v+w5XlW1Ja0HjULg+e89PXbaKOyVedgMbye0xYgzdg
7nTytGMINkcSSiWY2btGT+mTE7DKrYgeKR/paDPIG3KK6YAj/iP7GtYONVQNSq6hLrM/qyN+vv9S
L0+yjfPc0QpoxI83JZpcMOAKjECuZxYmGq4ng8S9P8lbXOASPz5mUtOL5hGWiLUhNf/0mFVdXHqV
SWM6MXJ8IwrLm0Mvdi64JLUlnvQYRNdZZ4AAknk2zPuWmAXG6a2ik+/XcAMsEd5EumtwvVR9YWwn
f+7IdaHlcBckOkUmAMI3WDPGDfeJl+ZXmacRktaBrft969Ga3E2hjXawikv56Y/v9Y+RWfTKhHJt
Yu6IE2GNkcuJ9fsnm6oyw8WJCBwyfbJTCZKsinduxRBt2DZtONz88eeZ/+QDyUuF/Sz4QJsd8McP
DLy4G9zlHGeGYk8WNi0iW216+laWnzy79DvIfdrHFc6vQj4NQp2EC37IbfeAtS+DPllXWEb+5In/
sdL6ehU8roGS6DOESYfxx19K49hzaOIhLEbHfgccMttm/vR5bhL3PErsnmkFGuuPr8RyDv9++cIR
CeuEj1xec175n16yGQcDg3W8I16CHTm0RLI41/vf9tV/WUP+s09hFsAH0ZWgK/DTp3SR4zbLwAnG
a0lHbWhhnKtG/cn1+2efwlYgubFE4TKo+/H6TaNUfp8vn9KnwdHEEUBilk5/KTeWu0R1A+2FzY2a
SrLp/fgplZdnxsj0jilh9ZJJe3g2q1q+/clt+YcXHv6M4mPIGIRaSZ7h8mW/W+xHE6OF2Tufaq9j
xRchVP2DguFZflYmzliESMGHJhgJyA2kNAgTSWZy2ElBY+5dDWU6XHWtXVhXThSRNtaJRBdXdua0
zaFR8YRUCSlldWwx5ru0T2ritiwg1S4jRwz+t1k/Igi2VOraF4EV8LOyq6byFPoOzjZ7EuaMtc2P
u0MD7QQ9ZR0CF9EhGR3QG2DDki9CJpxPNBdDktrz9siiSZbouSF4fTKHsLY6iMfXloF0vKnbgVgF
3NxgiRmmDcF12Qf2YZzqMf1gOPak122hse+lYdbN71HVzeLBh0hj7XvUIPN28Mz6E25UkO81Gk8c
4C1IgYOOUjDo4J8xHhNSi0yg0hjpNm1hoSuo+2bKdktWXrCf5Fx/EKj5s02H6wRssl861+iPErGd
ahdktz8DdsIb5xTmpk0bf7qUZVOFm8EaURM5EVPUjeSseE+DphOM4kPP3BkT6dQrk9HosK5iy0Xl
03Y5Dpeillit7ArwbIFgxNwOZtoF66bH7ynMRuCxJ9nCBsAmuT7AG+ajm+CwQ+UUiOdiyopkW0ay
8/FPOka1o88UZpsAHWewdtIsJWIG78ZtO0J1X0Vs3FeTFaF6DrikwSouWxeNczEhiwdM2D+NU4nn
b7D7hhFtnNBp5rd/qMEegO+TEonOhKuXv6wO12g8VLatE2zFe2YQ5bSNEn/+QLDOJC7JAwrbrTnm
wkOYP+a7SWa5f8Q6iV6CmQOJHG5tJ+mNAQS63pmJhajbiQkEoMrojI9m7RWIJMoqA7Sc1tmTa/fZ
qx+hRVpRmEbR5QQ6uViR70lQHyu3Na56XSO/pArMPxslSdhb5BHpmYkbePA6cjH9kk9YvfVQSBDQ
WVF/iMwEw3dQLc3IoUmbYzGHOXZ908nHNQ8X1A5fGpz7e1cTGddXKVPt3s7qlmLSsWHyICt7hRbr
GtsQnJBYjZkRdvTRGWOfS1yduAjjIT4NRpe8VhPbGKxXptnwGOQCHNZ4BNcBMAQWwrxh047A371M
uvLkQYGgrLfZZFiv7giHe92Igs5pnY2G3AQia68yepL6CCc1r0+xTwfyhkwT9E0VoXS4VRK4SXQj
aneE14hSfaN7TxMTOYWLEB+E/rB2nASWszWXRnvl2K4c9/nUzfqmg3j0pAwGSjd+MwX+gwnjKToR
ChOdZlFhCu0YBFXrrFkEYk0yWmodDSFQlKAxxqd4aMDLJP3YQ5EdNXP9xmvy58mLGGFjOEOLzFzD
Bfo3VA5668R34p1sWqW2ZV+Cn6mKiblvmJQQqKNkbtM9qCoHSVBgogWuRU/mtIuvoF1RnIZ3BrGL
5VrrXA7r2dGL24al1Fu7OOfg/C1zJwzvnu62NprYc1U2jI2sNKNlPHfwwdMmJfuhpnRHrzZkcr4h
RcLF72VV8k3gfTf3EnhhuBOzFWCSrnpzTWVZvUVkP+A5t6NiC4GL7bkbvZjEMa8x1nnsAhkyK3XP
rwSuLm5gDaAwQfBdJ2ljb8aUNEoSXpBVLEIgBCxOru4iu5ZHw629YaNEKi/Bs+NFrXydDXAgEJFt
gGgQHySi0sPqwmj5UlEpIoYKbfzHlij9O3xGfOMeotebF3TmlSE5dB8xvE6kyLiwqTa0Ebt5n6Qe
aFnbKYfqpvfbWR0xdcpgDVQAVrtSE8zZTDXVS+2405nUrSxayyLRuA36MH00xwUpVbKI7ecoNyVS
3tCudpFH1M3aiQksQRKmoEzP5vU8RhG9aiCVwzqc2e6QtToZIAZJQzoi3vtCMV87o02D59E7Xnmb
ZpWVLK5p9DJBNjCgm8lWBBuAmJlYJhen14qZmvGFN6L5ODFvJQqmwGGOiNLGpZaFihd3bNG8mGFZ
wIYhY6Jf4fuEOxESd4NtVwXwx4SXMesbS+08e4RuM1YMe7fZQY4lcAsMUJuTQ5QZN1NvYFEXg2GI
9cxnfiIaBvBGJQt8G8aM130Nz7QWgABQ625b2w4+xuxZ+UkGFqRxxygqZ1UXyrgO/MzzNlk3FXc+
OmPkhZhteHDSLrpP2tF9AJDsf8k6LwaRDHZTXHDSAroAzxf2xxyi52vcPpRHJ7Gzx4nCjliwoHE6
sj6WI4+KfFujjULLyuSlri+JXmouDF5tDNeJLm9UqQYKSQhOD6kfti6C8cx9mtuqvHWMNH8okgYP
X2KFxJ9bwiqhuhYYkkmHU9OEFBjpMsLDOB0PJrLSZD8NEwGXywW5snNdDKewqbyemEo8oqwy1fAp
62XOnVCiSthUaQ1xDyp8XWW8UO0XeC2SMwWKk/gGl8/0WEwsE4rJAaNGwu5F3sZkI+/XCXEs1vJa
edFyV3FsZldyNvNoo7xkpK/URbVcZBuTYe7GUujgxg5kPt4ZpozTeg2iuNWngn8H9WECBeNi8dIT
bxnMvID586jHzkXfVeAc3xQWkJT2iiyoL10ozWwzopnMs22TREplm6/13i+NSv7fbHnyCH5X+m5e
2pdvY45FSfJvf32OsteX1+HzD8OP5Ue+CTHsd8vRkHElrWXhfj2o/dZ5QmyxHLqF59DV1JIexe/D
D8N03tGU4azBaka5TnPm996TYTHnpOXPYUQw+OD890usRvcfhBiadiunfjiS0CKXCciPdTqpXe7k
9QNPOGj97jAVnd/msIdzyuPLkQA6Y09gRWxexn6jdpVpF2dFsXo/5oVHwCRqL2ao5i5CA7bO/Ggo
jmBn6nNU0ubI23LEpyTM90RYfHA856yZOeybMhr2FW4sdnUGqXA5YuSc9XzOw6A/DOhrifJwWKVk
gXKpuee1dHddNz6iF9REq4rQuHXjoGhWna5GwrDkBMRadNiI0PofFiEZ+Lg5P8b8+ge05f1dKd2g
2w524Z7RHyvUCRKLgV9Y6zxwClSSYF1SYYYwC8qP0mxfMbecbZXdcktpzJCYuUrdxGdLhvsP5LQ/
86EAAE2KxPxW1+5VZcfA9KKwO8P1jvUGLR6mWBg5fvTFpsHHAhGQAYKub9mUi1Ec4eo07akWibqI
8La8VP1AZgm+pDWm+jtQ18ZxmJJh3zpQt4PB9bY5Gm5CFSFm6pgQrc7p9K42p3xXDxTvVL8wukhH
240z42S3HW5L1FrXFXNXossABSo5qI2bzN1WuMALYA08dAyL1wrmR4lCFTuyUQBhS8PmZvYYhBFr
PB4Jj2quzQrx2tj0BYFsoDa7kYxoE8bbMTZa7C2IS+9712c2XfZ5+6kezHk3RI35ESy8PE9MpZ/T
2jP2WVxnuA79/ui2HVZlgnnElo0EEUjZ5uWGsA/C1nx8A5wqL7oWBWuItB3qp1/vEjOMqhWxLdOh
9ARBIy2dnHqhrrdrh8PN/cAutnbbojnBaOEQ6II712Ud4YAlc7IMy+TsTg2609aR+yDtuIaKUyPi
xlR/Ktyx+Oiy+WMAnEhrK0frKEc7vseKCp59RvuWKNpHATDiEye3+kzYlXm0vQxSGt/6isBSjp+E
c/iroWy9bDuaCaBzCPUXQyGMs4o9s9lkQTOoFS4Pc++jIHiZhqHfT7RO9lU343+w5kEd7Aox7tqO
W1pIXi2hv/vBhc1B8WiF1cBz7SbnopkcnIvgDX0J58Em6+BT2Buv5uTtdT5hyYubwXj0YKluCjK6
4AcU3gsU0eoBlp8k74PY5nHWyaZxkvFWmoWDExAUY6jb5lMwS+MkSDV6j8AZ51IdfcgzqfdO7jAo
FW6zFuEIrY0GzMVQmQCR/MzelcZsbmnEk7EZCGM7ctZE2iiaEK4C6usvWCqqvefl8qzjCZ8cQk0r
z6PbHK95PxrX4BUBemTFoUH3dEV42Klss/rCk+LQDlV+p2er3PMYXDHEuYu9/KWw6maF/ukwqJZj
eA6+f/D658nyjMu5CN7LXr7OTkDZH8t6HwJfARhrJ3em4WmAlpF55dbmR03n5ZEpdbyzczgyFgqD
XmcvzH3FzsoL84ocBBs44/zJro3+dehT7JbefVEU+5LUiY2rJAQYgAPz/JAhnfab5JYa6WWwgo9T
rx/8DKsNsQI7d8mS1UW9hcm6pRm7d1T9ha55cC6E89FM+0/aIoFmMTpsxzR4hR977Yo5fI7o3a4I
PdWr2RrDz75CORzqq6bIKkT+xgcqOVT8oljnkH8aFZ0zoulVaHxkkKtvLGlwyI2qDz3NEgWEprRx
EhRleBNC4rVLbexyHC1Gl5c7mnsXDFH3fYPWrLXLHelA8baigkkarZfuhrxTrdXscaaxNGpzju7H
ynG+lJIcT6AAd7b0i9WATc6FHU2UFQiFMveuglbiTMzHZf7rkA2iMTJJc1Sr3MbYNXfu1s3eSK0p
d3ZFcAJrxqU70XLxDS89TaqwTqT4YlhBxF8aLpZbgkoPoNQutAHIqp3TTyhfP0ezAVEeuIuS4aUX
V6doiQsYMb6uyAL8FJAjS4Pnnsn4QQn0vCEmu8j1LyH61Jgz2FPaWn8GH9FyKFC34TDcZ6l3Hnkz
qNgs62Nn8D6RNnud9bo5kOJurYnVuh0wkwhvwLWvvC9JEJoozlu1w+CH/aA2ruKI3TNWhE1p/gIG
ENm4Vnax1xGH72BuzW0LwXBFIBdBUn3OQWfWZ2RBdADC+UFkGp19XHbstmRLrlEM3IVV3a0nQjO6
BsSxj1fiMyek9L1ncNPsmp+FSpaTbQhWZm/SNfrE2Yzo1XoRKKdJ/TY39IMKvunewxG9pz/lahJ+
B3wjA+d777bTEFjKeSaNJJStN+wYX/lXBXmiIYKDiHyzagkm7EgFuisr/rmpBeMNcCRdPxw4I8C1
1eq2C33ozUBfV0EbMuP3OEyEs8hPFl2oNTkzPTLMGH2klVxkbaRXaIKMTeLJCEBGle+42c5VvLSe
CEzbG3k1r02LYlxNeAdNOkQvlchQeMatLbairpfJSVPR5lOYgMYTCnWNcjxq+vE+I5PRO1F9Q2Wx
iH+k16rGzihvxpgE2T6Zt1lZlegLiZ6AngDh0IdjhgCT3t+LA/u1gr9hecWGnWWN5vBJILCHoyEI
JkvkB2jNAKcj50Y0zlpX3QYmHgxCEgCGKNn6XXDly4T0BCAcYcQOsC7HHrsISDhAUq9lP10oB7Oy
P4rbMp6KdViqG9OM6L0IdtaWMN313BNmUmOoLfwk+4Ka3lzrAiONMvNxwy3EYjnM3rjp4ARtaPu8
xGpCQesrlwMwks6KrMCxjlZdbt3XZDlylWyDVaXAGDkYr1MxxteqaOp9RoxrUTAw6xovwIadYz+z
Fy9koR7AR16G4GMPXoU5kc5PAACb5G5fEJnhpzylwKK91ZDgQfCdqT8mbmQfsoj2x1o4/rRJZADX
1ghCJGpDckgxW+37iS4p8rYnRIM+DBVSecD/FlG0LYfWvyik65O+x8HGdYz4cYC2fe6JRrnrOf7q
sKp2Ve4aGFzaL1VGiELFryJ4JI1s6I+UYeo5bhYeaSxJhp7rAfBY6O3MGjetnnmM3I1U44dk8qtd
SibcFi9BuI6m9uwZ6qMjs2YrUNfcZxkvfF3gZHJD/H2OAjY9OFX02mE/P01ZxRmd6FEEpEndv1Rx
vWm1hRO/bZMtGxuGsq0KrTyFQxhZJYmlmptqtEgB9n1RdOqQBNwPxHeGkW2tYUwW8x35KhUIT6rp
bGWnQPg2UpZzDfBiZOpjT+ZY96toqtJpnbRTtGQNJhgZdsMYZtPOCjoiZiIs9kZogALJQtfILl0j
B+nag4QPjprO562ITfoDmVRNvUPvE9HiDCbbfG5sMR4rYk3ByNYRjdvHMG5ixM9tloRXZimQBbHA
Ei1agkcZzbUd2n558gAVt/sqaYa3og00Uihl4U2QK+GBKRe1gh9iBjZWR3TOS2I7FHCAOYGVRifE
1SA7bK5Ke28wZzjnQoTVK03fbtiM9NPx0kRzGNNuM+booaSsPZWqw8q/sB1wIVVhdPBjEIWzaOQp
bTmlNBw2zHMDis/Z5lNDsLdqfHWOhDtixU2Hvq+vBpklzblOwvC+iUra4ejdto0c8u48TX1EeHYE
2WGqCQ4/WKHhFMcg80gf9joZseEXuYGpjI94cfVEptk6mzroGYrkreHCnEvcJ2Wf+cw0FKLLu9Ii
He1oY9O89xLHefXiLBDse6ZbbsqZ8NKtPYFjg542NdhVOzkDIVZkdVs3cQ8q5Nj3Mc/XMJb0wtsw
b57zyVAOBCY3Qsw84vk4TF1UWh8Hmpv6REMKpTod1qjbIL2TSbOCLVYTAzrWo/E+IU19WGdj5Tbv
80hV3gdTNyzVtp4iHH8oY9o9b5eAhKm6oUth2RQtjjY2NdrCVhAZm7yvK2Ofg4OF/ZWSdXhJFmZk
n0aTfh+znahNN5aREKeD1Cao3+y+Hdh3QoM4bfyezkVi+zM7HpyhR4ya5ksL4oMFBhbDA5KzCRyk
jLLh4Nf+e4EljjD2SUfjJaac5hCNxWy+0W538a6NkyC1vTVNDisrwgOn88wM/spo2f72vFxqOBWt
v6DGXSPey7B2+0ejacUCZBjH/EYwgmKbzSYOxuSfUwy0ZaPhZzTofBpABB0xGEXmqveY2rNjlGbO
GrbaiCs4yjjHkpNX9yNRvHkMiDeeRuZMy8HOsrqjO9viRlciubFE3a/TweO+1iQj6VVL4NoTGSHm
jTdK+eSH4QMnJp5P+kko4cOc9DeL127dmV72cUCAdG1GfbeAvXAsT3nd9hvXVKBAwmkUL16qJKly
SCRWDeHx3qGiCv/AWa9leFSNujkBSNNkAs1Td6Ynr+htNtWOdO8WAFJl+gCIiPf0Tpjs83RTqj65
V2Pw0iaWuowKDx+yT7e6c+XVbIHOTLkBedBdgjwYaOvGt00Aod6Ny/iU6Y4cBBiM6TVzsy9TBVNU
BwWpA1MJeGAg4QxCN92vvrdw7yMi614MKbvfxsX/06f6KxP3P+pT7Tlu5C/fd6m+/sA3cZ6DFNdF
OK8t6Tq281VM+lubylDmOyT4GlWebTkKlQMCkW8iXReFFIIHhAjocxezEX/0TSJlvuMHGAEL9KCE
gKCx/BVpnrOIA78b8yMqEDYaYnJyYICjzfsqhv1umowI0FVJTmJTOOIOXEUeiU0LJ1iW63pUELDy
IJ6f+9mUD3MZwnvIXS+O1s5cEQg+jC1KqmgE/zKZif3chG50I6zab1YV8Nh7Rjb22zBjWN4QKHWC
bYCkNWWMiO1uHPpVYVTj2S5N2sABoaPvC/oTem0QtXzbda1zYUpfV7CEa+dxZFbLSHPOMb+6aTlQ
BsqJEiFNyBOFPB2IuyEQlMKICYKPjejaqwgjtL1hQzLbnWgDvpH2k+YjY3Uf7H5uZ5Sqo9AvDFyD
26qELQjV3U4+B004w1cu2EP5hkm9eK1hcKEQa17q5XC+nmrQ9JQogAoom3N9rqBOE01hGcRklNQR
7QpQBIRlXPowMtVgBk8tMbqXxNSiKPFdj9KxD7LpNqRJLfcqHJpTJlwcQ1nWc1pHxZTuGt2Cu7LQ
FfSrRHfmTCiVh9k/t1PmWdyXzDmWs7AOQaB0eTUEoaTBB8zuCYUDyX5SB8yyOTJ74dEYcoe+loYW
wLUfADgR6AcyjVFrEyLicbxDqXTiHO3BuUtIr32POT3o9kNjd5B409Z8b2RhkG4q7epLye8HCrPV
gMBRAc0PZBlD21EidI9C0ctfxfCC0EkbeOrxF4dWvOYacnJIM8N7VfVoh+tSOaRSjMSeUVSZZX+w
RObcwYMGmOQaaX8/JKmGTiKbCSYaVeBqDGPmAJ1zinIOFMMQ+RN9Q6+8RA7qOLj+B57j0dDmF9ew
jQxAHGmm2LXNhpF2kBJBIwDeAI9NLVmt27hWExPQ3i4hahjiOu5w/dvE833uZyW+sOuJa1VPADiQ
ptq08YTfY/MdiPrdJgzKRjBXS4+O0jR6BRPKBLu2ZvLpU7fpn/GFlc86R4qwnrB1wgJESXAg8S6T
qxm31yxGIyI+McfMhU0DUqs11/VzPCDyRZUGZ7CwenjzMmnltkKuf3LaNoW3BpQGvn0QWqjHqwzU
rCL4tn6dDB8E7eylHSQl3RzJrNZcSPJf5XZCCOzsNdYz4uMV7JaN1ThnM7YzfxuUJR5Bkdkus+tw
AWhaqsrxyHFWJhaIHuG+gCJxW3uAZI5L3522Zp7CF4OR776WOaO7dc1RCxZYT6v7ajSsrqNdNw/X
JtnFtKmw0761ptvU59rTIVyp1IayJsZR7E1Ukjjs7AVEXc7ci9XUF+UXgeP2c2Kl/seoKeYXgkGp
SS1DqSeOwYJ7J2T5lIZGaeC3iSmBxTAJEGaxQwRLxRgoW08+wDfX6p0YFJbVX/VlGOK2m83u2Rlj
+2VI5GRsQjbTdpUNOVyqeTZeQFo7zGFR+LzpJvh6fvOb+2jOiJW1Wf7CLeTVih5yZt7yjNkNV78s
nTWamSTe+k3cY5Wf0DqvOUBEj64vopxsEB7cVV0JYr6AhWbBNkdm0p1bWXrmqRPlMF718v+ydybL
cSPpln6Vst4jDXCHY1h2TIwgKTFIkSLFDYzUgHmGY3r6+0FZt4sMqchWmfXimnWW1SpTQgBw+PD/
53wnHtmmDC4uvGDsdXfulD6PA1NxTeqhsiL2JuCn87WRzY1zW9YRWw7iGmskths7Qfawo+Zfjpxg
LH0xmGaZflRVG7vbJoK/hcM7dacPiGBD+8piP/xsJCRWsTuMAu8sw84v1nCErGSjHE7+V7UCNrGv
6WGnl6VqwJpMYF2OOjOm7rqkIgYdAONoQOCGY7s3tmVAqG+iCVa9UcckGDU6V8RhzDEOKRyZfT2B
hyAQEb2oj8Oq3baTNu9cirLNZpong/a47Q4URHjqMxlUSDQ/Cg9VymdUUF32PSVGmoA45KnDDvM7
bEyv9rzpLA0RHqysKbPvvSj3joQBUVBHl1nwZY7CeqYNYTznfPcJZnHeFQXTmMxWLFzd7cCzmTeZ
XcM9R9NHOdqwY/DO7RRFH5WZDudtEcwPcZIHeu3MfvJhtmj5nAVeD+IzIcyPGKqhrCh/hfNX6GbN
FZyO5JFqgHsRRY51H/BBf7WqIYI1Tq0Y2aQzuZwtEGV9I3BG30kVUhrmc8u7tSwCjvjsgCPyOUwi
sjZNS54LpBrbu5f96NMiImWwJU0i78Zt3TXtFukQakUBLvVRDxhnaJqWzDZ0wOQMAWsuac37Jskd
ru0kl7Eb608CyMW0H9pKfS7pohNOM+rpDkAoY69PM2rHbR0ChpIDLHFCjaUQQINRT22oT/MA62YO
63MrDkfKI3OQRgBCREwlmoDIYa2DWn82ndGWa8O1AaYoi6oehy3PqqCPyuQudofWW0+uX6PtkTQZ
WC4Srpr4QXoJgoH7YT52CLwKMb2BhxaPQttEkJVMKCTjZWQQ7hKAHI9OqPIfGEeDAsGzUzU7QwNW
4Jw0flYioaBeBabz3HlVdyuFREeQ22OW46hvyYqdRsrxxKb4h55Q5m9ePKVHXLYlEwaaSviqqqXX
UJGIeT1BPy+BQs2csc2LIq+AAiz6mnUbdvib5s6gNlnm0w8KVv4Py65MZqfc/hjLmTCnPG3Ie6RM
va+CqfzQ5mP3UHj1gpK3uvI2blWN2mpKOIkgfhCHOAbKs/foOxB0EXjNZdZJAnmauJCk9xB0oTdk
WeCMJABcb61Z5JLDwESkSRdJ85szjDMx6VVkl/sJoQkUgSTMDubYUzKViRC3ntRAOMsk9HcCBAP5
kWaC69oIK/ZcY+Ldkp8IMZ7sMgq5blVgHaJCZT6YJB4/+GYB2yx0GmxHRBlKcDlSLSBM39KbVmsy
R53YI460ypKP2sZ4+THPEyBh6D/CO1YUMz0kfmp9hhqM4EiOKCYiyvYIbQyT+MUp8kS4la6eJPCP
Ar9nwQH7Di692Z7N7JweGjfKxo2UUXo7J2Z1TJwhRp9sGiadtDDNLpnUo6fOt/tvuU7Db+xmp2eK
Z+WjN6e0vNxueXUyngW/ktpzseabh/FjVRUyFYdTHnroILprx4xAiVCzHVsRKmya6wDy7e2Q6IBi
I93nL5NOaK6SZ1nvlCS955zDIGDLZgg6C0QpSDnWpND6XOd9eQwJE8/3ZZWN37BH4BaXrB0XVqAJ
nmzswuJ8ju+6hKRYu4dOJyiSOiuxzgeardlGtolzPhchnEodS9mvSDSC6s4YTlk0BfUmsquq4Ixz
OnPjLNgezMj3w11YjQSWEi9kPbBHyMFgl2wSN2Q2tPdR58C3h4y+YIXCBjo9Rd0ccnwcG6SzBG28
QPsD4aLjnP2bCahZuLI9d7glvi26L6VfEdeEjg8AVyGiexgDBLq5CaD0ImXrRLiL0v46BdB/kdp5
dK1RR/+M6HZv8yqBfMUaH4KF9ohiscwKlx1FLOAcRjbyp70q8j/O4D3kNuEzo25sPMjCQOqVGHK2
1qUeinOCiigookJXB3gq9h0lHGC7QzPxF5CsHVz1UvAbhiIArNWj7hCrQQ6SXBVNBtP/O4da/72B
4vP9Hx+eqvYfO4IE4U6Uxf8AggZKZw9fqc97xsItUExwPP333rX//Tx9j1+ej3/75/8+Lwv+pn+q
ONy/PCkwEKEl4riLT+3/nI4tk4xO/vE9HKwYNRUCj3+ejv2/JDojiIEOh2aJG+6PDESnZoDF+4bg
XqjFR49t1j3RjY+hCgaj6h5prlXO1u4zB8RL24QmJ8MxRQBC6R8F3iFqaQo3cmrOJcRR2DFpXjXe
TZsqTh2E8gCybh7LtmxKOthx2ribJnPh+W1qAgLdr3+uGPqfZn/kDb4xgObvzfNTnDwVL0cRf+Tv
MaPMv7CY4XzybNv2XiJZbPsvSChKLXWNnxIhCjn/zTuw/vLYK2IKW3xTSK3/JQSS3l94iyRifseV
UjLK/qTCsqjxX9gosLAxGC25uHd9i7F8MoSAcUXkpZNn6M5lvDfqwPhiaDt/x3pgnThElsvYLr/V
YfgLtEgn3oOCo5eFzN/apgECYPiQ1dYplqq2mIb7SdrfBjFU+74RbGjaYjo65OyRF2ilT86YdR+c
uQ+TTUd1et8rVgF2F6jvmqB+x630utrkLj9TUV9R7Aj4uoVabuNFtSkGRt+KlMRGJW3YyCW19RVx
jeGF7sbvIZ2vDwCy+02n0DC9GDLHX13d1vIETl6EgjuBP86muIYT5PWli8QasGSlgtNxmlGFarv7
DiTMNpa62c3ondYzheunHBoVjC+zu0ev3t7bhHh8yJ0GIWY/Hd7+Sb8ZGoplmKHGj8K4y9z38mEk
0eJChwSJjYCixrL7SXeZm+d/zwf/txabn898cQ+xIUEjyQN4fZm6Je4AJfWIcj9vDglyD+SXQ7P7
85uBHIIxhW8KDBKf58ubKZ0K1KtHEzQGoobOqTJ2nhk8v32R34xyZ6mJmg5DyIFx8PoiQZ0i1krj
aZuhZv1gO+a0mfqivBGtE27kHHToeexs+/ZFl+fzauAwg3imL4VjOhipT/02QrIXxjMntpyUHsmk
io+zt+hz/QJMHR2UFS2pfIdemQSevlSf3776L4NkuTozCEZacE62vfjVXnwx1CTA6wFi2pKTfFR+
6R6xMumbty+CMfb0JvHWufz1i6EfMssvtreKAPeSLJwtjb9pM0CU/ZA4YXJOAZea0RSGyZfAB9Nn
i6KBqifDM04dNnMMuTGZbr/7hCE9VoD88L+ZIeIIu8f/hNJckYaqhouIbM5z7cXJLo0JLFgF3JEL
hg3plzcl18US7YoRXDtfUGQvpNeUzb6Xt3gB4qSPt71yFl2dsHtU7KGp7/RCZmo4ml60DQc0OpMc
Y6PG+ZJClz8DgAtXzs6SH25tG7eJKqddr4d+M/Ga6eUyKbOjdHoifN3iQ9ZgmJUT5w2FTWYl6+z7
FLbVd60SgA7UMnTikZ05EJ28FcoKPuZjCR5Ljol7YQ6Zz6rv0L7sejl/m+1MnyNFWxxRQ3LX8v2z
3zVislGq0KEAxZNCmVlV1hftJMO26Ir73u2adUnQAv/NaLuXSQ7sMHI6WpNu2O8oorYz23MR7MKW
MFBvLrodsd/9PT6xCbwgGY/GnNkfzZAa2waT3vwUWpOxsqlYD8QAkBeyrux43jaDLqGCiv6hhaK1
zeqYejmCPrXhALT3HIKywGbCOJyqGmcOOQZuB7rLtY30rClxE51LXiFCp/EhKiEAOjgTzlQ1hvuK
SRwQq2kdGsg0B3qXMEQHj0BwW1dnrNLuTTWZjxEv54hTbzfPkuwRxyDmJ0HyHQ6dAwaj7PelTbKu
AGkORZfYGNiwGh97bRL82rjE8Wk8xnFbXGplPRHnEK2RRpgrIqUAPi/Bl+QC6ctuROKCOqTfppna
d1MKdTwxAhJsy/bR1ZC4HdIQK80IqvAzFBrKIcGGeiD0xkJRlpoXOhbPOkdkF9rqGKftTeIkM9zJ
uDr4ZegfnYYUgpJAs0NBNGxEsc0io3iLQ7Df49R99JJ9mZRfO5ldtob+XIQdwZgwaAOzeFCVRKYZ
8sQyRxlbC9MbWab+QAI7HGflCLBgqYWvKWwUShnOUdt+bEe6CVCd0TKhTkhWpS0+lcr290aTmHtf
kyCTkhW3Q5tG4bu79iYVrFD6kjAYySvTI2NnHgRCIjsndYsUmSpNzWAlmqT9iDuNJGvLP7TISQC0
ifkG0444RHUfHMH1P4+e054hdOgXqle/LdJwxEsPnFgbDRm4hbuN83z60FcTfesQ6Q2Vx37fLuyk
etjTffzSUpDce3HxUFAiWZXQPQlOvDYK6d35ZdkfRWb6X3pdz4fEzIDXd/6xyNWEh6guNhYaZnBp
/TdVo3STLj9b4VgIMSel8bdAQ4NsjQaZWYC2oDcUScJzeAf3ntLlmAH/5aH51mMfUyl0xfSUpcVC
GvOeZ6/aW6i8qHUBJiC3Ihbdp26kN20TdrTtAeRvaJbmX0M1nWXSvQjrykQXWz5Y5UyEUzx+Mzwv
BLEcUUbMjL09uPPHdjQg6EnkvoWPf0hi+bgiASlfVcMklwh3wpBNhlbXBcZudNrngFMptprobPCj
RyLHrsqyuffiqP7gQMDagb3mA10mQc64QoUcXdMxOZtiBXPK9dFtou2tHIDs43RNZehAKK0iFE9k
6376+Tllx9Es6Z0kVJSgzyAk85nAW/esbbrzoU6e6aSfa1fLcxXqGWby9NTX1JNmWzFQeMUw3++b
CF5m2k5ftO9+1EAxtwQdxhuzUcQ1ycJ+dnIKMBUi9kNsRndFmzxMYBbe2cjRM/1lrYJPJNju4v3n
eOaf7HWR4plpHbtEX5H0N+0yPVTFTiggIZz3UTisSW4h54S4ggbgn4Z3t6ca4OiD7/Tw8Ks0r+cN
CT91sMMLFN3Ecc64CEYEO5ssL8vnodX+U5Cxn95ZJAJsB9QUtxoJ44/Qrkt7baEhMvdtVk8+sk09
PU6xHz0b8YxarQU0zQarwM+zC7WqkEp2+RN9V9Dd6ADU12Ji+01tjAjqITcIhphdjxpmZqRP1Dgd
DLIEaXLhZCbYzjQThJNT6LbGDplM/szwE1cdbKEjuYcVs3cfhQr7vREfETmV5DMvmNg+MKkjW7lo
83PkeTRLJxxCLYYAkh03BuWrj6E9ejcm4NPkzGupph/GIRyfEIzQjXO1Mz8hRMEPql0Vz9eRKQOk
7XVDEkXpcdZCLjLUhGa7A2k9IduydtWSXOnuBrKlvyK4qCvI0WiGqMMUTGw2aP8rz05GEseQvt2p
lnxqJPVdekTzL1ldVN/yMA00Q6swE/6lkVLe4vgyjgQWc0xfAmxNsknqjuTeFRCR/kY6pQviNmts
8MkC0eCKMxjS99yMgnyTpk3+IRYJdXrDaZZWiZAENkrTHfxtIwdnXOcmGtZdVRWyWA0E092PrkGw
RKwplG6MrvRoD4qEXnAQ5iLZeRrZyoXvjn6+a+iw7l3KzxbGpNRFrqvt0VmnSU0Oe6Y1MaK+yFxF
zKqqaJi5QfhNufTZN9S7aiK3+qn0N4rMru92mzHV5yD1N5hmibzywMmyUaB+7J6JOjcJZzAH3FEV
mmvSxhLCYvf8n3o/uH6EViiL6q0WLBsfndnI00tXNV5AOpNdtNZ5hiK3IH7FHJvgwLAo003fjhOR
KKGIDxQZ+/kz9Ghj2PicTuH1liQ5BhH2mi3NAgDvTm03OBMtOZJoSNFzLZfewrbLR30Hrp/puXTB
mgx9naabiJWB1BA1ENTgMg6uaxGZ8DvTMJeUTLDEkkOaphKWdWttqwb3JA8wNMc1mIWGyb0OieWY
cg+25OSmzScyQLuHCLnRtWPN4wN/ZajXENjTr5qD21M9ZeOTmGpAwSZA0XVvxIvXRrhjSaBa0l9N
JGLi/5rzIV9buiEXAaOt+yWshUIpmKCPXCHkxpfOJBqb6wQOMsHfvdNdxBqVH+75dvgKJ4+Jzgg0
sLFWRkNErJ/VoNI1enVDn7VBd2WUbKbinmLZjuncdTaqCpN7aP1ZsFZxo2POl3N/6YVD8gRFtCX7
zhEsZyi1AYmH1EU/kz/Pg5gqa+zJkap7otVz8NYrI0SjbdPUT69ciwS1MTSwjC7b7MsC6x4ccWtA
UVQPXUSHw/PbjtzKMPjQ+Oakdog8bfKVwtZ7HGRRM9QF8rNV56b9FXrdoSG7E5ncWdvlPoyQACke
dlTpP8wmhdwLy5mFPk+wZbLaz05ED47OoFilGvUimxTvSdkNiYpNKZydZWUmQNaBRsWOaUJ9zulq
9Lu+zCscgUYyM4FpchlF5xA/WrST+y2biIAbjWaqL8a5ND7SyA3uaWMLBzI44retxQvDiKfMKDsf
7cSn+T0iB4CyMDIRTYzDYV/gDieDAfVpt61obl2Ng2jbdTSlwXVNuT+jY9zbCTsVvplV0bvQ5qcG
jPPOSA2QuAUv7xvzqy1WVcURctNZxEwhbYztT1L1YbSdXIl1B/dNTFdbWfVZSnfzI2R+8s1klsbm
qhUJsn1aJMSbkjFRYMOnynHrAwC4zQYJ6K4vYazigBxTcu3cerhy6ql59ocwBn8Z4u5emVM3X3Pi
SB6CMIJqX/ZKXtFDI6/LgiP97DBEDvmccJBAX1F7UPUGSii23xKV3S6T1WoKPAsHkWhonJauG/Ix
2lgD0M+kzQU+cBMebhYNz1FZIZGIGgIT8IKJduM7RYiYwBj9m6KcsbJXTo0te/YdcTlkVX3t+Ub0
tULw/6mfOMQQm1O0T7jhibFMPbJrc7OgrTcWqu/WDXf2xRhJ7V6jYiFczWqz6g7SQEe4npUBiC8G
fsZhqgZY6ST5ok+w2i74KsB8fzeFg8xHSsL6OsKZv/vKICuLkAif3jxRsiQ2h6ycRSXVI4x2Ak9r
qcP7nJmfKBnc6OW2aTxjQqwUzOVlbjXO40x35IbwwxjDmSJCcOVMHtkpjo3vfRUS9ooxf7JYmtwi
ViveNLvIjFABVE6ynXvs3mF6R0pZO2yieKzQ9lIou4LamFwjCqpZB1RJagF2D0z7VaqJ9ustDWQ5
ZCszH8jCyp5k2I67cDDplYoQ7zdeGYfwJjeO7jqFNIgTUQqggTkERbnopJVTWjZ6SJ+68qp1Onsd
nueKUhLtVH/ewtIdbkVsEC1TtnN5MzCPMbCWc40P3l4Ew3DTOZogu8TL8yMNaLTrMwsrVgDXQK4N
SjRhwYuz7DnqfXKvy9xMNF3npv2cto53hfeOPm7jlji6cLb1MQoxJASo5aPsWtAwaonnGDsyE2Ae
cJ4Jg4apdIwW0b3A2ZGDJLzv+o5zzYj7iQgconlgnPd9Vp9hiq+jWyfPbHb+SfTFyC00AmFi9Beo
GjOFisGrP6YULm4aXLykPwnA6Bx/bISZmSYvZYdXRBEBCw2W7Fo/gPocdzbONS9sl/YzBbFdjDKH
rHcDR7eL9ItobVElT+MI3mFVkHXu3XNIittN4GHKvGsD4p8OKm7Dc3ewgi+9KJN0LVmQxnXEAjlt
qVx2n/Aoj80afnbn3MMAsT3SDudiHrZeQiJoO5vD0lV3m3bXWSJ4UJ3NSp3LbLiGUpV6W5cNhF5h
I+7KjcDhwZBmE3cme782SJed6i/AlWI0nGQH+B+qoZ1hQ5ICq0j4oyPDgdcVH1qtZrUJ5whcLAHK
RDDRiFVnc06dh1z7sf4E9CPgjACI4bsbCxbCIfcZPGUErGtFMwM+fWA0Otz6rZ19x37NBCJSkjyW
3UuCGS/vqiu7S1sitQoEeJu3604/PbCvams2njWEBySGQAj0f5a1X1S3oAKNLqECHVpwVdwKOyR/
IVZxOuHlqrJdWdvWbaVy6zKxp2ptVV2z1XlFwKsoEHQRVNd6B1zlI1nEixZIiSJFHtiaFg1DwLbf
kphk4Z+/+f8LXf+XpDfx77swn0p25mXxj0ObAadtX7Zilj/4dy/GcunN0bKjP/cTZc/R7e92nqXU
X5Tfaaj95Pr91MH+sxVjqL9MWnYg8y1Fu026VH3/2c4zLPGXhHbEv3IozEG0/iNPtiVenRzpEmEH
B8+vOMwjw/+FAyUy5gYq7JyVxqneI9Uv9nOQ+QeI/8Y54TwVKYyZtTZ7r9mqsu+2WKbLI8665GFO
gu8vHt/vOhKvq9l//xps4YC1fYzo3OXr0q6bh0ycfp8c065yHwK7tDh4U6+4lWUWfB+mjKWmJ5uE
9Rv7A22u8NqsgS0gaZdL2HFH1GgVSusWQn6xnJIIsF5NYxItZsVieKeNgP39ZR38758LpMsSDjB/
Jf2TPoKEzUBczxQfM3MJ1yv7obolla1mv5e5xpH5q/JWoKD8QxHn/Q0YujJcy9B5VhR8P5pYFe76
yhtv1SiZfCjBN99hrARnxJ4E1/hK0x+Q7OOvCoP53dSm1adUjDcmxts/qqj/9324lNHo60rXX8oL
L+YcK+qogeG8PzpiSCjD2cmaCqj1Tj/kdZHi51UYrkLAXybygRbk66tAVvXiGtzQMW8MTlz2EtjH
Oe2iSQjieXsgLS2Af02i/7zUAkJkTC8t85MWQZ/GfuU53JAR6x9Zr8AyBiwOBhUmdsV3b1/sd/dl
WXQZFYvl0mp8fV8eseiYdOz42HudfRGWmoKlXZZH5I7vNTVftz7+vi+06TaoEopvtHBfX0rYyDjn
uUmOSRHFuwGg2namnPjOGvTbq6iFT+3Qp12oD6+GA8QxkgAdMzmSDpTs+C+aLdYV+c47+vUqisYK
l0FuDw8CoO6rqwjLGcgaspIjkxJbcl1rwsngT739cqzlkbweCrSq2P6B9zFNeorLBPhibC9177iI
UoYCCuZNIfJobyTs8zgqrVyQOdu5JpPZnTx8wSOR2jIrx3eIfq87Sctbg/dNu5tmvKCDbp/8BPLf
ybno0+Q4ROKHrpIG8n3fnUVRiOh+Jli4pwgHZ81974v7zSPGRAGPmumdzcQCqX1571RNgj4TXnJs
Ck2We0QJMC3BC7/9iH/92Og94+dwOW/DHz1ttHudJ/gnTjAy+XKtekX1obgHkLOpw/Gdrv7vHiXl
T/ZzlsB697Np9+Jt9okXTa1dJceuyawtyE61nQtkzjW6qI0c/fpytpFp4jco3xtIv65NyPWAnzOb
EATMm3z9MPtIe3hY2+zojY9p23+wJ4nVlhZPYh50TkctK9YiDDjtBRsoKNt8/hRNyVPDMQFi3Eqn
LmeWb28/+l9fME1y2/fYRixsldMv1elr2EPw2I5kQMSfEfT6N4kKmrO3r7LEY5x8Q0g/WJFdZAK8
avNkHAWyE14JnnBZ0dJNLCmKDIPTgZm14nUbRe7eHY3ki9PocsvO1t8n+F12FeSR9du/5NfX72DM
WYY02yrG9cmCO1g2ZTyciMcostJ9VSH+TDuqgRnHXNpehb2jNhvfCBf03ttX/nWQc2W16DRMNCX+
6SRPAq2RVyMDb4z8aVtOsU3/oey3PprbK6Sw5jvP/HWLfZkzHPRVrF7EIzF9nF5PWO2Qq5A7jfsu
vp1R55HANqK8QpkvFTUy1NzJOp3q/GBkBBySmTy/c8u/e+3sQqGUY4WwbFaD1yMeG4Kc7C5PjkR6
+RcEi5LYw55lVelWMGelxUHj2PvEoQ4dcuQ4a6+nbqdkVP0djvFv9RpymSFfT+LIDVhi2WUt86c6
UTnoypo6YK+IUGG4hCsKNW63ouRWasyRFHY42uTAAIi2C2HGNFs8r4RA1sSKYWSBl9uu65zKiR1k
RUCCOM5bzrmJCfYuRHC699rR6fFaypiQui7wLhsC476UBSFM4USqwiofi+7B7e3xJk80CLNRNcVl
PVrGjTtazU2eLTbIQbeTQ9RA1fyo9KSdP55m2RkzLJb/8cmbJ28jxrmJXDRtj+XS1G0zNpytRVRz
pGafInEsP7094n/d1rABoK7iCgsNFceD12+fw7bnJPXYHmVTV3sVgYurJ5dmJviQ3duX+nUa41JM
Xwg6yO3gLb++lKWreuogeR5jFuRzA2fuxk1M5z+5CtYP5g7w7O7paogzl6NvZHBDpmTEjDQr7bT/
Ty6CTo6qP/h3dtSvb4X2cOT0suyOehLlLpuR1k7+HG/++IFJBgGSsWXRJXbi9VWw6FdCwdo4As3L
tlYfPNPRfm9d/81bQTlH6RaxII3FU4y2N3VRBz5LHzOh22039t/7STfvjOpfV1Xstf4CJWP7zAnk
ZEdLQU/6nTvpI32H7EBPudkbvpkdkNqEWyQRwJGWvtSfP77lcL0ERLCIiGXov9hFOG6NGG6SXNTs
sB0r7MS5lyXv3NpvPiC8ogqkmmBj9MuozqnAK4yazTGNSZvz68TY4BDH2KJU8c54OJHyLcsF1lf0
jt6ScrMESb2+I5m3HlKbsTkm+PagoGXuVicjGep6oWqKzr8kTH1cG4kicjcWWPPDWn6idpugonLH
OwFm+h1h429uH3mYxemYchalhWUtf/GQpyx2umooOrZqatxKi3Id9fuJqlnbv/OkT/rfP2+fswTa
QJTOHDB/qpZfXKuDx5nRdO+OKQ6Oz8bUpMQTgzOkBNkMZxFoGnYHczEgWDatJQccWPoSsqkIZO4H
dJ5O33btbvKK+1gv+ejEp9PM/+NRx0ouSdtaXhPVvdcPJJ9CswKGrY+5iw4Fhnh1UGOs33nsvxsK
ry5zMhRcOhfE/HEZq4m8nZpkeGVHRrNzSD8nJEt0h3BwrWOlfOPKBd+8go9inBHZDMeBMFuISZH7
zp0vEZCn6zdKOiZ4PodlrC7//sX7WULC6ACq4Qh7tELMRbNNNpWrN0PQD18dksBrMD3IIwB5Gp5D
UFnRHCkEoSxp+67rVpMKUXwQi1iF68iNHPij+OAo3pJiDu/ayUp/Wzu63UXKEMOK5AMLfmkPbceB
nxK/M3/IZUE62Y8ggEdviVudE4E4eZVeQb+NNGR9jGvZbqFZJLsefsm6GBwPRx+Uv9xJvqMpalZB
2/bnAZKS9KzTg1glGdLZqcjCRWHbbpoKm6ucBNWjLBMkYYn+21Dk3gZ/oVpjAiJZHOBV1GkbXUAf
7so4EZdFMBaHIRn8swUER+Jv2x4MFADbEdbZpveb4Z1l7dePmfnS5qyBXptF7fSMBx9Uc4o2hyPB
icYa0lRz7zgQ5FJTJtd/+pmgluWZ+i5hNdRNT1aEetSEOc3ucKQBKs+iNvtep721/w8u4prIwpf/
u6ffoiHrromKbjxSahs2pRG5a0p87+VmOb8MEwpeLhsBgn6UoJT7ethPHdo+NgrjsU/a73HnncOq
wHdfQ3nsavnOoPzdKyLYiMsoBPoUiF9fLBhsleZlQOI8bVwcv/20y1OTIqhRv6f/PXGBLPMtgSfm
UvhcroYf8fW1/HhKgkml07EJ6TX5oRcfanI8d6LOBB1lVJEoY9snK3ZEB52ody68wcN4rtqy9TnB
5H63jok49ql/ICQ5o/M+/EhIXWjeeSi/7mE4sytXWpwa+eOnR5ihdRlgrMJHOQ3V2lzyDZ0mzN+5
ym9OSlyGIzKipaXAc1rarMEcuLnF82CBM2/9Nu2ztZXaONEHpwFi07hms4ci2uuV3bbWExKsMNyN
Qdh+gtQ1We9sB34z7qjKocum4MTie1omVGEoGxlX85F8NetpNuaQ0e0mx4Lu2yYbi/q99Xd536/n
wyVW718XPBnosZkYdV5zQXylwdWEVuGssUW8zmAFn08xtfpBV8FDYU7mpw6+4a4fx+ydm/7N+F+w
IZLSDJMH5ajXYzIKXadN8nE+1q4AhgrBh4a60cGGCO137ve3l2I8UbXEnsHM+PpSiCvjFDbQfAyc
mVKIj+pA6n7Y2QNYhbcnqt80aHi0fGHQSKgCUA14fa0sxjXiAB2i7OTJs57y88YO7fACMZe3N6Le
pgRRTAvjDcqBj7O1l028TpRR3QaNlbwz0n8tS/BrPPZaVIcXAb58/WsMPFzFlOr5CEp80cf26q7M
NUA9hA/naboYs4Ml1FPKr03TG+/sbX733G3LBkyHyY6Pehn3L7YRFpX2LolMyPNz9gDyyd2MIMJI
1WjeGUu/6exQbnhxpZOnjgMYjdRgWMccvvuHwETltbNEWyUb3+q6q9l28KNn4OfQ2cnWOvYhhpUt
wF7nbO68Ef0GZbjbsMtsD2GrEj0kCAIRKN/75c4oRPPVQxil925WW+YlX6hwVrgKk8uixkG6ruEU
1e/c06+TNuY/HjyHEZNziTyNfFEu2HNLGfLYeGm9C+LKOPOjNj9GdmgZG2+oJn/jmxPAPjmK8tpv
K/N+SksT6HHtBenOprd+hjDK/UEuqgGmqxuMT6nRW5/fHvI2b/HlZAJeB3aHRIhASBgs62UUvHjL
cew504zI8xhYxDQmlpwRAYM+/NOrLBFRWHME11MM6NdXGZw8lV3XaMobyU1fD0vo8gS/9p3LnE7F
VM84YtIcgmXK8rAEkr68GVIwcq9umuEo8ty9DDnQrqox9e+MGFOa4Uz60zu3JU6enrSQcLB/Yr/h
0u/wTi5YZVYn2TSZx6CW7tcORkSwqi2XXC+d93DKMjg06OXZZvdr/g7EPGEmkTSD3Q6/tTKFOtK0
wGtWpBfE9yhnWguWxqJYJXsF2NGsFjVczuYpR8cUOVdQ1xCuAt2IH3EJ2MQ3SINMAKfQ7XPTWCGa
jAryA4kAiJEjZWoACQvE0gEwhtDGgmK2rspG2TCE4442qFgSOyXy12Ouq2aElGpDn1dUS+N1pyIS
LiIlqw8x+Q8pSLix+vr2I1y8uq8GILsFG3ctQdFMAcuh8vU709oy06Jo9dGPoUAT1SrmvT945ke7
XkTsxp1K5+nLbCfOwSsWSrSjs3JD12LBkiPHOzdRwn8rLHp0KwDYRr7Jk1guEsLSuIfRa6FfHlzz
PGqmtrq0XDkfYsJwTKAJdvccRV5Vn7kuCDVeL28mRwJ/BGLY3EaZR5MhJFt1Db85NVcwQCv5QaNh
H1foibvzXAMFWElnMqlETgCiVp1vhGhhZW9/1jossVy0YNZzfLhAjIguq0lhFyStkweBw6ac2s/V
nJBYVDZUSdZU4d10DRJQV6vB0+qaPmDlb/HWRecTEp6a+T7ABDJ0xYwOapq7td254NWNIcnEuejt
7g53Y4jsXreaBIWmTqILDyASya1zf00qzOyikTIfGWHw2c1IW82qyALIApNbYxXgtDd46xTIpD5T
YuC8WtVheShEDyYiRfW+HofRQ2rnV+m4zcNCWavRrs5ylMnRXse0AlYNbvzPgiQD0EdlRBhcPssH
gNqwfJmcG+/s7QF0OoEt42cJEAXIKUwHWfDr8UNQUix0JfTR1A75PgXVxore5O6Pr0LFjPYsxxeH
zszyK15Mk8jlFV47lPONTQqLlKmxzVL13sHvl/4pN8NlcBZSVWKv83N/8uIyQdnlOjD0dMwwWu1N
hwCplPLjOpHzcAZN6kmVFuDfCR4uOH/aQX7avnNYW07TLxeE5SfwGS4NTFov1Dxf32kkYIQYQ6Dp
n1rWpvgvzs5jyXEjStdPhAgg4bcEaMqT1ba0QbSF9x5PPx9q7qII8hLRs5EU0ZKSSHvMb8BxVF0N
3VA2MidB7uRQRubOtMc/tyf4HWp1Ma7GI0HtziS0XIybNzjoSFZJ36Bu/QY5OKn+ljINlPol2/6L
40D31yYKiZ3InIznwkDJN54m+2hIkub0KeYvWQ/cEVh2tx2VsWo2FsjWDpaLSFZaJFfniL4U9xY5
IDCL8zmq4RBNUat1x6HrkI5DGmafKj06E1RznFjxC9RP7IYEzCyc29N0ZbdzU9Jg5tWmNbjk7MrY
QFltYnTHFsFFBzAtqR0l3JVRrtzJ1BJhuaJxYArC4fPvy5S8MUtZ6o+9JYUHuZu0wLHCqQMfRFD1
1mQozaInVgZ/m7DFdMkDl7hW9pnXe7EfOGg0HwEmYWa3LIJEXZtUySiRzvfWdFAGO9z74HdPetbd
2UnlfU7R3/18e3YvynlsfoNwl0I/HQsEDhflPNmgt9TBXTyGsn3QEtQ2h+yZ9PGzoJs/luDzh+JH
l2hubDXHgqs9QTQ4USN35XdcWWZ+Bz13vGPf+83nC9CUFcJavk/OMzTDnRUI7QElAe0+BT62yVVY
XIMIYKEVSrElOQD2q4+464xS4/RI7G7TTKCPhlbFduWHzQHNYlVIPNl48wVFErqYoAT/RyWP+WFW
1yJkkwdI3VFyKaMQaX/B1VjqTb0dOz/+kUSGtZtyD/3UjAD29g+5sjs4BSA95oXiOl/cFnbuQRSe
k26/b8VGHrL2ZcDX2ZX1ASCuigxZIY3F3e1BFyxlMkJC2PlaNImVZYsjcr4shp5EhVqMpEQgg/ae
0Xk7DFbrfT9JcFuCLkMt0P9UYpq01SRNRtg9YTLoFrgajkYnsixz32aZQhs/Lh+1SEecMPSbB0BG
0q7CC+mui43m1+xKhtqbJzZDZyGs2ynafSdrX8dJRf+NcNS1WXm4V7n0IBoM/Lqp77dhhgcQSrFo
tskmLRZ0qWkoJq6SjeqThpze4+3ZWAbb75Mxd4gtZkS/yHBqBCajDovZYz0iA4bQX7ixiwoDrdQe
nEiM2srDND/ki62HHQSJImasFo24xaVUNrTo49Zj64m2P8YGKmYJhJ4trOt8f/vTrhw/olFKzrJM
b4omz/k6S77GIzzF8jFWFMh7U6DtO9hJK6f82igUtWkuC0BmhraIXEIAlFGud/Kx1oloQRSbh07m
HN3+louaxrxOyLu+Q2Jptr6X0z7EFNkEhn6oA+XoJTyyIGbmoE8lqD51Rha/+cPQ4eATBHCD+dLX
3B8gu5UJOH7IKZpcwpir8DC7/auufft7LZimoE57Zv7zDz+q8ESoKoEtH6FaAiaJK5i23LUro1wJ
KubOI3EM1TlEBZZlqly3IjU0M3GM9Sna5p3tY64opxAsEjuJv6pobHyjgju2ruf7JerbakuKFoeY
MvRTHf5HC1ELDzpc05+GFdTPEDthHJgIqtoO5qa+tXKtXU4Lv9emaTVnsqjJLK61qLMpquEfcOzk
kWfV0y1XGaGz3J78y5NL0X9W/ECHBBWlZchMom9NRpuLo2lwebQqWoNaqTaPE6aDh6ifMAP4PwxI
YXh+ycGTLM8TT50P3w55c8OzAtcK0ecFzKRse1JLlD5RFb093nsYdH5X8IUfBlxsL0oESla2qjhm
6gi5JoxcS53uw1nboMBGSelz69BJjbeN0OTepTUauBRsYrdt8/KVekjm+lk/3ucYDQ6xhSoF7Yq7
DHbjbtBXFuPyWuOnomcFbo+aBdrK5ychg+EMyoWfCk0fw9EQ1GwBcNIJPYw4b0/L1XX/MNTiWsMA
2cL00BBHW0sbl34BFaYEuyyjHwNI3kj/3x7v2m7mdGMcDd5Apjx+/mm+NqIkIVJxVJHrvfNDma8a
835llMtQ4P1kswImmBbDWFyjXoG1BQqrbC69NJwC8bpjZsSRoxGT7CCaYiUipfa32592mQHQk+H0
yKjngDmwFoNmstLZqRWrx2ZSDadvkr9yoVsIfQjjsYbW7NBPnX54oWSu3BDX1tA0IaMilDK37RbV
cBVBJU5YpB4HvQgP3NqjS/95etZSlL7sUbT/h/EsLiTO7lyMXtYH20LXW+EP6lFqcJrtdSl8Mu2q
cNIAAfqcivBKanXlOLBdyDkEiTZZ6KKiRs07HIc2nY4kOQRx0Sj2Vqv+iQo/Xhnpyu4E1whSGZ0e
xlsWC72wG/pQr6ZjpJbyPgvMJ3Cwa2C6K58DGBg/7tmDj27VYrkyFX6mZBEkQckuD8RkgTsJOjQ4
lPor33NlZ9CLAXNN2kBr8h3W9+FJtW1ohpCQJlbKgqM/5OpTHBsp+gSjsqcUuGbQfnU84KFkwAQw
5sWnYf4zUtOVUVCZtJ1JwvatTFrkI8z4eYKCt9KOuFIbsQli2IKmLrPvl6/WmNdKoYeGfDQKedrX
vV3h3JvKTul58o7TGux8q1TQCre6nd5U2X3dx9JKBnBlOfkNiOmrc9wCoej8RsuUph1TnvCjRUV/
F3Z5S88xUvcqVdaVa+3K9iRyk0k2Zk0reXae/BghhYWP+TDI2yN2Mt7DOPgR9bxKXrnHLvoUkIzm
Jh65oE2fGYzW+TB5mVtpN0ccGDkWv1SpnZWjJQTSMk/cQ+kLHpCu7++FOWmOqmHGDptR2qmFIfa5
kad3iRr+kQp8W/oRFQzob4F7+6a99pZT75hZWDNA4SJMtqpotvZL5eNot3i2m33wqPcRVtl1+IZ5
F4VKRQ3vkyT9JvwsezTHQt8XA3XgDJLkNwlZpW0DGReACjjxErf6rZSh1dJkuJv0K4HOtf3BqkGm
pPVD/3CRHltZGY/U+eWj2VjVXira9LUz4YNmurdGI7ryAs2dSmp1IHxABSyGEhOGionuK8ekYVXg
5idPQ5Vkz42BQy/0KWXmbsm8EKL5fXtFrn0kL4Ix90dnzPQijOhDUQf4PSuQPBqPXuj0X6336GxF
uJXdHumi1T/vTp7ZuT+AU4UiL86bhQM0+ly1QPKseM7pBOwVKKE/eRqyT4maIHtQJfVGpw/znzLk
4gt+j+NBNcOVu+dKiME9R6orC6QUgYKeH5IBIwfkeDpxxBwS/5NJe85QAXFbKiXuFNHM8nzl0+1P
f78+FyEsvXWeDAs8C0/h/Js+XOeF2Unx4OnqsVCwUYJzESSPSHzQMKR9iUYWt9t9Ghpw3qw8RtHM
Civd3OX9rN2hG0hJZ6X+l/5iFbiCpsrWHmX7G47Wxk+oyKGEIzwmLfxXBWio1oyzv1HUD9gEWXUR
O15Xp/EGqW812lrYxyGFW9riu9Km4/OoD/1+GhvJeNLwor43S4oUG7Z5Ce05TVE76g1aslNUop1m
I8TkhvhqTE4h9d0D9CScNo2pxve7QFEhdZEempAjUCQkkYdAMV4wN+66JwUyPEAGEiV0znPJooWl
t/UwU+IH6YBFkNjrppE9yPhf/IIwZhh41obSSy0MkGpQKfP9RM0QVQoY/N9UqZeFi5S6hXpxUHTf
igkOPLKI0W8PcXn8UFtfn6t9lV1g51rQkmnsPNpD14aLfHtlr21qEEOYssyVE0iliyt3ohFli6hW
j8BzXsypUB5RyZ++TNnQ/tVGub9vIDG6Jj2/t0z2JIRUhqJ+VnByO9z+JVeeGBIhYGY837OO7uJ0
9VosIeTRq5RYM/+OPiJMRNPy9/88ynyEBbRXcnEEJ883cmbWWKJInnpE7s3aeQK5DU03fvzjIIJK
jQIiSLYRVKV2ez4IUiYY7zaNcQybvtyWqFC6UxiuvckXNx+joHIKNM/UBcyURXCKpoI2yJ5i4ipo
JBs04wU6RiM2Baa2dvVdXO80szj5MzOZsJsI8vyDeuwh1CaMpWNuRihrJ8VrjDgHdjOZdN8konFl
O0BEW8vX4FVXBp4RZyQYXL1QVBcRq461spIjF3I0aEljgFz0TlKmyMBN6W9LDvRNFE+NGyLPtLIb
/7cMcHblgX+fgS5wB8UMSFhceSXo00lSw/hkISVynKs6wQ77jeSprRG3cmmCSbMGf9U90QuMDnqt
F9sCVTnkjiGcalg9c6YxeEExwLZ/pXlkfg2ntnzp5DjWHNTE8/wzhZUQMcN4zLyd4vdGjYTDmG/L
bEo9ksegrBFnErFj1vWQ35eIGpUbswB243K9mi+xYqKbYLcGeg9SUpupU8VBd6imAsEgX0zDESsb
H7eLOAlPhmR3pyTlADpj3mVHpUzt58rP8G7MFYwCrdqu0axIQf3HkhF/i4JR6bAh7vs/RjW108Zo
avFHQd1oo4/4Im6a3kbqT9PqJ27RSNnXSjl+a/TeVx0bsIO/q2sU1zdEAMPvodXV3yla0X9zKMBk
pVEtis2MKLW3TRzCew70QNyNqB3oLozT+k+cJncSNxPXv+/B6FEbNsMBxfn+ccTf71OjT5it+mFi
HMp+MvwACRMcFlsbU0VkY4MMSXh9REu+UdvfXQBtByWezt/6nVC7nRzbWb2lZh4eFCkRvjvlLcUU
C0e/DcJU3g7P7mwn+9J/LXo235DCSVPWJrel96+K7qnuaUcKhdE3dF5xuZW8AG+Vtgvq741WI0GF
60l7tNop2mk2+iilHcdvSdWqAECLVn0OdHgvm4A0FicfcPH+SsB+ESTMu5cqBF0j1pi6wOLE1pRM
CQ3CE67IeB/a2CRjM5K7qKqhL1GMulsY1rD2mMwX2/mZgQQKF5EbFusbe0mUlKVSy4zWik9SRCNO
78viK+zBEWkoqTggvoy8Wpkl+zinER9EkziodHSnKVZwbMdN+PYtfJESwokmZaEQQxsXNvh8f36I
WSKD5bVjLz3xO4KtQFnNjYZe29QdjFh/9OyVp+UyJySW1ulT0oRgTBgQ5wO2CXq7UVznJyWK241q
SkivxnDO8cKoX6bOGh8wYZeZ/VTZh2kyvipIlr3d/uiLV1RQr9BI7VkHnnR78fTgmhVYVhaJk+l7
+YM1Jt2DIdJxZaGvjDLrWhAtzCRuuhPnX+oHODAadaDRmRQ6oY9uuGCq1iqElw+cQanCmmlIUFzE
kvHLzSVMoGnaUdcq/8lElxOzZB8TL4QEbs/a5TODoP1M7QU09b5659+jY/c2yVWsHacaQkhA2wNd
wmifIcGx7bvcpOTaIgHlGfY/8sNnHQ/iC0o/M0+c1OJ84GwMAJOGtXashF05Bm42P/yh1HZ2b4/3
sdH3LhbrOXLp+E3f/uTLTgxDz+IVVJu4KYS5OB61GHUrLVO04tLx6xg3xmeUDhEFU/XgXomxQcvL
8Y7LJXANLbefByVCMjLZN1Lw8/Yveb8Vzm8NHlnqNnTX4ZxSYTifBEsZKRapRXQKRiyU8d3CpiNO
xfcJT6u9nEm4yDWWciiUynd8yyvuYrU0gaqp0ifeHGvrxWjzGlZsHUKlNbdjC0FY8Yr2ZOLJdN+g
ZbyF6HSUfczfALup9b1ZW/XBABpxL1JTcaNMD1AQUduVG+jatqI+Q27KDWxeNCWNwjASu9X1Y41K
9YuOgBse5V0lDnIivbGt4NNCjkkJYuLpy+1JnSOy8zmlJgshCl4lFSqgQudzyrMfFXii6kcIFZNj
tWGK29Hg36Vj0r/klfUQ4byyTSIeB59E6/bgV25CRofxQzsR4AAgyPPR1SAz7WggAO6wK3qWsxC1
fX+sX7LetP4z81jDEL3WMHcK0/IE8CjZDthqvdz+FZf3//mPWGxw2zPbbsoCY9YIl53B1thWWDxv
9AbtDFQDwu3t8a7sY1OmNMZS23NbaQmHGWBE9C0aL8dKTiWgc1ESf1eNKP2h89a96gXYW6eRrQTH
2KJRvxMSKQhtNTGqoaEYA8QgUclmi5tSluzaHg1RLHB1DLdiUnJ0ZUacFEuguMUGm/f4QASOp9NI
Ugfnowml77jsCgnyW9weEkXBNC8GpvtrqAjbbn/pJTJFkAjQ+Ia2OXuB6IvdVeYD0WRlGcdxoMOf
15J0h+ie/Tw7g+2oWaL8R08rQFgaTGf3EkWAp83ZgKoJql2NMv9ab/VyrflB5CdztVlGHmCx4WqR
912fl8YRzF91yjL7D7dXf8BeznroZ43x2xNw+f4xHJubPgQBBlnY+f4OgTuWoT6826arj3qe9lSe
uuDu9igLQTAQHkwzSd4sIAJvEBr++TD6jDXnZjaPWinpPwH2U58Yg5MSCvtF5Kiq+lKDB9Ao1Z+7
ZBye0GB/aCJb+g3zjcRApL6+RSjdil1ZpN7RRg7YlRPkGB38lcYVBMZ8nM5vnPnHwhenvca9s4z9
zEQOi9YajWNv+rg++r7Y1uAuYTvWYnd7Yi7vVfoKlPxQ4pgRN8uDFhtFb4SFah7jHnl7H6+HvTRV
PabPQ3IwKeS4eo5WddVZ8soZvzKyTlA9R5bwvC/K/jg9ohFsBv5JGafhQN0JBUPUZ7fYVrd4dcHG
qCpYuF7Qr+Ezrtyp1MMJZWmTc6mD9znfDLWBtZw5GMGpr4PT7A66TbsS4zkbH++wFNpmmPppg7O8
fVK76E1FrWLl4y8P2fwLZteHObyn7XD+C3Kt0YWc68EJoA2ZIWIEDg2ydoMYZ7prwUCvPJ9XxyOX
AIzNPUNz53y8WEbedkys4BS1Zb1XrTo9+GWqOV1lIbHEgq9832XONIOHYIthkwNBYNnTCQBDJ2NF
nQGpV8QjUglRl+iuGOxsMyZY3CYB1uq3d/IlJoQMjTou9KUZeAPF8vwbW+DatNqV8CS8Yfg06pAf
cAtGBPLJH6UAQcIsKT5DCgWvHIsGizO/yxOxCcA4QnLCicLaaKLDIUDFMvPUTIb6Jw3w/nWNsU5f
IrXK1iTHr6wKrSZgwZxBYDzLS8mwPT3MrTg6pWyCpqL01IWhRuKt4dheiP9uT9C8xue3CikGyEPu
QqRIuOPP56fS0WZsLD866Yk9bgBbRa7Qa9nB42VciYivDwXoFwm6OWNeLEVCUT1VJivE37CyNmhD
R4+5HKSOH9f1ys6+fD/4KmYPdxhw/Nya51/VxaXkV0MdnVScPvaQOSS30bR/lUKbs/+PoyyqdpKS
VpMeMUqgVqbTygkoQdt+teRS2UGrmdzbS3V1Y9AbmKM+gybhYv5kPKxNq5Ojkznq2qeyLSanG0fT
MQPJvsfWb61Ed+W4UlTHlgoZCaq5y85PUMmWlnSQkAWYvx2c0gZh/tk2QBBK6cPouWNYGv+Hj5zb
y4Di+UgKC+crZ46p38J7iE4zaeaQlFLgIKJhbLHT/ZWr0VokfRnGg39nGSnjoIHDRjgfDjl7KdCa
Pj5FCgYEppo9NIP0KS21v6JTT/YQPWqp/jyUqPbeXswrO5QuD5m9gPwNJmGRmAYUSXQMfsOT13K5
o+qtbosUnfTbo1yJcHjIZpVL0m6e1dnx7mONpsm8GnV1ylRomsDngFDVIEAb2fKmj0nIsN6S9DuZ
aMalAU3xs4XWiTVOh85QKFQVibpek/+0A1S2aepzPM2nWt9afTTtms6eMCPN+nitzHVlo8Px4NRC
h58FPBd30hB7+uRJVIbNHpN47MDLfWjE4T5GitoZYWyurMWVi4moaibg0+BUAYSfTxJ0wWS0vIiq
WtW9hZTD76K6+wMtZk326cqiAzaHlj7DiBhy/vAPFbNy8GzMH8z05OPs4sh5pDmNMP+fZuz/V9Lp
yrm15j7xLMBCUWc2LPw4ipGOipZjAHJC8ocumywZbg91zckNO95m6Di5ldCs7cpOuzoqqQch9SxU
t5zEdKjGTmr97NQrleWAqZxDlmEWX8Z42wJgsK+CvD+lAyYyWo5iW5TY+o9CTJlLCq1j2oBtu21H
ihOqkKGqFjFmbVotIl5ZayzNKUZRkOEVWkJR+9ZKMbAfs1OUtPGDJU/U2OV+gDloNSuH78pqs9QU
CWlWUaxcYjqaBkknE2r+SaD15FSZhCN8Uqe72xN/waflFYJoCQKBV+E9cDhfbhwmFLSX4vwEoUkD
MK7q916lp9+nsns/1bRS6Lk+Tjjl7Cns5LsiFuUTqqTUDHSsZIupgeIjFX+qIg93gKeybeUlw66b
4vDO6JI3rI2heoti+oVna+4k2OP8+3MNpoHnGv0S+npL0LLUz8qQnZUTiMoKt3BtoIMRrHFM3tFk
i1hnFssh45t5PKDBzmfKhwIIyM8uTlmjYQICrCHcF2mB5JvUopbttmoR/gxiuMJuKRr1K/azhbnp
UcT/QWtCOXWDGL54wi8+ZZNh/PSysa53tllFp1wX3i8odZj7GkSbFVyARilwG/PSlXN2bVPNVfC5
/Pwul3j+DZNdqmWYx8VJ1fJZCKHxgs1Up/bb7V11pQIB4wkFYxAfsCSJ28/H8W2jQGndDk+q5yGv
0OPdTTsFvWu7xX2lq7daq2BqhkD6pNdOO/R3dS8/5ZN5uP1DrjzQVKhpjNJloYwqz/Px4cpU0Rpg
QbPoZOQFxK+8GO4iXe0cNbLrPTL6f8fM3LVeU31RcW9eQYJcmQUCVVJhC2yigRTxIjxQ4lKOoORl
p0rt8KlslOGrGmDZAafI2EeqIjAyVuXI0eU8eOpRI90WRmftIa3iWxZU+jbT1HxFp/PKm871NfMG
4UsBCbIXzyN8OT8IVAp7pjr4Pyo8gOD0guJ6G40OkwWpFLm1kUcsvzajFj5EZaUesOID2tD6iuxt
Q/6tn4mJ/1AxhBH0kqYc/vbDTGCNMk+m0Ycn4lpH4z1wOz98gM+pJ9DgpumAdMv5QkZeOiSwS8mh
aq16VcvA+IJLCCU4nwYFulEITuYu+YftOSY86jtWpNijSh1KTh8WKN6XutfGuzJrtZ+5JytPDR+3
E9lQcc6G2bagNXCx3o6elEtOzV0IjdFoBdD9UcTHTtJg55iFVL8pYcqfwRO0ejRbO28ba0P0Yo0Y
drqFWvbFVoEXHbuNHY1PekuM6FLlHOD2+BbUgdrOMqfzCsnYqSXw3G1v1RiCt5WaFO4klya1KtBK
dxL22vK9hAHCnsKCwAceDSx8ZSoNvHA1Vb8tOMMFvw7xMrJAp4nMZ1SNpmPRA9KY9Mn4laMSU24w
vag+t41oY0fIQf9Drkz8L0B/qrhl1XH2y/O6/K1JJgNDAMXKDo2FGosT156Oewvt4sTRpM4DSjTg
+nkf9rHRUsXMi8pRuN8R7fVMcCdlmumnJtZLQYXUH39jxhiUzmjXdFDxFENFIU5Qoty0dW39HbWC
puzKUb+42+ajNuPbqHgaFH8WG1vFHATje306GSXmcg73AaKRZV7IyUYJrQQG8mQSALaTne0lO+nl
LxFA1x2W6qgAghRR4gd6gjgC4X2s/sHMyfusYwbR0nOJfKeacoPTgRpi6xDxif+KbvbwhEXXP8C7
lyG8sgSvIQbs+rb1NfEWWk2QbsapgimuqZXhRqMyPIihwdW9DqqSoROBHTrAvR8hNnZfcznh4JRd
Waiul8jJUUFhi2YTnoDJFgYv5jx5HmbFNh6K9KeG3qpwc2E1wu058cRA9oiTQ5tYpHZmV6hvQ5jV
d02MDsYGQc503OtRN3abStPow2ClKyoHOJa/M+sRHFeOoYOOcVTR4eIDY6KBuD5CszGDTN5m+Zi6
kYjsxME2OtuUvh789go/DwFMYobrpIliBPdw+yQSgEgN/spT439D4TP6pATtYD2UlYGCYDEzFTRV
GuUN3Q1726cT+LQ+iZGKl9R0eoghTWdbHkjtDV1bj8uy9f0fXulDwu9FB0+uNwPY4RLwckfC5OIp
iNM4f/abWPT3kafL3d4awZ3tpirPP93eYxf1RRqCM+CE22NG98iLIl8QelEStk196iMrcfSiMO81
UZ1q2cetXUepVE/6n/Wg2ivF2/l2O7v9KDVDLqNvTdtiFow+v/3GiBgsmsbqVMSJ6uQtksq5L5Bh
9LRy33SrbLMr3zlT1+cyrgylbYldqqNMGfA6Y7zEe8DcJNi0nopdjpo+tFW2Z2/l21qo/5zVEoXy
jUSatBrpfi6mVxi+Yk2iq0/BzIieheK3iYEw/+1FvIjhaQuYMxQVvBJlkGUcV08px1NOu5NSmqeh
DX4ksmY/9lolVnbLlYEIfQxqh0Cm2Tfzn38IPrwGWRxftO0pRxjbJWmBo0lLYBeX1VoYf7lBqImC
wWKLUOKn/nc+VK+AWiB+HE4ZwsMOd8K0hVppPZhjYjrDjIG/PYeX5W7qvR8HXCS9kZoDWmqH4TRp
g7K14Qw69ggVX40F4he8hnscgs2vus6zXARRtaFwnq8Es1fmV0cDhIQMPIWN7tH5R2umH9WVZQ8n
W83+5rYeP2XjpBAF4Ia18rnzzjs/gODbSPKJmdkzlBfOhzKqKC71ShpOg1DyvYSh3UMljem20vrx
AZCE5ZR4peFF5VUHnx+NpycdB6nEt+32L7n2ze8i2xScSEOWP2TAogzV36YnO9eqzdCX+tZogtyN
7WBNq+xCu5NSOw8qMmwcyvnzF/OLFAzonaQaTrWu7uPE/6+3rPCtLMuN5Xl7tQ3cGG/lcSjvQEE8
AKz+3LANN4WpSk9mNcqwiY2VeP7K57MAgB1pJFIEWeYVYauG1tTOS44V/B4Byf4l6kE5VoLC0r/f
E7OYFXmxDViLOvD5mtslLuoaNZBTpTeg0+LI+hT1JgKSKgJSt1f1sjdN4cigh4gxBsQ0cC7nYxng
oKTA15RTD4qX/E82M3mnEXtlm8624fqFfVRIjj2khLx4LRrGF1lSpMewHtDJjZgyscECND+WPJz9
Zmw9/C6Ip6NZSxV6Q+OluAxFivFzgij6koQ8vk419H+xsYt/8eq040PaS9Md/F+eZnMAm/Y0eX32
z8UyPpRfN2eH77Kj8wJ/uBO1Ie9UfzTGk65iuCs3xbQJKGu90lwoV9Kva3uFvuz/Qq2oYi7OrNS1
nTTG0niyx250s1n5L0hTGP9jMLq31+/adciLJVB+pmA6X8Lnn4UWXC4mg7H0JjSdvMGdR5MMdM8z
ZM1VKXiCISPheRx2B9bjsRd2vnIxzCMsbihzFpVCc4BEE8DS4hfYkj4QfI+nOgH2j/aXTIzmo3cq
TfwjivFviZxnG+LMdO1BvfL4zK81nXBYf5DJFo8PXa5JD9pkOunkNRstpQdYGT2mh7nGwIPy7+eS
RiuMZwjqYH+XWnPYl1edaY7yCXO3RzMU5Rc1VRs8YaGiryzr5bUPdWvmOhF9kX6qi4CkTet6KpJE
P02gKb54Nj39yLY4OmUJtWvTIeSLrzY4hE1mJMi52JM9CNcvYjA9ZW1+vf1zLhOcGRVPCZj1pS64
pDtqpd8hIGp2pzjPYsjFlY2lovhnrAaXPtDB2XNqLt0st3Im7LAsRUkNVQviXd/hkRcJLbpTGqvc
xl2jrBQkrnyVRXFEn+MxBASXaAHq8Uhw+JV2khH1wdqWIliV283u9txd7tG5agfWC79X+jX2/Cs+
3DttUVcUzGvjlFV6dh9Dhjm0vhrg89kPh7GT5X9FN3HNzXVsQPHzSi01tr26TKZRG40TnRXFSYlr
t63cRw5OcPahKcc1MObl8Yf8A7yJZg3ql/z9/PvSzEcTQgnMk2IPMEZhpcOHaaQ7v6TgpkxV7UyZ
Ze4nKfh9e2Lf1+f84uE5fgcqIjmrcQmej2wEDTIiFTOLU1b/V9MIqn0pwZOslb4wxfVrQafcDWsL
1L2cQMopIsOlzattEUkYn5VATxw7Un/WRIgI/QXZCe9Geec1prYJTT07rPzey/3G60MSxY31TrNd
XJR1jNXX0KrmqUykbGtAF3LMto7evBzZNrlHPdL2+tAl3Rof8zoryI5nY9emkNzaNIpNAAvfiXtQ
Ord/2OXvAkUBqmGuXNDhWcIpvI7p0P3Bf/UEYHhiaYHB7yoG3Jo7g+fLBQWdGwkRFsbA8+V8ucBn
9XpEM/sVM1nAfWUpkYkPLSAKpWj6H/ngaSezpHzgTPRVrB2mjAMAuFBRcqT/qj7ekMjkLwnPHUys
ILR+YknVinsL06RDFvn2PogisGSWBzl7MxSh31P5qnExH3W7OeF+jLuYkZFob2Q9qjS84vT0KzLj
04NhZFWKLl9gw4YAiL6Ze4/T1sRA+RDZdpe+mTg2IHXRlmW8SUwj2VK0yb/ZLVz+rgriV57n9Lfp
h1pzQJEq+1JWmh1tsyIUr96E4zcZTfpDLvOgQrLDG1LX4GP+gDeQpw230PQm1Bj7rroZ0ZpQ+6q6
H4q28ra9Uip3wD6i32GhRDIvWxL7jpVqVYmEnVE81G0V/S2JSVE4F/70rcRg+CUq2zR28ylWn1OB
8ODeNPHAQRN8wPq07VoYapVXBMk+6bPOSYIET+5+9rMENzU0W5EU+qPkewFIrULrWxCLRqyshA0X
BXKqCgT47AZAUxTQ1PPtgLBmW5pJE75GDXL0ttELV03N5nutSUi6qF1zX5mSus1L2l0TenIrMdrl
tcXw73U7Olw0NhehQzjhUKN5GANlsfo9HQLIK0FsOGYfGhRhzfZI42Ta9B36prdP2/w/PjsGCK0S
JIEqJ4dBiXnx3UaIZ00LiOCVtk71NORm51aBodxHlMV2uhf5TwT90soRv5hsncic15uTB0KBjPV8
sqWEY8lxEq9pFfifDYvZDXEd2/pVIu/0PPZ2BWZkmywu8t8wdcuVN+k9XFl8NNgIlGYBR6KXsKx8
NJVQen6B9joFBmC0obV0aRsJvX8ZrFF5VqKAYq+Xy7h0YzXcAsnu9De11hAPtvKyQ0W/yuuHjpyo
32HUrj1Xdj+7I6dYyLoF4RFKkxgpUFW0vWzXR34NoBapng1qe/i2gsjE1lrLNfsuJp8hGJ2Q3HcV
JSuQJ6MknjlRBeYe3HGJXqFvNjxbt5f9Igxg6rn/+AtWYWjmLHICo4mqviK4ebUp0wLWslOqI/W0
K6o+22IEErq3x7vY33MB7b2MRncVIb7593wIO3zEtzGKjNTX2qjiJzyOKMXqnpV8KeX8c1zJ4q3M
e/0NM8R6hbpw8ZzMI6M4OLepeZaXvadKlepaSKP62leDtklUKXEA3qw9Wpf8VIYBdohKL5NJ4X0x
oamNo7koSvU1HP38PrQTPDP1NDqkMYUnDOp9pP9E9KywuP/pY/zdarTwDqnqNY23i2Rv/h0kiWTQ
RED0Z88nOim0Ngr9Vn2FUTF+lvssP9gFPb6gkfyvt9f02sx+HGoRahHQ4VnMdfma4uzN9pFSh7Bo
De14eVeQnhOAU8xDQBdoyfkHhaYiI7bUGq/BqCq7GBvuO5DjKhadY3Zoi0K594WK1ZbcTk9jrCgr
9+NlRguoiVI38AMw88znIk4ItZ633vC010IbrC2W3PswiJKN1pQPAFnfukx+rqfuLteql84M10a/
SLwYnUoI1ReQLnTVF3Pc9aYkN1mgv07TMD21saKeUNUNnrq4mVxkKPqHOCmy51iV0/+qJPmS5eEs
ZFtFa9Hi/A6cX5lzcDvzxVgGav6Ld6K2W3Myq1R6lSuyh41i9jSy0WdpXir+7GikuMRuymwoVMdC
5e5v77eHhksWRmlfj87UFKHilpMd/by9CS8OnjbXIyF58ZgIsGfL9aljHwQ28LCTaEd/P8j6o+WP
6sHUcvV/KDuv5bixbNv+Ske9ow+8iTh9HgCkZSY9KfOCICUK3m9smK8/A6q+9xazFOLtl4pSUBQy
YTbWXmvOMWuic8r5CMq3v7VypDNtVip0IfLqpY+N9KPH4fLRwyCFrY6tPz05SstLkZjmdGli02y+
qxq9TcJ+Vpp8oydU7l7e5lWA2YRRhQUKZTl5jZJg5i9bGG6x6YnPLr8bhRN89hkF26AZ4WK4xTr/
Gk2S4RfgTL5q9jbLJu1KyKLVUp0ipxgdv6tzZd8VpvWtRYl/YrAwdnhC0/6Ly2t08PGRNKMPtFy+
msNifvLUJj21tcpowWC35AV1hfMvKLu1Y5bF+fTsGrNA0puVVwQIWvC1MlLIKdkaPezYvyhQTJpl
ordbVBndFaa9vjaV6UfxVH/jrKy7KAqFlVfJvUd3+/2zr8ai0samzR9iM+/0w7QgufFFEgN5TKXb
6z7rff4mc714JDaop1+35OJBF4Oxp+guXlMtMxEk0yKmWZh5cRIA5KV3oZG+8+OD+3BdB/76gPBZ
CRpBSIDXHbnS5X6iWKy6LzM+KwZdmJa5W4hAylbblYY67Ew9qQ+JVpc7Pevyh3llV6K9kKE25nlA
1/MjqIp2+cCS5cLQBeXJasvg/XdRY0HaTeeuVfQHhTARoOl7WtIbzf6auPQxenu74lxq+6XUsmtr
4czVcm9O+X9YVfMh8CEQuQooB8PF5QWEtGINVqSrD0U92AFWTK7AMts7Sbl9LHu19ZsmGb+OMKKB
eH5Qc/xNqERVS9fzp7+MtzIr6PvbRwzCihy7dB4W/TYtzr12UzOUdY0hBFUZrsFqJnTeLLu3hUeS
2+cZw5dhNkFsnUvn0Hbuxqw039M/ZVW2U8tu88Etc7kF/fn5EEyyvq+f7zISbXLHScm1wnlAHrsr
N+5Bblx/2iT+3e8PdPkKXY8DqILxBXcnXbyL82COzUR+EOch9/UAKkogfUwo/kc13t+W4svjXBR5
qRE1crT5Pmqg+X2QhAAhw03mIw358776r3fizP5//ps/f6sbgCsxQX7v//g/5/QbVXb9Q/z3+mv/
969d/K2b5q16EN3bmzi/NJd/890v8u//+/jhi3h594dNJVIx3w1v3Xz/1vNS+3mQ+K1e/+b/7w//
8fbzX3mcm7d//fGtHiqx/mtxWld//PtHh+//+mPVJf7XX//5f//s+qXk1/wXQPQv39/65PJ33l56
8a8/PP2fCM1/9nNwIsAtZZUa39afuO4/mb4yUUE6tPb/VhJsVXci4ZD2P0m8RbWLSZoAU/r2f/wD
BNTPH6n/RBYOTpQaiCkxk8X/89Fu/1z7/rwonIl///kf1VDeor0Q/b/+WC///1sh6dZ6lOAcGRII
Ix5GSu8fxzLWZxuNfbonOsPc9ozwdnFiOIG94LWPjdzc/uXU/OJ477e2WK5AHLOz/TkLZi28bMhV
hpb37M7i/Ry5U2BqffRoyqQ8zIvMzgS1qSed+OkPVrz3RcCfB9VoOyK5Z9VlDX7/JfXeHQdZmzG9
TUs59cB21+mf4Sv87wff7/1j/fNQJtHniJNN+ljMkt4fqpLdvDS2nu7nocxO3mIqYUL97EeQO7Yd
blc/FU6/+/l/iauOT78/vReHZ9eMpx6UACYv6Mlc0feHt9AWjYXldvtcDBDditLYinpRbvWkV1Dv
1B38I5GY11nqtq8VtqiPauOLU80HYBCx5nkjlKY0v8yQyumGRIOttftoWC9yPulPK/Pkay5TgMoQ
S0Y/6hLzimosjIt22K3SLBHEk26ngRS99uDYw7RztWH8PM5GEX/w/rm4339+PuQxDBBoJ0EKuqhe
0poZmCjUdg+GaoBYUsmwZ+u/dws5bURcKbe/vyAX6+86oF1dWtjeYNIxVrwc1CqdcIUUQ79XFg7r
m9qgaz7fzHY3alSb90ndZveUHyE7iAjYNRhsPx+c+TTVeS42v/80F6NcUAjrXOrngrNKkYlWfH9/
lIMDAnmI8r3Ue6qwpouZ9UlH74+trjkTTdQkO8nGqz/T+/lus6bAJ7SXDTSy1XIN9PbeWCL1q1nr
PwN/uhgkHFDU51gMzaGbExRqCIs16MxCA3g10sQ51awvp7JqlQO0/ZGtflzoW3R90dnRSvUD05fx
/gX+51dkjrIKatfn8PIJbITQWAvTcm81o6th4mh7IxSimZ6KzkZI5jTTc003RWUQrXnXatGgvCzK
+NQNJnLGyBKHms3JqyT06HYRU/FQWIP6dfJmm1lMVjxkudZ8cWsrOjj9kH03NIrKehH6y7AoHryU
SoywHPHYPBPappIoWi39eQQFtmljr3j4/RVdH+i/rN8/Lyh9lJ/9SRj7f0sklGOUw+0o9lB2TCzf
qCf7GfHZ749y+dSsmGGkFis0Dn8BL433t41r5c4w8bn2Tt7FnxUkbkjl+oOkT/Xm5upHJpnLReTn
4Rj0rQvZaru42GA7U98mCOSKvVHW8Tmv0yMfbAo8Y/rIRHTxOlpPHy+G9Q3LLcOefv0kf2mBlZNe
MQXqiz14n/hceNX0lNlq8bAobX9Ez1E8lGT53P/+bF4u0utBwT/a6IW9FVZ2cTbXoHi1IHpij2g/
fhUZypWNk5Md62ekohhoGm3jefam5ksuCh6izlI+uqC/OsNwBqhLkKkQRbpe8L98b2W0wZyqebPv
arAZKRpv7puhIoddtwjZ+f33/cXdw5Wkkw95EJvW5UwchWoiRB53+0ZxigczHVlp09HZ1VQb6ImF
+Pb7412oyH8uAez32WOx1HHbXuas1pYKQsgr673athAsTOlYYpM4tehpEdWScGglX25Jt6rCRMmi
OIxqNz3NelehaGFqlB0wPXjIItL+dbC74bXUGzYlyRgZW5r/yikyRfPl9x/6l1eEqR+DbW5J2pbv
r4he2rmtk+G0n9PY8nOFyoROQnXlxWb7+PtD/eqmt9nZUDriovLsi0NVbtr2tH4byqEuOmt6r8El
m0hQ11v3aBp5dZUY8j8TR/37msATpXvABJg29/vvt4xmm+uVUu0nowKya1TReR57e78CRT8QpP7i
+aKrjM6ag6E6/BsJNpnX+XZT7yMxJtWWTN3sVBqLu5Fm298NQpsPdCdFHFhDbZ1GXFMf3PC/uJZr
5wuRAjl0a9LG++86qOTQKo6o9iWDCr8UfENtbrybIQWG8/trudaTF+s/LpZ1WIAEl2n9xaEo0O11
sSz3Ju+s41QBqOnthXcz9i/jOdZ7B2J8vfRHpf3wkv7iPJMah04fAwul7mWUVOvmNFhGu9mnLbpm
w4zS+6SdjTaYnCI6M6Nm7UohaBQ+znievSKm2vr91//VrYyQAUoUnQSa2xfl9tKjM5eu1ezNRLX3
MTaXA5gWMqXS/q6MFY14BL34qKb7xeVlxQRUsaL91gnK+8tLGoShtj2LZ5yZ3nWkSCo6R29LhAR2
lG1//w3Xh/HiAjPiZRxI+Yhq43LxbNghufno1vuWWu06Lbsn2X9Ypf7iIHh1uVepV7EMXw4oSs/o
rKVMWBHiaVW1N4qX+QrMo/9sI7a+bmlTr2xEE/IGmpf3Z66gKQ/Ye2z2k92az3na9z3NJnUKZG5U
zQf3xi8ejZ9oS/a2oKbQDrw/WFePOXmxottToeu7MvFSPfRUKtrFdsurhMjw22ioZRqMyn8G8fy5
2IG4sLwVBbGGnl684ZWMEyGmqtsXua2EnTRflYy33u/vjF/c+wi3PW7+Vfn7t3e4p+DHmVSHHDPF
4jYE3/C8xFN/jMWISiBvxxRqbfxR8fKLlznP+k8xFLADJF/vzyoBWlMyF1G5V0RlPqPoVm7JYmgf
XSJI9pldfvSEX3hA/3xxrLEvSJXACFMOvj9gjJ2mxP9T7zPDKO09OQhRC8RISX7wMDhPLAweIZWe
Nz4tjQuopgJPAFGnlmBGMIb/aEyteBgznV0A81sHlrUw3HAek1fLTKn9CYcdjYCyAN+U23rGBmuQ
3Net3j9SuDSffn/RfrF2mFgcV2c+gap0GN9/G8y0vTArtd7rjaIQkVrYRui0kfJJAJ3+YKT+i2Ot
CyMvBiAh9HrXn/+lyEPL27j4wyhubThoQhuX7dIpWAvXXsR//LVWUiTr08p1QjXx/lCz2gpGqXOx
/9nx6FVnCtTIVejpJh9Ovf5+369x8rQZWPGRzF0CMMo0hoE8oWUvppgdtbCNkX6B3ew0lApfK6Ev
Vmh2Vr3cCMBGhT/Mrv1dTfLioUd2kwcF99nt7MrlJHByP5nLBO6bS5KSY6nUr78/Mfq6pL1fv9H1
rJU2vV4WvctQj9ace1CiNERK0MRXzWg0L4VTKKemn5LeH9M0fh3UpHsUFiJ9P9cihQxNfbmLnaS9
gcIZB4mmiruuxppUOuxF6mKQYWKL/mgzb7kb3WraqVBswy6yyyvgRsMHi/bFtHV9Atc5J9MeEAK8
hi7LGa1ZFApWzHeWvkqbhtojx9HsoaHBbTqVLD/XSpXQwRCMz9RYe52LbDn8/jwiSrwYu6IcZtSJ
kBdrBzgX7W+bUFxeCLa0eu+IDoNT1rVxckNQYqcFXdZs0kwZbhxWJ7ys47OT5ZjOrC5VQwvq+Q89
r5+nrs7agHacYB6kpDwMGS7yvJ72LrOfwFIT+8oUxY2sulBhsIaR0Nph5XodIbtGibyiecOsTd63
SfyCFOTJdtbby5gOcentUg/RSKvkjm9HuCiN/EqtimDJnUD1hjD1sKSDEjWT6gYY4Sm2sx0o1Sd1
KhGkfNUnNYTCu69g48zQxUfHWw4Ag8MlGb90TRsCpLiZaWKAmKzIj80cx88x++nxfFi69tmFZwvY
Kmgs99SToB573UGkKlZifYNWB6FccYCE/kYm54ahyc7sswPgwo3lyC+G6MlEpBqmeZEUzGex24lM
2SiumoJpVvbL2F5N5GWqYx9vTDJ+e09WIYmNRtCb1tdBq+kHLN6jqUZhXt0ahAbnbJeWgtFVTdZU
KsCdVItymq3k3uw8RDlF9aViYD8NGetv9Go47d08mwH97s+KRK6jq1vHOuEA/56CUlrILWxneUhM
/bpxlq3W3oAIu5Ju92WaabDg+RyYyeK+y3dK5m1IUg00BbhjHG2GZcYNQyLSIkl9EdaxqZpd2t6P
6OJU67O0v5uLKX0sbjek8m67+btZK0iKaE0HdqMfyeh4c4cfi24chx6K0KyHDDt35Af6i2sdnAyP
S9Vfpd4U45Z0nxtNK32PFu8ydme9qB02l/kRid59MQiCu9N2I2tiGFt7y13sg2jxDbVKAL1Hla8a
C8ggyXmd5U0x2E8xt3PhZE8DYiNRNiEgr0O5LNve1r6JuNhaiiRYa4quna7CK28/EeL3XU+6ycdn
DM4gJg4Kgxwkwc1U9l8UVfe9acKnOKtfrbK+Ngg4DKNI2ZnNdd9djTFNWgXldlP5SqYcaPsEiWGR
p2XslorXbGVfAVMBFuf5VT1Oga1lx7YDKmVQ+ErvyRFqEGXmgzsplq8U1dljWhTmOSrNEkuvk6Yb
w+i+mHn9jVnEWTbJVQVXXxQe1my9vEqd9Gwh2whgR2+Ib0t9lsmnbGkfQGLfaV7/bdHa3ULNFYjo
rePhajoN/SvP9rcUj6xp5WEjs+dM/Vx5zHB5TNJs2s2pfPb6aq94/avBa8NPYfyXpH7C8jxEteYb
Sv09kfZJj7qwXKP/pjRUZbdRpDQRP7pXwzyckgGDhB0d6hwVGbOD7kpmyRas2xkl65NXkStfW4+F
JQ1f4k1x1hXEa/k39F1WFBxD3mOgcX0sfr5oxkOtuqEO6bsy3YNKT1YdkvuFE8hw/apgHRlcPMJu
1o6hlLL5YoB5LHdFjT8+wMZJaqrMm6HdItM8F4n1Ra9s3ylQlJqTP1fNfWrm7QxC2w3bmejt2Nj0
NipaHMSIV11qD+YUvuflfi5s+6FwUsLy5vq67JpXqY7Fs9u3Gxos21b1XuBan8xuuG8hFNPNtB2h
BKU0x30myIiV0tkREOSD3TnhcgN7hZYrhphyQ4yKidfC/F4q2iNMnWsr4QM38X6x9ghlJXdUXocL
8HDqZfR5yZ2af9fqLEAl8bn3lH0/THeE82yb0vmcsaxGnuVHc/2tXigA6niJQs1ZukA3EuuTtTja
YQbW3Ozc+qrpuuKmmKxq67WCMNuyb3vfKK1oA6mkf4xl18JfsmL9JovZQAdz77QLTmrat7t2FPWr
lRTY1+vITkOBhIpH30QZC8LvGHm586SZQvrOwNdbYNxulHbaR7rWb6ZWw3qNU794SItY+e42EVIM
kRXyzemX+4WAClWrdaQoIMeTSfPTOfeGoLFjkK7RsLyoU6ccrEw1fZHXznWhK8umnmXzaGGsh0ya
no3GQzrQq30JwM0wn3hESRAxsLAfdK+X59ZVloFE18U9IBgpbuKkLfbo7ZoCC0OkPLb1nH6e9Va3
kGhhNkisSflh6X2zcT3BYqjm6SxOFnF2j2lrRDdV0ReULmZVb3S3c5ugEY21FU1vLRtlycwwGxpS
KCJHinNdsNGiER3JF3geubqV0koQoo1f+3qyXueFg/vCKucv3YTars9aBSQ/2+kdLt6k8N3OBi0x
9tk9DZRC0J+XXyijy2/atAbIYn88FWXRPHuxBGBqDeJsVx7x3rmeI6hxx+SlNKOH3uGBLwsUHJW5
eOYWuVJt+5miTTf9WDo+Slqv85d5GaRver1nhLjO6m2iqn0wzWke6gvYArdW61vE3v0pZTP3CVDT
HKpdlB5dEdUHxUAoWJWme569krzmqhbuFxugwWHp17VHsXmfjvKz09j5SvNPjgSuf886aeEfmIx9
aRO3y0bhAd/ZiyNEuQdEozwImXePVuYY+36hHzmQBwEmtSvldTmoZu7HKtmpPXQD1N2t/kr3qgfS
lrf+LM38yFRHx1dhZ08aFrzNQlPzpEbJxi6zxwWxZzikozgyuutWnMtYhPC+wfNry7ipsY9t0j5a
kqDOp5aTZHtpQpprNm8jrUX57WboVOKEyaYfCzkMG6FOTcvbrqCZ5s6qiALX6wuCrJSdJhT3dWrT
nK6X6W7tKlmCNQYmaKpEC5rFLcN8KeLTsLRq6DiJPAP+QDO4pIUMYxRdB+IbiAImq9i9guapBFVq
wouUlvtVjhl1ewWxomqGoQ+4x7VDSRGo+Cy+yrM7J2exRMunbpqb3TSl2lvaJtWPKLbiJ0W169el
vYsUR2fLRxG907wh3kaNmd1MS9ScHDDSKgvG6paj+VUHlk1gco7uO7TGksUlHZtrPL/qKwjLaV8l
8XQkOFe97018qING6JRENX+Ym2k5mtJ2fI/IhSkYG43aUUj9zR6I+6JejcJenZB0V/qnXjUYmCpV
y1y6A8OAgStR56vcMcfEB9bD6arrZqAmaZ2naFSGT2ZOxy+ubEturNmqyi2dFLmfhD5/c52pwlQz
sbHNR7UtNk4jgS2WGW+eNp6NG/jdZulbpYkpO/KWT0Oqa3siufVwgnzc3KZGpVDatpPyqmX4pQtV
TzZZKsvnJuFtOKlI5/AvLHpoymUKK1yneaAC9+gDSRzVLqnSbEO+Tbo32dceLSIrHhUrsTq/hdZp
cRPrza1VGYkSzInUBp/gC3MbqyLnbd4vTuUD3pfplq2xd5oQ8m6RklJFI2t7tBoE3D7XOT9w8fR2
C3JA7qB+l98hC2cPEhDaa1/9IEuRafNiFm+MqYyNkzpXBEAIFsjQy0zrrjdYfCcncoJkUWA/FapD
4nHpXQkxuL4TkynLp5As5onRRi+2JORGNFl1HGvZHkVjKpEPP3v4bI/ldNZKYQeWTK6sLi725UQG
ZaUZ+dboeFHPnjMGWtu1Ox7bASKVPqBtMvmulj6EUyGVrVba5oFch/UNwnby64igJCf8YLQf0p5k
is+FklEsO7rYa+ZYbrjxsTO3Yn6zSIs4Q681D3MxN1+QrjI/T4bsTm+sbte7TvNQIKPflA7+qtms
ludmzIpN21Y7oevF3eCYz31H6AWulDFcxrU+TPRpZvWqI6rgISf0hoohkl/MwjTPCPPjY2mgHVvi
fGz8Cf70wZoNdfQbxnlZoCyGuGrMLgU+WmmkL/VKflqrhZt2trv6iATM0jf8ghUSyCi5CEkR49XP
0sDoBntTKqj2fLwRqCsVK33URwfLVWxMjx2GqF2UuGiyLPQEjt5cK6bUPN9pYoaeVSrch8Wp7Tlk
vhUpfkGq1GPiTOVdLaKmDRoSC9PdKDQaFb1jvCVqF2/NwuhVWPktOScayPqiTFrQfEkNK2T2moNl
UaJw9kmtUpX9zOT5lQw67zCVEqYrEk+5I33W68JEdsVJzkv/PYlaVHVLY8VLWJhtwzh8pFMXEuCq
bybqoKCMi+pHAU/rGuyk9SS9ytJ9ocn4RPy0UVAK6QWLaS2HsB+AwW9qwjHuZNzo+8Wt6wN8ZjwS
xGFdzQTv+biWk+tmNtZbe1iuupKvqfRki2NystF92RrRXqbx0tMSClwKc9gwfcTb1lDzEHkYe5fW
Ku8xhugb00oapDkNpicWrLfEgJq2UK1c9VXc7utMVi9yirnhHShLgHwPQnieT5SJPGFuytlzGsUN
JVcMsUedA3eqs7AxjddMjt0ntbPYmyyD9hnTHfFXkfOsrSFV8M1J/soLFRKX6hiHdPKoYusyDwBy
Z3t7qRPiV0YRRpWl7NNx9lZrhnGKKBH0caxLFgTPpvDUZ19avPcVhvgBEM8E6WlU7rK4S86LyPKY
H8tqi4nMuMnzxLg38nG5VhpivNTRA/45ON5910T9A0y/VgS5Pkm/LlXUNHCnDtz79afE6ICujl30
PGVtf6eMdYYHv3bqLVbHdt87+UyvJBtCJwUr43RjvDHyz7z9WMUrPdYeTS1f6ADNbFyZBdJE0OIq
Pce9fdA4yUe1X17cRCfcuhfuVu8RimpVLYNobIvEVzq1u6fA+WErZf0VTD37kKT7NERT98XpvFfa
CjKYHdZAjfV3zK2ULY32NVJx4CPaZ4MQl8u9k4tnZYyibaYr6V0yLHhlmiyed3FbEtQFdyjQBnsM
hw5ByqDTY+08UZ5Vu/c2pi3aTdSW3ZXrxdY2qQtvGxPAXEKRP5hs8s70o3CvOjDEImPWtmW7xJ+I
LowPc0kLwCgfizlh39CL5si+EpKjGVUn/G8Io+EKhW1kvg5pvtZ2k73xdP5Dsbmpyib9kla2fWSH
a4ZaZ8Nvc5caDXvibpSsJ9W4G2kroPhmMQBrpZfVWmh25zkbOr/qxLOnSjYqhjUcYWk0s69qkRto
WprlvmanHn2HKApT/PFP2VwuZC4obZb4jtYAya4Jy0bb7m2qgcy4rBBJQJiZ3MlSUXZLii3PkqVz
ztypvJkyq/nWVJW9c6rpYagja6tli7pNyC34NIwAC8fJnDbA5x9bfNnM+xvruUjT/NzFuBJ7TJzn
WPG8UE33qVnNx0Jt1IMOGeq6G4TcJXU97LU2dn1RumnYKk1/xD1vfBtTQ93+zE6MW4fibHCnJ9Oc
vYDz3wROYxJ0p/fDpkqMrymb1XAyimVTiJE7XIs6usP1viuzJchgNQeFVtCCEEpaXXujgO7UWcNG
H1vzxq0N56AlxTetT8WziFpzz4ouATQKJkiZRjjaYMWvI1xq324rbOn4F5/p1QwvpDjVd15qp59X
ZpLZWtVuKF3jSoxRHyIa7HyccfIIJ6Dy9mlFW7k2p2YzN0bPtSuW3C8TWf2AQZKGxtz0LCi7ZGDi
mKp7Ve+Sa88G72XGvHRVhY4XMOz2iDWl8hMZya2j1WrIJQO50CgdJbhAUDy6O4NzSotIc1HrYYJs
exFAarU2OEGJ2XB1is9pDpW56LblSC6z0XvN/QR7ZN+krIVjmXebBqFU4DmsPTZ7GECgZX2282na
5KrLntlL82qriRb7IlqzrdLFRgSUYKDTNma5PM9Ey906trSvaNd329km7JshJD5HAGuhZ4z1jZZa
2k1FBbhXqOoObj4MwSyMaNuDVLgv2DP5HGAMhUucIwquLvHdyd0XSs9gVm3odfStigN2ORV1+qrO
qn1dtKa8K5fsWlYU+FJZvputIEKvzM9uWnm+Pur6jzqRSTC01XwHy6PYgmuzPxvprFwVdb3oPlnH
Vuqr9vAE+avCygDHApvFtZDyK+Nh0Au9+qnKc3mjDDU8yoS4Cb2xRQCfaiRzose+o4v8rpE1723m
ob4qtBezaAz6epE5HDWpp2zM22in6mnC0z7lm8SMvOdR0zPSSNJvuTUup7bHxx/U2QI8OmUObkoB
WmxJyu+S2morELgdNL3JbsesrkNdZ811VIoV4PsoUYIWPvJXU+K2HstC2USaXj5hVouu3N52t3lk
Yw2ZNRsdSURIwhTPN6gHX924mcNhSQl67BLnNSe0MWDfpO29xDQfB4stb1XaTajRO6fdUhKEl6LJ
5vWRLV+dgauFvxmXr5nGT7XnnbR8oCntjPVuhKFyXbhL9VRWouKFUkchhKv8OCKLoqEzq3TkdfvR
ltGORPL+4JmJvas92b2QBCk2ajdd1wWMVqXi5rYGCKF2XFrf1KJ91s2xOsnKaQgzn7pgcaf06JWR
vc2c3glzO9XH7WT3w6mL6v6BMAn4bSX7x2AsJlqXEBbzKyOCFhDHyY9FZdg+lEq80QpbDZZZlkc1
YsRGL6yZtsJI9K1aThBbMeDVWiU3DSHSga4Ynh8PPV22bMj3+CKXHxMV6Qlwn7bBB31WUkM8GHZO
p22heVOSqxz2mlN/N6K4DoxWIY1n4cnzEtcqfYdZ+W2GUgxxJ6vjJycl49Mym+OQJ+01AcC0jYvp
q5d3b0maAYftGCiMVjdvweWqO28cy+MkaxtXYmPLNwYfWhUocS2fMm9OPhVu1n232h8ZxmPM4bW6
1yOmBbTeysCBXvIlrts01A17OHZyNI95O8nbRZ95hYx2hW068vp9lGku7U4R2xgYNDOY1r18k8Q1
rTw7uo9HFq8oXop9KqrsgbfrFOhNFcG6xdcdNfmE2R0r1baoBU9Sriwz9N22p2AEnvoV28pEb01E
dKLyZCOGNOG0ajOxc95rhzPl2I1eBDKpZWyA6PNmriavJFJNPRG2G5/GegV8mmrtbbu0zVV26F0y
bhN2GJpPGa3wHrWaevLNucvlxm4hVm4sczZBtsadGvOB2mYMe32m31agxujDGj9vxxbkkZZxta0Z
Wh6cPL9NsO1soGvE22RhoGNCEgzIZGy3Krb0A/JRlReH2zwvZT1PPsXsFAds8HIj0It43tqiA89t
aYMGnS9LtM2Qpvf0rBgO57SYmply0HHyhjJ6skOCrbUgZiSz5TDjdeT20U7L0uF6gmaI+3QxN0Xp
BEBE6wBG49kZ0hdZQQE3zVTsmT2lW81TNu1i46uC0XlYWm+4Gg0v2uMGu+1GEKN111F+JnrzpEqT
wFZ1AnwUkVG7qcdo+sScPA1Ki510rdrtjxHNwwtpdtldpsiZnjsgx5oW6E6zY+OMVUH/XNlOzrJA
pW34Zalnb00ca2S5ml+9BufQ6GEBG/AQHDQ1Lw6Ool3FtfWp6t3q4JT9mu0xPNUaffHCNOTeK/s+
tFqoBRjixBdpD7a7m6NRbBrTZP3tgUfsRieyHmib5mFhDO3OaIrhPKFPPjZROm8T3Uy+0uuPwSJ2
CZ3lXjZMOSLwo17PlM1N02tFtu6OnZYMbSq+48BdekVlUO/rxvH2vRkrQSds81jizKaGFcYTLQVa
zFCKrrC592dLTs6t58XM7kePu7B2qcMHWtpbu+eRZTulb+NiEndLlNq302zk/pLQ0bHiblhrMeuq
nyQYVCc3hpecaV7tC28ysfFwDh9UYaQKDNnY/p4i8El96pfuttInXhhwvg+CuuEYDXF/5mXN8M6N
nKtW2A1TK01x9oOel4eKdEndd1r6O63VR58XBydZ5kj1gOtWe9boMW3zJZcelUQysLTKhS0yosev
XYTYPEsbsQW1MW1SR5RQkHqiBevKyT6RZdH9L3PnuRs5rrXrK9KGcvhbwZJjB9sd5o/Q0zOtLJHK
0tV/T/U+3xmb2+XCFnCAAwwGEykVxbVIrvWGR6O15UMytJy5y3xaofGSyZpdsGqtuwsS1NR2SV5n
P5JmYezWHavkgCTufO8CiDhY9N1+9mmuETzINxTLqSEVN+v0YdW09lMTF+ZtGdfiCROCgtNEvXAX
pJNwRLZ2vMU3Ds3fJO+H4uCt0Lh2OCwaf01Z2d4hlVz9qVduE+zRjM0/juih1HDHRObeVX3NIcCX
GF90PkbFu0IOfnrw5sz8irCU/NUNJ68qbEHrWxOj6Ww3556POnVtxh/rCd3KveTGfacPAMXvW6/W
zL0xORh0St37a8kgU6zkxV/J0iT+LecwN0KFiX111ow03g+BgU+XU7T1rXBrh0pRp8knLUntL0FZ
9T/1WgiqheiN+eQw4DITqeqPodPHw1qhzo1lh5bdJfhcPBYQH7+UsEN/2bat/8FH9na0VIP2OJma
vUP3U4gDYJXE3wduXyI3a2kgQsGZ+/h7Li71+8KM4tQyH0XZdg9LqlsVO2O2oAdsNvZ92lXAFia9
7zgv2RTJDykGKDsMlubnevXBzkv8Yz6a9u/3suLR2Xci1/MrDpjye7fMDk50xcifRU/Gm+qZX2J4
wQcLpOFJ1LelPBKkcbTM3vzcxGaph1O1BDd5u65yZ7pDIe+T2tNx4+3mrHvM6RxHSawn2InAlvyV
jViRPo65KIwru8rtqyqnv38YG6t8pFeZFNelHyNh3tOAtQ463bBsv1Y1arFxYFPZMIn6eMA/5tB1
dFvZEFLw80j3W7sA1fBbb+rKR+nnfSiGanaOvTcwId3SMaUGyNOE478w7CtWaW5cgZ3gZFF1oHjw
x2S+RUJ1Yx97a/lISSP5RhmeGzSeqfbVYEz6H03ndTfUz/OroMrLL/qcj8UucGzUfbSmD5E27392
09A/GMsMEdnJh+w2APnzQEGW4YsOzOZ6Aq/4fcA65UYfo8HBwtxD1QKTHQziu1tzMglQPr3HkQ6k
rhzzyI9dED21tyR/GlqS3zlL3nW7EXrIeGxdCk/7POWCdCwoWuJ+BAyhoce4NI9eRV9/jy0bKrZ9
NrAak9gBstL5/GVrxdndQGn8CxWBLNu3mUCXpim7+QeqkvIJhcH+Zz7GpkeJztJ+aCYIfaex5BNV
TY3L3dK4h8wvLG8H2WV6bpFo/CoDChaFUftfuDO4D56V4BFUFsF90yIzgvovbPLaqTUaih35CgQN
5/HYPAHoSpEMVznit/dGhwazPmucK3sS6QNx0KNYQXG22OdDCZzdMhDXOZgipnkwYMWShIM36d9E
WWQ+isSAwalgsbLaMbe/4J/LBS2WFh9C5g5NiVYv+ZhFLm7HDKaGtbRd/BmwHfsuxeDqQwbR4SCR
JroPyqD8GOAIUl4ZMXXVnTYT9BiANBRAq2U+AtNb0huwws4XS1YsAlqh3zGfdv9yrTS/S0ViUobE
ZBZ18R4AfK/ZHqrW3Mxpqy9ZvtBj0AmesjlBFnOx2sPBKZ3gKU01lrwXsAI1IfkI9UDn6KpDxBg/
TOTcV1TtfJC4Y2BUETWq6VnzszzSwbp9QL2kfEwycBzlxMJlW0AwGOUgvJw8+VQEftrdZE7n/cVl
Z6oOzdgTG1kPG4UDwarBV9AaTmY9yOqQc3SSXzVYTTT7lTrit3JZTc5ZjTC7a1Rm0s9sRVja+G0R
59fuMuRR63sJSBTio9pPtDj+SEuWdkH36gEcSh8uqL5cNaIk6xZL8o3uFNPpGeZSf5g6f+HQkSbr
UadjlF/9xjANYJF/CT1pzGMTj6R7V1gsYYn1AR1QwUXnwT8xfjAXKK5OuEaHS3Zdm0ejmMj3PIRB
0Yn+WloBZeEpMNvH3lqg06O13F/lp8xcswFcBch93+lOnOyDuhGf66ye6RwZPTzdDLB3V7j8ayrO
OszuerlHbqZlDqCAfOy8uHH+KMq2zLhCpi5FVOrqpwoVH2muyj5s6pTLUFtVrr9HHcQtP6T9PIay
l821ronmOkBU76ZHpYamoxyEu+cDU+T22s66cmb+fEjXgtw+6Vn8oXRccmS2WuQ5J25IIrrUrC9c
KfWwzAH2OImWfm5Z3x8k5jD3E0zFY586Y6TB096LmTP1vmpWJmkxs6q/9camWw4eAjeURjU/1m6W
Si+XXYO9+sEckQrEOSkfQ9Ok54qwpOSwrVMlDVPaNSBwhtVH8rwgk9QotOR0TEuYLv0gn2ZhEIt1
6wYfRjGOCMMT+rEMtH1hVa08TG3T0hHpnBtcxDDntnwQpqYhnCeb1R0WnYZvd1I2zo+SDYVTsrHK
SCTTfV4BmrqjFcqW1bsnm1YbIDiHhzzChciKhnx2QCg5LJWRDu1e+HQ+AHaxX+jpMj3beu9ybmzZ
pBzfAupuLeUjBy0t33HsYfHiW0iPMhW+me4nr2TD5HRo3nKNHz4scux3k0gBRaRdB6Mrn42P1Kg+
DJjm7NB6MXYuiAnUumfYMGLWbgbsM28oTfBrnNSKuz2lcS1C4Z8jYOWN5PiR9P9p4HI0UqKeO/02
D/h2D2tsQKDRJmpsx3k2Mu0e5AFOFlog6LTncnX+Df7/f8C4Dv9uTmTl7jeb+hwt+6mp+EP9T/5/
5GMDCT3Px75fftTVj/YVGZv/4d9kbGhs/zLQVwI3CpcNuCoA3Ok3GRuaNohSxO1gKDk6/x6g8f+S
sf1/IUbnBD4CPlAtTBuQZ/dvMnbwLxfOLWaxKNGYwBLxPfov2NivcfgasPgTI5t3fA2fXVesHixy
SYQlXnMXc/C4swEjX0JyvkbE/zO8gtmuc5FwkS9EROG3uY7z+W6x7CJapslo9hyXEAedfVrGaMXU
F7g4r8G6//tI/Nxf/6LURLRMdJ44YUbltC+5FHzDyYeDAKLpkpiXzup8xHk2uSQ2+fYcglN9/UST
gnvjyrWJALDF2KmQmW7Z0OpLVnUKo/efn3T6qS/g1FREIS6XSxPZ3TAO16agkxNOrZ98LRPTnW45
Btt/Oo35oStHeYe3gP9RaKPGXazT9Au0n9fQ7n/eQQHDa6WtsUIHGbn2DEpu0u1EP+ZTOTzDqir/
K1D3Pw9RcOPp2DvUQr0mshJrfKwn3/iVl9K3926iUfd5EZsf/42EfilAcO5znf75i9mcaaS7qQvl
RGY1rPjJGtAcg2Mr99vGVxDppx7+7NDBozhYUwKd3emTwy56wd3p3HcgIbx8e8o0/YgEXxNxk7Wf
ObivtBjRMLV3oLoMM9z2G5S0gMR5arp+3ETGODZHzeibK5fq6oW1dO4LKFkh51JnZLiVRlwWaC2P
LecFJKidi5IqZyZJZcGgnDfbi9aICNzUPH1IMmfRr/PeBbfjuOB49lIMQqco14yfERHCksugFS1u
PJTa5Z1TdYgsTXFPYa3PAlfbzRzrFqo6tWEc35/gczGt0qcXHPEaGA0iildfo8jU6F2KZ05iV2DB
8lz/nvXF+reBZJNxZOdPb9D3CJoDNXMuEZ2svXHbx/CV5OLYHI/84tQ81ibgVcAKvc9aPQR/vv9D
z3xr1Z0P/WtR5FMuo6RJ6s80/ekbLi24xW3R5ispA8s/ykTwAqLSKUEZxkZdPXuw/b9se30lWfQT
mhCQcSBR6GX+rKVt/nNa5CWfinOTo6SKgSM22J9CAg9eOlTB9Y6rS5563rYw9pVkUa6tF9Qnaq+v
93q8C4xEfjWB3fUXJv9cnClpgg12jVN0Z6Ol7enzTt602pTl8G7aaXGi/Xr/G5y2mH8ILf93V/it
3fsiYZvI8eHXAdUymeT8QMey+xsUmuHfdizd8mHuMAG6sDecFv0bj/KUw8MQLL0X93od2R5opD3c
PhTEPGOePWqyOJccBn4vqlG9KdNL0oZnFoEqzQXYThqWiEUUlG4eXHn9LINdhTzZJQG1M/PnKRFu
YWgA6nNqoqQQdQK4xbQa7QhPGFg//kTZwo3J7ZcLchjnfs7pLV58rZFeP67QUkZDJ7AsikVnx8d1
SOvn91fDufGVgJ8F5UNEQDixFlhGHHLRNX/ZpU5a2Tb+6bkv3p+CB6KcMoNbHFCiB5nK/dMty+P7
oxunPe6tFaaEPJc2s2r1/KTD6a2hNfV++TNNjGw+6lqRmt81DVrdVeqlE4WwKi3q+9KJp0Wj5Kp7
F1L+mbBVybAAgUbbMPhEmhiDb3hgmH9N+kqPq+p97dP7P/TcZ1JSg6tpnoucIcdw6LDJPl/pSU6x
513ICaeAfGsalSNEXdIo97Dri3xA7N3epo8bHBOgBjEW7xlYJavLpNjFsW8AnS+W4rsXu9bP93/b
mYBS+WBQNLATsjle6KcuPRAzOFXA/9Ne+5BBMtYevbRvms/vP+zMRP6HqoxmJrGHn3rkdbB+ssI1
+h299TW+kMPPja9kB1eCwpJzLyM4ixoq1yn99R4e6vtvfyahqkq/VSDSYTltz6lr10DXgmGEXpKM
9c0ghTvtaYl5v8bZycuNP0dJD4tTSSDmI+GrUwkbPPncDhcdMM59eCU3WGWcdxLvvMidxma4SuNk
fqRgWKU4CKzzrdbk3uH9eTuzvlWdYpOSTZMBLwYhgFTUM4QK/dF0qhRZgVrPvoFs8J97rYpP4u1u
XO1h19Odfv/Z51aEcmoA1GU2oGlFBL3BBuk8+PleHy1EQd8f/0z6UU0ZAoEjYKdzhREL3rc7Trge
Hosw7+imdrPtfHz/Med+hpIiktISADANEVljQ8esc6FGsugu/Igzo6sKzw1cLRGcwnLGy/UR8L7x
qMEouN707o5SUojdPgO2xR1VJO10A0/8UQPrdrVtcCXiU0gtUjN7Bj/J4OB7qV/BaDU2jn6KnRf7
54jGfzUmLdPeWdatR3trbzXlxhOzasOdohQTVBprMwNV8wP+1DLsRsPtNs776Wu/eHm6yF0JfFNE
ebU0HxpHW44yMC+exM4tGuv18O6qGXhzV7z9Mv2ykPOCq9PmF44W5wZXwnapizLwmpqbUFs1lPjd
ZL9Cawi3LRplP8/hvVM3CZpozrObekTB3BDu87axlUjt7a6PZ1pmUerZwxFhuHXfu9B+N42umqMN
81hCjxuaSJudBDgYuLtRtOWf20ZXIrUHhl5mOvNSaydWPdoUu6yp5GHb6EqoesGYtZbg6A77zvoE
0u024VR1QTTozIKxlUit3WQEzsC0J3DjUlS4WkqiNQLrl8RXzj1A2Yu10Sk7g15eZPgt0N0B4hfH
920J+D80gCzhe2lnNlHfyo92K3Bs6DbOuhKmKU7mI54f3MjcdQTU3bP674BRttPGJamEqu9IkA+y
bRDLBGeLR4QGCNwBE/F127JRgtWZF8dogV1GwNwXEnHTfR4WPb1QYT/3WZVwRa0RTdOSRQnisCvv
JxTV7YPbGeLSAeHMA1SLugVUCjbJJ6mSwpDLvi/lMu2wRnfcbanSUoLWab1kNU4pobJqK2qQCbhz
cn/alipV95a07rK0jOkHWJiSorHS5DRgE7nx3ZWo7R1RtDg0IyPvrjk4FOfOqJ3ygoDLuZlXIlaI
2dMn6DuRSfszXPO+/AmRqUh376/L0/y+cWuzTo99sb02tp7iMD0zM2ZsErhtu+N28K2GGeD0wacV
FlpUyN65EAant37rcUocV91oAbsX7CuZyL39MsMo3NWzDxIClOolBdpzc6YE8wqEbcTThZ1Rm/29
LhIbro7tbUsVv81rXkxZ36EvVhUsJgLag2jZDNdBH19S0Tn37kooQykGGFKTRDEVbsN5aNobDw7J
tqOgKjdpao0zWAaJAlN5485F9uBjzOxf8ng88/Kq2KLpoVxkLUEJIR0JgMTQ1+Ps1d2llz83vLL3
0tN3O6tAu8FYpso/8LfymwYBaTiOEnlHmH/zONzMTew1D3mVtJ9qo/usOfkJsAq9uDaSFDqAna3F
YUGdzN2tJzLLvmuaUzWnC/K/i3VMP/VmG+f3VMkpNA1+HcPeqwsfwshQQF/vYCBk0BgcN4voPszF
M6Sx8hkWuYSj2Vm+OPj2ShfDcYMI0ShHuwKnken3eCWOdTgnuEKG7oyBHEhlu3B+wli3rOvO691f
o5g7/9O8LhD6bLeFJ7xk6IikqVkM+oWI/y3n/UYMqoqqaGFo69TpZYQ+XwPowwJldAUeokHFZPVK
GSa1vTh7HfCruDMHRF7CHJO0BIOwkwehOQHcPIE97Lq9cHA4c7U2lQSK/BFuzBjGcrda+6e+NrMH
ClU/4gmJ6nq1xhxDhMLyd/AQETdrBfTl97PfuQWlJNdlSVEHzpImcvNKD5GIxMsMrfP3Bz+9/Vvz
fHroizzh1NNU4r7XRGvXSwDFyKsfOLBX7g5Y/fXQrtPT+w869yuUpIphpA9KvKij0oehYhgIqawB
yLKNk6Rk07kDBrHaAolaCBkHrfbsg14G1rb7nSo3WBqFgyiKXUapPc7I+/QdjShv8C9pqp6ZHNW1
E8XzbLQTaGM29ZgQE4x+36f9pe3z3OjKsWWJx2ny0FWLcgSlv8eJDnTLaL0L5nPnRlfyXWxrWT91
iLZB5k+uckxVQ6cO3Evp9O31qYrpDcgUuNJAjbxIvBqKZifNv0ZMnLQL45/Z6w0luDQ4GqWF3fXJ
tgQceSmAZ+7srPADeqtV+WXT4jdOc/ciygwnmwobZamoaCrnFmLk8uiX2XphdPfMHCmhlZb2jEdr
2kfQtxFjGI12jQHHWia67LlX7xuRt8OFLHjuaytxVqO7Ngx5qYW6PxR3EFj/yoK12HZD+N30fjFN
qzHkXYpnZgiDcg7B3bQodqfjhRRx7lMrh5bC6ejF1WYbQWCGrh9UfuIcgXefIOBVDIvm/W99rkWv
nzaQF7+iF8IrA0DPUQcBZbwukmExQ700i+8QaFJx66CyDm9tFOg8lWZQ1AfbygbnZnYco34YAHOu
F17lzY8FzFhZ3BALqoHeTBOhKCfngwdT9is7uGZf2DzOja8sa7hyHv7ySCT7c/l1HPk9jQtD7/15
fHPwAL2+19OocUpD6qdLo0RK+8mQDdzUYGNA6mrSajKLm4pk8NrHsdi38KQ1+2XLvPPqp0B9sQKc
js/ptVYS4b5a2nuLXP69BNhabZl3xle+q98PjskNNwj9VteB5+sS6qvdHLZNvPJVDagXleztIISs
ZH+bZiMIZ/SZvr4/+plkpVuv52auAP7bWsFxrUGXPJkhHO6aHCLtYWpwxbyy0PK9JKx7bgkpySqQ
7ojXgO6Hss7cwwz9J0oCa7x6/5ec1sobRycVA2lYNMFRRUuiGdpo9rc3wqK9MRpRT6EGfac/Ut+b
6htP14wv7z/x3NwpGayrkiKXAcTZTJPYh3aO7ewskUkbRJ0BpBtBiTE5vv+sN+eO3KFksXH2UzTa
ci2c4hwEdhpMbbnHhay75Jl77gFKfCOIEEM8QoegrSGRYcLWF8WhmmW1Xsj35x6gxDh4FbMVKMGE
oxtn3yaEFT7prR5snJ/TN3oR49Ixm3xeKg1QVcPtbFyMQ+6bl/r9595diZJ1nLPJtPGm1PRl+OAs
U3DVVYG3cWaUuCgqWbhoMaGPamAK0nIWv8eE5BJG7dy7K1XEICkrR48rM4Sq58xcWKD0H21L2lug
jKxMJQosCRiatF1F0zohrie8ePqTE8/a7GdgXJtyh4+I7Ovv65eI/QcnZaR4ybMIH2AbVkIWb/sN
KoyvRigDLROvQHAfKjMyPf0dQhnmU5Ks3a9NAawC9AQUT2skKUX2lImb3nMxFmj75Me20ZXlH5vT
SZfdzSPYfONwVZcz8lwc0dEE3PYAZY+r2sGRYuYBeucNX5BFaT6PK5aLG4c/Ld4X4ZtncNwrLZ7D
Gk7mA+JRaK/UYOr+OzX8/wM+Y/koAdyY8TK4aZdjU4bBFVpz9XoL3R/Fy/en5zQN/7H5ML4SwuO8
Ctct4+y0PGvITLZeHjSkS5Z907iX1OHPPUSJZK9NPKRWYr6B0aT0wu0BmRCzlA66VwklmcP7v+VM
wlCBeiBHO92E9RhZA0SUZpLm3uyMTR1ILCyVQC5cNO6aGS/b2l8g4DhxhbxYLt1vm15eheGZI0ya
qWb4uTV/yJSCRiLtLZ02Xl3Zwcpk6pGYRn5i6lLxER+rPEL061KEnfm6nhLC07zaa9dSIERt00M8
qV6GeV/DFn0KckNuql7xG5Q4zhN7lUKg6+TqaV8iyegnCTwwnNy2rR5PiWRtnrw0d/wUZdehO8oB
lOc4m1tO8ry9EsbCS320Gd00MpKlD1HVaxHgWzYVuhldCWJRjBMgICuLhtEFhIwfoHNbpzlF4m1r
U41f3THLFhVDyBfa01IFuLq0/iWh8zNRq7qyzgCCZ2NKsshsDA25L647tA+tp/df/W3A48kM/XWC
TjTPSJB5SyNvlUF5TISfNnuv4AY7ShH4+ywd7D/RtqqyJwiR2o+lMnR54tdRo47ef4czv1CF0PUF
xh+jywF/LQb5w5n64qFOcu952+hKcBsWuqoF3f+TGoeJM5vsDvYCpWnb6EpwuxD+UED3k6jNk+DW
mhwnDJbiIuD53NQoUd2UmqV7JZ9cs/Pg1oHce+jHuNnSTuTbn576YnOeY+kkKBIlkRHEvxykxXfU
TNLjtplRQ5quht2nXP3lQCldj7n6zwg1XJj30wS8sS+7SkhXw9Jnvq7HsPZP+kUu8kQPqdRsKAbN
0FkXnnJu+pXAbvFrBovSsTJRNkrC/CSUguBI2W073bnKERvWoZtbyaqFHiqVtJeMvd1O+WHTB1Ah
cJBlqBshSBeuaQfRrrJRHVvibVGlIuDkSCrNfQaHOAhPvxHFbbPYzra1o3qCtfCERyPXgjDNZHZn
zat+LTWEa7dNjBKzFV23tRF+EA595WInsLjoLqPtvm3004p9EVRZ5ToovyPZa/XNL78pm72PivLG
V1ci1sxHqChax7TXQXrXVBPaNU2dhe+/+pmgcpSQtWRr1EO8Uu8SHoQqG8WIHnEBOOICafVp4wQp
oUuTbZ2gHnCjdy0zGkdEMBtkN7ad5RwlZIccEmmQN0Ho5TlKw32QoHFi1heaMOdmSAlYw0eAuY9j
0k4rgxpVx7yf94AoR3OX1sa0qfqPMbG6Ka+mOaZQglAFrj0462mI3NrGpKY6DWHYyXYus9OWVaBt
2U+oQMfIbL2/hk4r8Y3EbCvbbVbnI5KT9BYQDJm+tchsRWtq9R+3ja6ErrfCx8hyKw4nVOd3MIm/
dktvbHx1JXIb4SDmvjL4rKUm4ovxFzvX/tz24krgnvzEOCCcFCFXnDosK0nvtAaExLaNylYiN1ia
Hm1sMw5tvf6pL/K6FHTzt726Eq89wiCulWUBGnh5cde1eDXu9MwAm7xtfCVipZUglywXLZTF7HyJ
Mzv4URbFpQv8ufWoRGxt21Mwp24QrsD170oqZVE6mBv3WBUKV/nLtMwz2yDCp+11VdgaepeYJr8/
M6dV/UYsqTg4s0aI0UD7JbTmyjosIENIyqjrXImimg5lWrjX7z/ozCSpkDizSGsgF+1pW4FsG6M1
O61ZdrVtcCVms5npRgxRC0thzmFfeJ+r4eKt9NwUKTFrCj/XcoDbLB69/+73C/Ky5rhYPTrVcDTu
HDmjArbthygxnCM5Ok5DFoelNJI9RqPjwQP/svEbKCHsBuNiQ4Lgl3itOe84QdQ/peHH2876lhLF
KPqbweIB36lzS79G3Cr7SVEi2XaFU2FwS01+s9FHCm3HxbRcb/bxOG8sEVtKCHsY1hZBRSsLFUF5
zAYjO+C8vWxbnioKzkI2usztVAvRg7UOeReglFf21pbuqh+oIDjkHaU1giyj/mnJDzFqrLu2aZJt
5e3fru4vzpoVDjfClzSPViOJRyR76hLlpNWoYW7hX5BvW5oqJCuBcJ96MWvHGM14b6XJdD1j5Xth
ZZ5OBm9kOdVqG+XeJlih7YZZn60Vl8TK7G97JE07JGFT5BrrrtQwTaiKIr8wb2fynalEch9oTl9n
kxam5tijKDlOEViv6fP7eeLcD1Ii2eoza7WhdocajtG/mnVxnkTnGp90DnP6fjQwqdHLcr5QGP0N
0Xlr/pTIln5Mgl3Z+xtduqh5pRZSwICE6vij0GX10XArilFt0DnGXYpuNard02oGV+h0r19LPDSw
ZKrWEne0otbHzwm2LP2hdFMc8sBRuNO2bV5FGrbdQokvsbWw6hP7j7YvQEjqXt98eX/Sz31SJUkE
BvqaRjNzStHRRF0wDotwYtlEl/UDFThmi5IDuY3EdNWPvwI7/3uShdg2Mb9Ny18EseUjs4ZqBJdd
PP8ifWqTaxMTiI2jK+dxWel+lwDDDXEs++CW2qc4qzfWnFXQWIfu0bR4SHyVk/EzKd1nJ5a/Nn1O
FS82YdhRWX7BiSQewEiO5XI9S7Gx6a7ixKCHZjPGrlx0je5nZuZPudteOLOdWYf/YXhatPQCodij
C9dkN/hcTYhAW/q22+1vGO+LtdKMnu/Ges0+mzX2V8vTgo8UYNxw26QrJ/G4X/qp8ZwgrJO+3VXG
3O7Sdt3EaySGlAidl7516IYHoXDbv/EI+wOLwW3TokLBSHhlVwsAKAaXrK+1UbuRmQwbtz8VIeWn
uLbAYDpZV/nZc5bG3VeZxd62E4IKkcrjjmaWifB26bv9PfW6Bh/q0jpu+qQqRCrwkhroceyHels7
j2vfNh8QABHbFowKkDIhjU8I8nLZ75shRc8uLe97odcb20K6sk9X2CEV1UgWSFx3CdtZzA9uaTcX
5uY3rPiNnVPFSGUjHdEpKcFdzX310wOLUN6vQ2P9kWpLJ7CGWT6aujiCg6h+xGMwXrnlmtVHM40X
DT1TJAVCWD4/M3SB2qNrI1OPGj3+seD062qPb9PQH9a1dZ7wM/ftC299JsHoynafI8E9iLlCoNty
qOs2WoDDp9vN9bajvAq3mmdtqIrMY6vDVu2KXrSDMSSeI9vWo5IESksmKFePfpjgcIwbbfIQD+m2
2hOQldel1wIV3tVZjDj0To6GjQDiVDmr2HRRAAugjD4aiP9ifRf2C35ziRFjGJk5m2TJfJqUr0cf
ey9Hj9vBrGGexYMrUv8xtdbl85Zpp9XzenQazbUXi4F3NxZzlyVYz6F5uQ2E4av4V89PrKyaSb8n
G/Afepb0V6ZI48dt764kgcFuJs3FzD1Em+pLbEqs2/qlPGwbXDmrC6wRsVrgJJDrOq5pg/s4xfY2
ZBy3v9ez3rkatmQLJzsNWsCVh+LO/bwOzvO2V1d2a2tMTVPPOdkFaDaGFeyinRDxJdydwzv+Z270
VfTXvI4a7hgDGMh47L9aaNr9MNdBu5WtJjcRJnwW/ev50bJmdbsp8MMZ2d1r4eCn2TjOJgkIRlfj
tYqXuqkdP8wG9w/bKL971SaSJyMrwTrZhiMwPeLgu7rebVL25TX2G/qm67avarL5EAukW3DIE9Wk
Xa2zmZwMoHVrE4eHtz998heHyAnx6d7TcCavYbwdcDK5gy5xCW56BlDg+2q44giJMGrB2VpvyyP2
STMB68w4M9bG6k5haWn2sG+1tBgQoS7L+uiYjjchMYoD1aZLj6+iwpBc4U7c4tw0aYF+pGlTY2yd
bWug+ComTBvc1oi11Q+pvrQ/pn5ZI30dl00XCN9XwrqajTnzfJatrZXXbiCsg8Qxar8pZ6gQsGXU
zMouqOVjFt1BbDefULbPtw2uIsA0bCIQ5qY+ale4Ww8eROLZFfEFVay3zz2+CgBbG3c12rjjjC+T
meZqZR5TN9tUPUDY8XVIwH+AJm/2XjhOVVfs8Ykvc5AEVdduW5EqCCyZxgXZ8cEPMT1Bg7ZLq89p
VfRPmz6rCv4SGjTS1cRdxfHbNALikobDYrWbbiholb6eHCpxc1KgCR5OaZNdYfZaHnGfqjauGmUH
xq4bF1OX7+q0bRG6nYDEAx3yQnHx3KpRt+Aa7V+UeJl3z/84Bzjx1a6+SdKFXUANVcAy+KRKL5Rx
l38F3m19mgYhNh3EMVJ4Pe2thTSByF0XfPeafcIFJ/4eWPhUbFoyKu7L1Ad9EnrK7ogzc4OIxjx+
d6uMc/O28ZXdV+8sLle25Yb+NA/JMeMOmuwRFk0+bxtfiVgrTg3PxoEjxO3Z+V7aRvuEq3Lyadvo
ynm5T3pp92bGNYVd6dH0Sv9jOop1W7i6ygbceHaQYbCKY63ZyF0+dd0uGXH+2fbuSri6+Fw4xpx6
YYMO9TGoFu2uEnH7cdvoSrhiu2wVeWp74QlRf5CJZh1WrTC2rXkV1jXWpN/utD8JxzpULspOpqMv
G5ekEq64A8xljq8zgBAs8LAtNVPMwTtsBbdNjRKwYzIUqy5Om2suvixCfg8q68/3hz5zGlexXEV8
cqAo1jjs26z5isrwmodBoZdGGLTpxlOtiunCVb6ctJxa0YSlObYcVbKzc3Qu3/8JZzKxiumiMtcC
lHS9MNGtgqtWUOsdtpt5PG7bSBwlZj0txg0Kr/pQYou1G9Mq7IKtVzlV2MyerXoaFs8Pe9vPiwPa
266FTLWP2ca26VGiFhMsv+xbn2OfN6K3L3Tcx4Oh2jj5StQWFvAQPyHjCFRM94NffDMn7ZIs/Lkv
a77eqDprwK9k5rS9TAZ2KgLEHhKqmwpGvornkkWPKgCGUmG/ahVORZp7SNb2Ion4tB29cc11lJhF
utUtK0y6wwz3tCTq8GXtbzrTnT9ovijiG9/AdwF1f/klWUbsufOlyzEj0ir9WyDoNhmD1ffPKHIa
35IJ1fIotn1xnYOf+znH+DABaMd17f0lciYJqCiNasq1Fbs1to2pHJ8dLFGw+MwkrrjGOmvf3n/I
mY+pQs9kNVhjtc5+WDdQBA+0MpZ0n7RxbG1b6Cr8DAMvbrQTZ9W5Hrtnc3HqH3Y/bkN7+yr8zMeo
pUoSkzCS6YN05g4Gzfpj29QoCaZbFs0VXe2H5uCsV46XeV87BHq23fts5VDgG+zWOliWMIXChyhj
vRQe9oQClMm211cyDFUQsxSIpoQrOhjfHdt1vvm1NT5vG13JMGWOuDhaclz75zX7c8yr4rqL/W0A
Jf/ks/KyZBGjlwIAPqXWFRdJj8shkOAdxgCOvy1B2srZYDG9dg4adietgrafWa2JvDM219smR8ky
ifSCIh7AczYFxvH0pwVKGJuGVhFoAYIHg6fXThhLUeFaK2/wbnC3LRkVgGal9ZyMseaEUJQnGg6G
fOqcVV5YMqcy3xu511LiqexW3MfSyQsxsXWuJ6xn/jb7ttP3ltNc1fA08KZ8TAcjRiOn2lirtpQw
gxePpvcqndDXphVXY9ufd9M8TdtaVr6qobYUtru2Vu5QCy84ffj64nwfSqPSj9u+txJnKLeDzPCZ
NJ36yv5/OLuSJjl1bvmLiEATgq2ghq6e23bb3RvCI0JiFIjp17+st7q3Pvs6opZemKaEdHROnjyZ
jMEBlQXddd3r+JIl1vOeL/RMtWJhGyk9t98dWf4mNvWHq+WSJFbBNG0dWjycc6i4q8Xbhau6l/z1
uqW5OGWbdzDKWDA1YGTcPUIwcFOio/P7VU+/5InFaKPyCWDtYWhhwqthH0T0oPfXPfycnvwDkq03
VIOzkTDoXldygL5idRihLXbl0y9q5Wgtq87FPDpAC7uDmTj7kdvkb3pdf/iql+SwcmR9y0bCD76u
+l1dFeC6senpunW5OK3d0vJ1hBjOQaz+IWdhp4ZO/42RRM6//zcB6JIG1vTIuDWstQ9Tx6v2iKbn
eBojGHIounX9C/ScxlEJzbtOldQGuYqj0vns3AGBDXjT2V7BdbrtlJTLdg+jhiZQWxfkjzXs42Zl
p9jo63AsenHsKyAGddBvACgj0NaMgSAs6sHrBiRjenG9CvD/wf2CP3w/uz2uvVfLhytf/OJixVxq
Mm0CyCos2+kh0b0/1I34G6z6/7//d5/w4sxHYdOvfENONjHYB+3i1dbFG0TchiKNIRzaK5hsk6cy
tH2BiWpR6NNUNqhuh7PZmBpF4cNdRDx8wAPwqZdskv38gdIxHHd27sUMI8BimXduW5dvIYtlFlA4
S3ukfYo0Qf1VNnXormIlysv2NUykAc/LMDrMiYbTe00gVqga5vjP/z5M53v1f9dKXjawYb/daBgw
RocN4okB7Mh1LFO+bcmPSLb844qexlWRWF42s7k30GTUThwm25h9BKfr92Qk8Mz97x/y+5AjL7vZ
EFOUyHYosMUg8jcCMvvA6a4cZJeX3ewm7gY4Z1Lc4DM2ampH0j7EPkT1ec3bx5dcQgezzgTMUCRV
rYRr67Jo1VJxJe56ySYsW2ygxMCvvXX+O8GhVoCkrptLiv8/kP7jmrJnTLfYInGIirxQ9VZ8SEj8
/bplOe/afzy7kiMLEweEZYrFcNtAWB9HMoyvy8Av+YTAiimRzkXQU9PjIx0D8WuBi8zbde9+3qj/
eHdRwn5+ExKfdOL022zx3lkBotjfRmT+FOYuWYUYQ/U18IcIDWdZ3TE7T2+2os7uGp3rRBHQaT+C
Ah4/1Eu18luAGM34uRYNhFcXzL5/qDbaPJgo7lwG7GJ+ql2hw2xbLeyddbHGQYqe44BGbejnB1hO
ii2d8qk1GTtr1mejg2zQX7b/HxrEMrlYLLCLywiuVwJhzkiQkaNi+6VbyrkCV2eVN8VWVLA7hljY
KzpD2x1oMC3m1EpSX8eJRWX978+F6a6i5DlGtWkYwEEc23hELLxyp11ceEuRbyCJUXmwzAWbIlXt
SUp0eZ3/B/rDF1dey6YEjF50VoaR8wNs3OediZ28Lle8pFImdirg8RGKwxZDwq+G/PAJJpbmys78
JZdyhQwgkq4zyhGa4vvcOUCc6H+E16lUxJdsSll4N07zIpAicalwgwOtqXV/5eJcxKgO3PJyjcbo
kGskvfCmLJo33eX2uhb3JZ1ylR7N52HE2tdFf8O0GFMZjc1V6UV8SabsYLsTLuOA4F2taCqiZXZq
+yuHJ+NLLiUcyiqkQjFH5TiC3gE9UQWHlyL77wB7zvf/N3WJL0mP8QDfkrHBtuFD6Hi66AaKyRST
z8XJCh/9+u+/8vu8Iv4f6uM6bv0wo5/raT99WCatGRSiif5bv/gPgEd4cXKhEim2yuKacE5+de1S
QTk0bMM13TA5mK65Fj9l2LbfrACCibFxpGfX/DCZsH8HvCo2DLnkKg6dGb6ZPPnq6utEGEHDuwim
PiBVHHezOIAFmz9CtLnBcPQQXnXiMLHx7zdPOK+RsyKd2TzRdzEvyNFrYa8CU6DL+e+n66FepqYh
7BD7ZHqYtXEfkjg3r/+96r/ftCBI/PvpjEdmbYqSgVTSVWuqddkuGeZGxrceQt7LVQCgvKS5QYzK
66Qt8BuQWKq8Lz/wrRPXbZxLolvFC7GZYmKH3LT5rjDleiQdv+6uwejCvxcor/KFeNLwQx4Zsq+n
sMVAZXhdsAZl6t9P76BQ3QZVxQ/jNNS9WrbAHSdir2wny0uiWwS0eAwKPL9LAne/ihBscDjN/SVN
+n0skpcUNqgJDUQXhh8CN0UgJPGfw9mD9L935p8efnFm8eZQlnG4aOZyM7fElqViro3+0rL7Pawi
LxlsUwuP+2YCJB0Obb2lrrVDlELHaIU2GI07vh+od1/0RMdv//1z/gDkyEtaW57DBW0jMQNlnwAF
KNdBDGrFBMivMzR179u4tud6Zaz8nix51BnoYAIgzFgeskFtwJjIbhANndTWtLZ98XFf39rchJVC
tijnE6bp0A7/79f9Q1y45Mlpo7ez2yE7zA0ZFxWBdvMpBCXhW9cXV6mFg892ASgOldySOpwRFeBO
nvVk4GnQNMtfruM/7J9Luhw1PGg3sbHDNtPp6JivnwXGM6+L+ZdcuWoGBW3UIT1A66TPoDM/npre
lVelQfKSKzd3rHB9y/H0qdoUq2h5z4IrifbykivHPJhDkWzYAVoq7IbZhD7HW/K3eZtzYPzfNEhe
yqRNBv0SB23tQ9MlNbCbxnafm81VVmE0xrcZD6PhKm8r7KCLGDFAOWXwNSOHfmux9WEFXn+LJ7Ze
uYUuLvaoGHOz5JIeYg1dsR3XAk503VgNf5Mh/9Mevbjbbd0i7p930Zwk5ghTgTzToFZc9/qX9Lna
h70sBhaiXxjHqeaRzPAxrmPSyktFtKB0DfBM2MXPWo67NQ9FVtX9dR14GV20A6phKYYITfiDwPWe
ogUGSc6aX9XGlpeOolVQyWGDZe2BtbZ5M7DrUzJn7af/Dp1/+KiXzLk11pbXbUgOkTPTJ6D25t4u
9d+coX6fn8tLPbSpiYGHtAM5FF0PvvrSD80nWfD8HeoYfaDGIci9CoYi/BjqfpoOBZRNr+LYyktD
0ZJRsZppJqBLzuh2QAE0RdN4vLlu2S7O8ix4zWczkgMfW3PoK7HH2NuVedalX+g6FnFcLR05WOfn
j7w0Yj9RMe6ue/WLY+xaSRNZ49WrQpY/wpasNaa7IdJw1eMviXWb4M0CBxDcBoD8X0czeIynUvr1
uqdf3MLax1OHDCQ8wA252tfADNA0tFcJyMfyklHHcL0TxI7wMJQgYyrY+A7wldzElRH0klBXrTEU
rYgPD3NF8kwueobKSnIdpUNeMuqkcMUA9hI5gAZQfut0JNC3uRZokuIcQf4BycLGSrRTmxNI6y39
aYZn0mEgJrwKqZGXSmlSGFShzYwPG3Tyk3Os+r7ZctJ/2ZV/uOfFxXmVQVV0ZY0wV9YQrVRhkFSL
mgIwm5Qzg3kDQhst1x2wS4Kd5kNQQDEKN9nK1hvoYawPRT/9jTN13um/yVgu+XVbaQj8o4LwgPx8
me8YNfIx2vgKWX0mpiLNvWz6XYghFJr1/5+rXnXyLmlsdqrt1DVNeChhlfcQsq24G71212Wolxy2
TcopDgtIr0NLrXhsBzgPVOs6X7e5LjlsvqwLqIWVEHaX3u16ob/BeG/7y9Y67//ffJBLV1HR99B8
3nAucj5N34d1qz+KsfqbV8Ofnn4uef5x6vomZgOtC3pwNQ8VDAPbNImav9GoYB92Dvu/e/3zH/7H
HwjQWK+h3koPWngM5wzd1K5CQffJVF6BZTX3u6WAH8tNuHKo14rFTsuZYxJU2brRaPvgoccMai0E
x37E1cZGVfIV4IOYgWylq2vqaZf3TZQrONGWYPmJLSrvtqT1pQKnXoosGfs8TAeJSacUaJ1P0qiP
pYdxXF+aNB4tXdNiMeF8GIxpx9S0Q7seBJuYPyYFTcTOz8LHSsAgz0OG2DftfmU1yCrruoXuhJHU
yd26auh8ag26OU+ugBH3UZRABHbab/A+szQSkSoDQ+mt3zTUbHUxbRody976pxLGIp9DZHnje+dh
TI0Hi0mn1M/BktZmC+13NvFtSYd6KidVQ1+wfEnKISxVuJKIHyzK31nNILu8gc0KHado7Cum8tCO
60muGzYo7OownvIhbwiUyOy4lf1RyCDMb1kXbDSt0cTZ7gX81Ey2htuaf22a7syaQIhfqFosjADg
mmSd/QpNePsTHy7OdwmjjnwjNB/zBxZXEe40YRar+mAMiKrDkKM+z4e+OvkRSGC6QMg5PEJ+n/U3
BJKhLV4xdHFK5Fg3SHMi8hVmjHxNA7gcytQUAXmhIuDJUw3rqRsYQjpxXCGKXsA+kC3560Z5ON07
Sg2askADS3FiweDztGyLkGewG2p+lN1sml0RdCaBxlhJxofBgv6bhmsy2d2IXOKxmC28v8i4sfW4
bVs8KTvn+biDWpnb9mPR0y/E6qg/FTOH1Bod+vph6XL9ijcswecqIBv61vFlfS31+FUgKf1qA+gf
ZX234kR1K3Ufm9avL/VY8dd5HUazoysHWcUzU7eqq0wAKWcClThV1RHNvIyCZ2iGR8dqRDUBkCPp
XdqPdH2h4JLQY16OQEwGEc3iWOmmoRlxAqgQFMnKQZV6LdFHXtuoO0bE6XuYQVfNRw655mSX9Hr8
DK5kXWbrGpnxi2FdXu7ZLJt138ckpi8mrye6XzqTm71FHxObdgjn5iWmhSA3DM5WC9wTKzdkS4zO
QtqLYCkzjtnpQNXDMpgdhP/demzduFQ3LBLYkti7RQkd6pHkSRojvqOVHti1U5WWQCl7M8BpahkT
06cl7wgHEaSaaRag8n/Qmx/il7npzanHVLL9sbqJyn0r69Dccg3DEaSDekDjy0W/DIDEb7SPxCPp
WL3s5Iave4x97e8Lvkb4ntti+p1beTc9Txun/k0ILE1qHSi8sEZ0fr1rVhq8eWk3CEJAWT56hKNz
WasWklatqueuDfH2ULZ40CMcMzMx45zvk9g3833lxiTM8DHzeEcGLX/kbVP5t5UCqc7AdIvlniSu
u5OJBxYJZkTwFQMQJEp1sVRAtcqySzLakcTuwkBPd3B7Qus3qKH/f1u3ziaPZz/f2inXsbN5ZtFj
emLlbvggsIQ643FYBelQgGV6u/ptrdIpWhbITJGAffMORxwzOv05mrQk0ruzmmO/nzVW/jnfypkf
GSxxh9uId6/aBru6nNavYdHjuzQQBp2zuIBzgFGRaM+qm+0sabzjPuCwX2yWqD5BgLmw+GQxJoI8
5DWWu9gTgu5PTqftvocf9rd4if14W4JWPn02njb+3tSlWW6qgIh5ON8OsiSKt40DDBxrEErDLa/q
dJHjVKfRmEefYwHQcheEtfsR5nbOfADkA9//TI0Zd02VJ9lSjuNB0g6+7SP06aOtfT9TCJTxrE+1
s790CIaggs0CWP+x+JJDY2/PFsx8NpjHysppQgkZd0ka1r5MVzs5hWpMPAOmCLJmBq15SSL/bR1F
A72T+bODfRlVEof5YSZxn0KBqskKdGXTSs9IB+NA7LBldIGl4Bpldi2LW6ODaU69i4JHuJSCHj3E
G5Z1bjH1rYaQaygHgUKgQGH3R0fmtIAhLq4AV+yk8yyDb9sn3GD6tLiWpiFUFQtVFMn9tjRjoWB5
QTKBbu0Elbngw+z1V8pJ/hVuQvQ5qiI4rE9Bp9oQ142eKSJ6qMuU18P60g/j8AbTJn/bGRp+qTo9
vDHZ5akryy0NuWxfnKvxA6sgOTKyfGkW+eLhOqpq6eqURzrKoARDFTYlPVXgRoGGv0iICBvzCeIN
8pFM7XtQl4Bs1xoODmaeX5YaAwBREgyZzqHF0nc5mlNjcrQToFBRgXLAWP7cmuqZVXZJ44KPh6Ad
X/tyexcupLsFU4CHBvqSKrDjcIpMgB3e1eXPYMyFsk3xbCL+1Y3RI4yobpMkGvduaR63bUlGtU1h
+R1iOHTbCW+TTybhBVAi6Mhs07QTdR8fqwFGy6ZDv4b1fZVu81b/xMmOSLpZ971tN2ikhXF9QnLi
dpV2d+Ea47KCTcUbh2Hse+67G0aXx6p2S0qqkD9Ec3Xo+fZsmWQ3uCjCOxnpbT8J6lTo4/nFL+v0
5qxdlQnGOMUZ8/c5wzppZB+qKW2+byNUMqH2MkWyoT/n9bq+NGhzn2SA7VtCIzrr87ZSYQHF72ly
62Hs6PtWRFi0WSuRVINqWb1fWygBMYgrHljH1gcSJAyjTflQKNDxxrSghL5DUsl/0559g2YWS0FW
GQ5hJz+D62iOAwkgtAJj+qOGe6pikm/HaO06qySHajQOGpZnpG+6TGA4AssFbLqhfJS5WaWCgEvx
ZgtcaGM0jEp3jUt22CO7uGhdpmtNH8ZQm6+8H/r7LQpoNtXhnsuif+AUyeQ4VieBRC0lke12YWRC
2HLVSJHoxD8PaHIfXaMXVfX1DSpjcZfP80Opg49WU37E4dmRQsjdOo+lqnOyqUWENLW9Prkx/5gX
dkoZbNpTS5ZBVfAoRJfClKcZLncpluMLb/xXBgmbtAPtsFIzWfodegbjV8xy1lkbB2Wh/FwOR2kR
aYM1Dh8gNiYfGdEcF8U2f97AdM8m3Q7wxmGJGsvCdem2+tmkK6XDzxK8izIL/dCW6VxJncFoolEj
pAARWxrxXvAlLg4LOmYVmDkF4wfhg7FPHQmqI3XxlK46XxQjQqgFaUFKt+kdteTIwTEicaRaDKNX
oL7Q2MG1ZbkVZuBNVlvfbGkySZNSh5BIFlKcPPyYlgeMC5cKpMQoC2ESmvkzfxOSZBTDguxU5kQf
5jZ3qW7Kd2guWQXNkwIyhpJki/TsYw/tsrRcYTGEP0LlduxYTj1k9TnfJ872t6L2D9OafCq36qGv
65OH29ExSsrRvGLWNLlDPsjb5wb6GLjk4nn8AgvmeU3DhdUep6UDMXSan7vCriYjeY/LQbAugSRv
bMiuBqRW3k3bkOyb0ZH7yjRCK3gTRXHK5oW3igdNgkojYcgvasQaVY6QOXZYirscjlpfCreQtEfm
/yKS2Cg2h8Fds8U7XcpbJED9fcDqQSs+DfNOh/EXXwynthphalEhSbPI/R6hOc93fbAeuqGuHyH1
8DYy8JaTrk7UMG2yVzC9j9MptChempKnQJUGbA0xIEsKw1NSyJ4cN14HUvVL2J5QndAaVFqx/ioh
NnNY8rrpM+vWYgebnF4FtFnZfrKsRPJ6lkSP48LuS8671Fv+0KOFpoJCV0rS3u6d7OUrRVMQdlbw
HO0hqqWqnON/odJV1dpg7epuDG90WQ5ZjhvUp6Gw29FR7FOIUjKBCby6+Vmx0tG0JEX7km8GCIlA
Daa6KamTLF8gJHDjhLRPm138LvFLnlUNdOz6tWzfWl77u26OPcyibAE3h63LGjINe1cZJEGYItgT
gHafGtoNR0SNZpcMXbOzuK93gV7KF0sS8kyQUyBVXIMmDaRMbsqlrT/BaxxENXjnwvW06sobz0f3
hBptuueE4F6Mt7gZYYLasJTbCUs8lTH/MLmx/zmP0GztbUuP1LIqVHnTyZsSifgdBGRZWi59+DLU
sz0wSzAg47HxCbiYkCnv+l4NiyCKQIvRqbLp2h8hQUmbbNNHsSQiM850wHSa6gTupsHUalO8Vjmk
PTHd1+pw5yUJIhUZa74Pxdx+QBuyvnPzhOxYDsOJyqbFFiv0qJKYBDfJxnQ2myU4sXw0Nw1p5Q4I
bWyf3Nx7s7MNWg6I2HIBDwjyafnKC51BmzZ/nYVpY4VjOb4lq4YhLI9Jew9qSvlpzsfwi2AF1k67
qnllbCAopAMXIPmPCLqktPocNY3LpuScXQ91FW1KNmN0ExZDdNtPRfcuCjT6Uecgb0JVGe/yBPpc
Qw0N+gDqenfd2ojxmA++UbQx9Xi/MCikKshLBekYj5NN9RhsuJ1MnaPeiYhEDyBH/cSWBPXLPEyn
ZW3iB6AB5OvZEkfB+LLHZi7sDFshV5ymhbRCuSZyr7h04i6NogEUS+hkFlI1kAc+1PPYHhZMht4g
xMUfjJb2M6noDDOH4D4fQMJXjm9wo18IImDezTKzQ4KIyful2eMqnrvUlP4hAG8yQxKe/MTUbd/u
sCsH82Adw9zUeZ4pnXsABiCpS1y5NHnAPvmGkc4ZVvLJU7d67NvVLDsR+aRVZu0Q4bTczEeYCd5u
NQw8i7H97BlABLVMYdhAL8x0bEe4pc9Esm56myrRLHv4H3OMs1kCe6B2S+e5DJ+WqkYkjmhf+szO
ocCc0jzS9y5x65c5KCar1rZNAgS2HF6Lc1mgMsmD4qMW5QoYhAXg4U9dEexjFiWbGjYxPGg6aJ/N
MUc1CDxEhEoWECZWEwCgPV8D+MKDgta95v02ZNLkMIURoBzcrrRCGkOZ+NEiEUm7Km92GpHlwU7U
4vsMDC5rOSnkMeb5esoxYPg6obu004xPt8LpVzCQ4ttOAzCyiAkK42N2g7gcgBxo3fRZC6HuGy5n
iyUqaXGsW1sccI+Y+2mrxyyia5MNvOB7E9YRZrVCXqh8DvxurF3z0KPJlCJJtq8uot3e4d8p4BeT
zbDjPV+GDihDSOt3wKTTOwiH7hD1dZGxYa53KwJmyrqxuAHGhvJuBY4K6AWE4G49a8gJ92ygBJFJ
HdkPZd71VoE6r7tUh93rBCcFxaZpaxWkW6M9bPq2fW8RkScydJknEdvV0Oq9mbynakREeRSx1wrM
YezwoZqNghoisxlBkM0GmpObnDvxC9xRcUSilNzYDoUjHvjMLV4JOvYuQwYodsSXr6hb6d5ZL58j
GT/Kpis+B1vzxXOD/ktlM1FHA8Sjqvwj3MbMDXSiqlFVC0xSlYF8MdI+XqYYw0Cxw0MS3+qRmdRI
OJ+1dEYUnKFdCuSuuYf6S62oNFM6epAdF1uumCL39tskSJsO8Aa4DehI9zbg+T4ymPjox7x7KwaD
hHqBe0sZFCLbiPY7iDsOz009iKcOd/An2AxC9qtn87GnACq2OT9Kp8sH43SNGXUINy3V9HHjJFQc
TDPEcF6dShjbf+76ctcg+TxnY1Zt5RDtSIOKfUQvAdHfZiibBIqt8rnqpEthnax3iyY/oqiIDmOD
LVLS/mgWmijKkIKRrZp2kFf9tUF89muMouIUcbincWsr1Ymw2aGb4B6JkwdjxZI6Wb+tfTCdudf9
XhDK0qoVpQr8Ou8qw6YsH/GzQsPWA5B5cmOT9WlFynVwg0bQZe2t5Pz7Ws/+0JbxYyhn/IKie/Kl
eJAcheIsJsBGUfBWJCI88MQAVYVE4MPURzWAEUDcyrrikAcUQzixxzwOZlg/zg17IOycQAlDUqg3
1zuwlL5EQYmUMrbvbIrHlIzyW2naKaMwE3/goZ1xSoZBmWHzXypIie3kigms0tJ0XluRzphAOqxN
Y9OihaqtXmIoibKtukd+gm+KywFG9FtY7wADIOtqBWoJSALi44wBBP7DYp+vS5zWDnNnHVSrz7go
UW3t6GcThP0pnOMyg39go5A/rOCsmDfXF0CaFit2Q8Mfu8kiLTXNR7J0n5NWtsgYepNOBa3ACSya
/eQqt2ts/l6FFqTiiO8mKE0+FBRWjcFEnh1sZ55zHvmdniZkcNoa1VSwaWMu3gfFkmQwpI+PZV8R
pYl5M3kn9jKaF5aKJA8+R/gIgKon/RHiwTcen1slASjA2PLRnvAc8aBr63SgZb+HOvlLjLb3YIpa
bXpaG9zhVXzy8Ex7ChObpFUTIiSJCRNQi277mwH+8bd90oudFgXKo9ZBaG0e0DbMCR1SYXt/ZwLr
OxVB/ecLsp135Kz2NDCzPnTMB2kUrOstpp30E+n7AfffuOHHASlunQpmwR4Astp7X7DPbo6rx5EV
cjljxc3ypQcfIJ1pk+PFLXuA5tusJjBhFJge0/tiSsy/SNNjqUaM8swzwOqhNjM71XmCe3kCWTkA
5KXlkyjgMXBYoDeBKerRGwMUPJ+emd6Gdr8YO9AfRbm5NGgxNXtqxOxpanJgeyqnyHVUVJKkfajn
ctZ3PBioQvVXZ/iyDkcQd659P7uQ6JuRSZgMQ6i8IR+mMDHf1ryZ5GeenNMLNVcifmgbst6sRhYT
0hRcgO9jXU30BBx9kilGks4HGKTPfQA31Q3Dy15y5LJt2GWcTChHz3Dca9R66TLcXxwMPBGIO01C
Zz7kUlbNC4NQ5LJfiqLLn2Ah3B18YFAjs8Gi1PT11LP7chPulMcgXeMgiKcw9KFXCVpF+nnBKGID
pG6u73vOnT+slIwuG3rXFqew3MbuQxN63LOVXb07DIyHRtmFLvnbkHPidoBA0V+pxv4TiC4UFc05
y1KLIXBa65EJtM/hQAUmHDGX9wiRJ0h0KvR05r2UAFt/DCN832+XMhi2rFjhe6x0sPnpF7EbLmGc
kWjex2XpPg1JUhx9XrUvlrVbexvLwTwWuJVwMCKh+5sxcOVH3xYo/nmy8o9xXUcfHJ3b7VBM5+yi
KCWkfXEagYn2UT/DFxfS8hwV3ZLwpzoayaM5S8/vXZS3gN/HpV2h1wee/Y3U3Nh73N29PdIOKsY3
NS3JEfsLt1czgYlkynp6rIAXfG/JaO4wltiho1URDC7AoT2OYdG6WhgfoF7SykcNNXB4qIzJ6lbk
zZEhWgAkBVf8iD8rPsyoZNiNh64rOwRR1D5RMUBKpvX5ikH3s3IxIlTe/4AS7PjRYDzsxS01XbKi
wxdCj9+5H6PwYZCh7KbBE2zX5bG2RAIjarn44HjRmF9z00L/BKkjfHRyliSDyrH0VZrLmcG4dkEP
ojd1MSNT6/IvpW8bfW/hAcyzxJU9jokOXHPbBNackr63dxV0IMMdXFQ6r+AClkdPMhqmtArHjj10
AXdjtuom6dIu0D8Ymh42ZSQ33Q6u7PolERHDtHRv1yMKWUqUFxSAj3cJNPQrXG4KvRr7qyAUXRGd
dHMGXHubs3y2yy+/OvkBQ5B03Rs0406C6Cr4VRPgxzudDA5D0qUpDxKD2CeLKrc/E5ni17BBr/Fu
Lcd1Tju2kPF7u5YRLVRszOweAr+1wU20RSF7tmITejc3UMvb13VHT4jVcjp1BTToVEJm16QrtCpF
ukRMPuFjCIteS9gjEaliTOJCRCN2WW3EC3xnnEWg0wQIA9k44DU6tkcf9VOTWuRiICb1c16a25Hn
UfgjBKYc7dvVF/FZdxMiq98Fmh72Fs2Tnj0HARCgTI+0qp6aakOLcMHdc4iaaFzPv0PvxdZIyPzx
ELHTOMuaNIKb+f+Rd2a9cVvbnv8qB3ln7t6ceXFzgOZQg0qlebJeCFmSOc8zP33/yienY6uTuK/R
L41GgiC2pFIVyb33Wv9pPSApXR7JiS+O9jjZm6FYx3sECQDYHYf3YbGMrvKw8SWTq5RhyagffVQ/
l5SMNzVc2V09DoWzz5N6pL2XwhI3rdF2R2Ux6sJnzcbv3IP1aUptw9oZpqKQ9FjOpacqmX45zOly
nc/w7HFBd+kqRUoroRaaluyVLARrAtuPCypUABu/kKn14MhuuKT4166ghcLMjZN0SMkCHZ3mUavn
xPZaZy1DzwTCPRUb0di9SzmPykaTCWNOnV51ruN0WLcWnQGDt2P8SkU+ZRemY0AgyLXZiMlYNHbN
2Qbaj6WsPZEaubLvpSUTaNumUzMgljpTHktzVLl3FXGozOYd7PAcNrkYrpZWWqD262CK18SokmfG
K6vnfThaiucQfqEf6lKdUfeDW6feDIQEpZja6gN9XNcGS54ad71idvuFDnjZWmbqPGjVRFtLdlK9
X6K1KN5TYjmJfS7bE9kLK7ATs1jpsZY1oxC2jeguabTWDaUi4mA1TzHI9Qgz745T2N0Sr7W+OPw3
dNfIGDRXw9f9tmSxKLd9z1MbjJSpNzUoBL1alrTuomT4vBdjbuRZxB7GFrDYQGI1+3QaEHWdCy9P
l0ZzEQ1Wya4cjeV2miLnc5FmlO+lOvW31KHxrQxzLkQ4zCWGRIjY1wLVSOJmHAcdfLywnYAUQLo7
Q4dyyaOw2ocTnn5Xz5fqio5+PbTGah2mXCOrjvEnmaH6eaOFq1fVuXzHC2VEG3Wq44yJDUvOYD+E
5G9xUfavalWrzYleL4f9Cpr63pRhGgayAJLedJIOFqS54Oytukxw1OqzvMnLBuBaWnVb+/DpVeaV
jsl2UWgKR9MKYx+CVCfO6EZK6DwCzEXRIcrYP4CjKiXaoadr0H0mk6Sxb6L8y2CmzeesWjkCYAPn
t7GBsvQMUU/XarJM9jmHJ2yG7AvYQC2RGnVsP+0VpTCO7VTFw1nbylT3YqVgxE7XL3BHMjXT+xqG
TuWJRvm4xcEi16ASefdmgHy+KoWlFQeH/OfQX7oY3FhJSvZwANYo3gqNYGLPySG1Pdas1P2ohA6j
jFyT+yLXi5e+HGtxthZhZm/C3K7eYOpHy10HJ/e0zFbfTu2H4yHBL0avrsLpUvR9mHmdgTPUg0hn
rxdh/2AW6C82TW4PxTYcFI5l3QhrMpFXExBYgeym2rLwkvqRmIosaAmC04K5BAALqM6LTzM0s8vu
osNqd0W9sY1sYqdN5/KCTVg5iEmB0bXH+TO4sVN5Uh9WgEkR1reMHeWJaTqhcEmn0RTbVnb4qSdD
sSLAuLyz7xKiB4w9m6xmuNJUetTYMknvrWkQD62iDPmr1aDkwJCwrh2wRRaW/jp3mL+HoraPaxeN
ky+bsL8wYmf8vIIdrN6SlIvcVO1Eh1jOeQ9BPBnkn68M8/HwkEnlfB7ETPsLjrTpy2E5TC0/egl2
BWyPbS21d2WaV+V5xttf2BVTVkRs1TVsRl4j9mhKngz68nlm5MSkML1ypM4s6bOJKXpPbYUmrOn0
uXCV2ZHGprSd8m0IDeAAQcaN7utrMd5BHk/aRsTZOG5O2TqRr6zWgEJGK+sHooyjdRtiWX2NRlEO
bmY6rRqMPcWbR1BlmV/nMungJbIE5E9JASV4rLMSTCZvEPdyK45dJpPzWi+QuYvMDBe3k9jM9t1a
dz30SEPdvo6T1gR2XOYPrA8h7kZ7USuuk93a/kz7rXqGqlYISmgzHu1ylc6unwQhUolNReOG2PLa
m3lZ9Z5qNJvqL7IuFmfDr2if2NyYjB2nOZxVUzQ6sgwrmqyAVPqqcEkJSCwUPEaqbyQM9OCBX1Sv
nTapc9DxJIwuWC7TMcQEkxXoUW9WfqyYXNbeWnOKdmtdXiMZacYxb2jaaD/rfj1BU+Y8XFjA7gen
hAXzZk3N+iCPIDy2Ygnrywlv9r0dxqcskL7XP2W0p92mQxUy+k1eG5U/0IWIR5Lq+u5aVstkHeJm
0rElA9Lqxkbpo4Xeu2z04h56vORvatMu3hQrrsQFLIA9bRYFH2pFRYp/ygUX4GDSTK20H5OMMgLF
CcGoZ/nC6eIzpE2n0bfRe3hmxEFzUUCEK/AhidJ7BjLA6LikChunlivNrZ6X+qdKnYdnhKDTzsmq
2OLjrRVaAlUtxv0kCz33lqWwTsTcYquvcVqMGid8T0W3Uu1xhbZaksl2dXux2kVQrplq+5yTJz4i
b66Yi9ncJWUM5a1oanPRKglv2qySOAYTHoeHRonIK2zm9mExVS3xGWfSrns7KuqnObL0yovEHK8e
N5ytlEHs5kyJXqiTR5QJojIxDhHl3qTr+rUlLVFfJkZpj7uFHdwJlD6ppMcJUB/tMrVt18Ta+QYW
M4WeRUkOAJC2TXeaFaR3vjrMdX8+lGlyma6WobhTq9L8Tmy3PltUuR4493meDZrF3k1NAGPkfM7N
hDo984baEomX5Dgd3Gpega8qjVr1zClTATC9jEVzpnYD7SCtJ9uuvdZz7oIhEVdY1TzahVR0/Il5
lx/1ccmXbUReavnUp3B5e9hDDhULPdLigsTKMrDtcBSnSRtj7q96LuXFyLUgnjtUU8cVdtOP98NA
5kDpJg5ZVRwbqRlfMUokQosX9f0dSVPyura17Cqz4+mFS0VZbGAbGPb2sMQZlUJtviAi1JApmEa/
4IvuajOAC3UYI7Zo4XvemovwpjmODQ/QwHqWTrRAj2blzLLLlPW808fmfDFS6BNzGJOgUjP1uVXz
5VZYRVo+yBbabtc5IS8Jxmi1u0kwQvyLPaQ5RuOQ2xZ0YijNQyRKOV/aiWi/DEa7vNpZNYYonE59
usJeEG2GSlVn5HYiy/3e0lQ/FEVUBgphM19sqcN7m51eKy4HrfiEdHDlPRapyfjyIRwijyGK+m5J
Q+ZzmVa2tTXjSzlPTJIZTUXUjGNWOPS0jjwSVyPmQfMztB71Vdh3dnpUWd5mkDtq9MhMmqq5s4cQ
BL1kKKPhZ0LXDlRgjbhBKkOV64aLEX+Zwrq6iCzV0f21jTjnyjV/FKOuVV68zIUSlG283FpoB0Y+
RER3EkVVWgQ6ozAjX9VWw/JqM1nZERotrhjXZ5StO5UmkKfknIpdCT9qAEmbVbjveyX7JCAtZ3fo
mkwCX00DETF92sxBGwtInYnVeEiEcOYg7W3taMZN/tjWKkW96KDpVWGFK4K/BVZoWjVVeAYty22Y
dou2T5UuDmF3mjDcIXRZqdosqUJDR3CSr/grKnBkh8fZ09vV0M6y6vQpaPPzm2JWzOvGycAcDY37
I8LUr1I1gWHvRntfp4jGSH3qGy4D6GrAQPVu4gzXrBaUa9ayXaYM2ZGSq582I0ndNm/Ska9aaCR3
dVuF4Bez0gLsiU7ZcO4k5SZ39BzBQo2BKICnth/jMWqh6S2roRQj57OBEDXyZ6UWw0NenyAlZN9F
uSvjtYwZhlIDTaadnbQbR45tu4kHxUp8DS4hQrei5Rx8vdne4T9AWxqnXXu67rT5d7kdN7fLwDD7
69DQWNa2yfAsN9Vx3bkxcpLSN50meadu65m9pjVc/t6IKddtM6bVBjFUl4A9AlQ/trMURLhT9Gcq
Vx0aK0wMYu/sXD6ElF0J8KHsNRDWWs03a2/NFyUD11OvG9XuZUIP+RgOmizAN7Te1xk0qXvN2DAh
olLDrPezpKRGWeZqgPyihWQnmqR2byk9oHGU1cPxNCI73dIrRR3jvuGbNzBza3UWl+0w+3A8OuRj
XutiJ6kdU99YlFMK/Jo3X+Ihtm5Gk2YUKYJNCnpRrrysorVc/FXNY8czwlTfK0wHaA5OtpieE+GZ
CvqmAoWbMFwXfmdH6ruS5fPt2sUdeqZWVqs/oD59z/WxqLzGNJh6qBkxANqwziEDah1l6BDBrh1Q
isyTyxgh8enSm/lrpmTdc1hbLCQxGoiviEQ5IHIr86CzzflL0rXdSOVVE8jSLWF1zMJcUz1laBTp
OwxTGjeaalVNEI1KRaFG0WJuALjmbpOMTl7S5K9WvZ3E3MzQq1rrYNevSusitLswOY+Tnl1JLQtj
hjbU6wiOOisyhpZO601FDFJyMdhlrUIk6eq8EVnq9JzQp1K7MIZI93oCPqqHAvXo/AO77F9pyj+E
F4SDIflEzskMUc9U2GjWP+t22b3/nFPgg9diUdZ5ngUsRS/X4hTHNJ4Xc6X9wHn1NaHnzwTrH3yO
OOYZqLkkYmuGFKx7JWKVbnsHKYDLaLO48QtNpy6lBV4+00zXr7LJ9dZPCoaSbmJarCLgfC+t/Wwo
5s+Zzb6K678R0cMiJpWF6pZNBFl0EueLL9Mfzen4C+/Kx0BSin81sw0Qk6bUi6e0mJrPM5D56up9
U5OHIxvgpp+6dR/jSaO4sbLS0datnObosCg5605v1dufe/UPNkkptImIv3bdqgsmTEMbxV6IKvF/
7tVPl++be+CUiYhUJldvl7QWgehluWEAmPw5U8/HlNO8dSph57z3SjoFkY+mbqlM4UnjH1j8/2JN
fkw5VU4jFltrWrYQ9p9FPrpDU17/3IX5sNzpM7SKeajrlqX4KXWcgEnS1U8+MB/Wet0MA9LYEwGY
mTlzOVUZ8DGqn0vi+JhvOqOqMGqRrlum/6WHKmraTbPqPzeixvo4BTtb6zyhwFi2Tdcmb2bd5pet
VsW/D0f4j9f5P6P36upfW1L3z//iz69VvbQJup0Pf/znXVXw73+dfuZ/fc/3P/HP7Xt18VK8dx+/
6buf4XV//73+S//y3R/gt0HIr4f3drl574a8//r6vMPTd/6ffvEf719f5W6p33/75ZUSoD+9GptX
+cvvX9q//fbL6eH8j29f/vevnd7/b7+48dC//G/f//7S9b/94qi/SlU3dUfoxIdI4zSOYno/fcW2
f7UMW6gmZKnQCeLB6FRiP4h/+0W1f9VUlfEdqhDSoX7ih7pq+Pol81cTYwv/mDa4n+D1/v2+vrsx
f9yof5RDcVUlZd/xOf504rOtaR/zD6OwDGFaDPWEkE9nlQEUk2gOhHeiNMWOcaLtmdoI6w2BKuAc
wnk7AzJjhKabaIXs7xPgvgdFGI+xDtBJe1b3nED93GUbi2mkCCkMK77u8ULl2MOt8SRuUuS1DWZX
+7HInU8zw26eJ+wRN7bisLm4ui4d4UmN4ewI7Wv7dp2A8ZCNAJOdF21qnHXjHN1EtSVrihJsGy4A
uInDSfS2GyFFtHxU8vWZMarRQ2Or4QLyjzqJwjAOdbSprCap18uN2RpLcoXuMKHq0Zocjri1nDog
wyEtvc5EP+8PeZe1KBrt8i6DB7jGgbBe6WU1nWlokyGu8hbJeZO72mqWxxidx/NoRsuZoevOuTqp
yQ5gYfLyelJQm3aMG5CJWX0Oh67cMNhj9BomFG0zGVdHJjnNB3qIOACTIAoGHCCyjPjYWAVguuxx
wyEyX4et0czqDnmUOxAU4DOB/KHVzchtbLiADD3ibjEMvM25mZif8kSpdlkU6eezNWPTaCjVe8u4
bZqJCQNhNHj6IFaGjy6t19oOImndOJamNr+GJ4IhV5flQs+Qq1l5v0DDKvpdbVvo0o2GXgDBwrjV
TMXxC3tsHvtcGGcN4gW0i1Nv7U8IdOvWlKB78JyZnWKUl8SgqvcCVmZjrQM0XpWt16vm0BKaYKCB
rlDv4fRKu5uaSh8J0Uh2adM5VYcQImZLVDKGDGFx4fkRzaFJ+12hRJGnMOmC/sru/WrM9EMMuv9o
gS/5oy4eEROPh0Vm+nHC7fMYjkPpi5VMfKJ1SUNo6waFIKIZb4wZe6VzASiqY+IYCvMxrRLTdaZY
31kmMAQPpWPpaFqtMXZpmyfwKESuwMcG5RCxSXY4IeXiw1CjV/pbH5e0f1O0ULJNVQIWb59mreg0
OzXamiMSc+WgISHJwbOHFvnt0hadnzSTUHeMfEBJHaUwO3Aw4Q1cellvVkOGvN8QghesotEuh2WG
XEYcC1/R56qFJ9BIgaAIi5owBhbyGBGq/wASZCEKyIux3g1RJM/z1hB3iWMqnJGlPQVmDzvkAvTp
8qZF8WiNLh4Ctd8oTSp7T6HVUvjJJjozs8xENh0b1dkE7LspI/ukJZO6cq1GyAVUldxCoX1ddlMj
jtAE/WPkpPUxUTtb4UNWQ+MZklkfpDn1W40onWKH+q8M5KSnR2WYYpQmU3nIR6E7fgXdAAvDLSJH
l4kMG7IWbQCCJe4hIWLlXkitPALDtT26OnGjG5XKptQwnScudVoxrXSmvWmMxl4La/nFWpzwmsmr
Resvda/e4dHsMSqiJ5F+LBfbCkKsY0BNYdhekv0nsayg7TOgnWs1YwznML9SfzNXzwaycrteya/i
FFPjgG9+dNNkwu4yd501IKwyqstVZYJ8ZeINA307qefiCHvCNFT72ixMwx3SiVjYOs0tAQuUzhP7
cCSfe/tk/GycqTzDFbyeCc1GBdInMys1RcJ4xcO1nKuN1SCDqNY69TMTeMFFoOH4DacLTD1m8l03
JvFBg+q96iHKjqHZIBnKy0qTbjiM6vkyZkKiXM3SoKxte9o6XWHtQ4URpm5HCumFEUrrXEAWFV5e
SHPfIXLwi8ioAnRvNJcqoS7XNM6w9g5KmL1URiCItLSTg02o6XlhK+1jw2iwhfWIZMFNwuWm6tR7
Zl8kt6ZTzJ9q22zIhZkizJeGou7GcJ7+1Zn9/1yS0Ev8TUnSDuV78l0Jw/f/qyTB0fqrZjg4IViG
p4qEwuNfJYmU+q+CosQ0TcdR5bclifGr0DnfsR850rKoaGhCfy9J+BlBrq5DTi/U/6nM+e+UJB+6
XJpwTfB4apqmo2XWMFZ839UQfi5iXU7Ffk1m09Wie6XNloCChZgrZ3mYdBtpfHqejftaMCHEApHF
IVtfLE76g5j+79vP398JpZaKJwB04ONAj6GLM/SBSbGvs2nPvhviedOTT4ZT/3DS6akj+aO1/9ev
4hqqmq5aOuUgt+TbVq7pUk3ExVDsexGyezEgfFbPSRnTdloby00dItHEiJRfKDJqvTWpFrqOPN2s
KoWGHLofjez9Pmvh6/sh3NvhvlJjUqN+SB2xHKVaIMEQp1aTE0SG8wQJmgRtre9jEz05CuXY74V5
/81D+nt9+m09evqYHy7Dd7/2lKrzTUermJkml2bJ9xPoGDo1yH+ZdZonbfsHreGf3Ntvf5P1IRNm
kEucZ63M93E8fYa/IZ1wpAVdrbc8+eGn+pr6+cfn4inm0LOF+fVicns/JuKGrdOKDlpir+Qhxgwr
s/xJD3Mfr4Nbt8YDxda2cOSXNtzjYQ2i7KyOdTVgUNiTCm2+LYBzDRhwu5bBgAgCuRgg5jbvkwWB
dYm3FbrG1fFc11GDr2ipfJw/1Y00VHk1MAfFBV39TO9+2SBAcKtUPoXcfO5gxQ4ud3E83mdg+5vO
7O5TxU48iJg5IH999KVhT66ThJ/YIMZrvIGu4SDoStGt+LNqX1DGqMGkhdVD22Nmd4ex/KR2ysUy
pNXZosV3AgXfxkjHR2XErbEkVoA7/lai6MIMEsVHhIxHZ9a32I0GN6Qb5XSZ8HRlZ6CtGwJk7B2w
BoL0GfF7G7EQkfHfm3l8OvmKKajwxt0ylvOAuiy7RJgRtFpvb2gQOneIG1dvIXIwGmy6pH+nCH1r
5LxQWDIfA68t62v1BiX+ZK8WpsphU02Csx75WavNgZ3U9wgCnmRJcKKpSzcS26p7NdUJtbaShDtK
3mo/VHWNcKCrd3Pn7LqTA0dPnsalv0RC/J6RZI9+0qy2NtUaI2EXSArGv9PbUdgMw64uE5tDXbuP
5LzlQfmshLHidg1eiCF/tiv8LlFDzdM327VbKbkHBI8FVaDbmthswEyfRB+K7dixXojxRp3UYYfW
bf22hebEkNlcdBGyTBuMMhizHrNEF6LtW9HW6HxDZT5YkufCWYYiEElhP/QD2nl1SZ/VSqDtoEaD
7kUV5NTsOURe+Fx0LBgjnKgDY3U224aJhd5+UNQTsmo6j1k63RurnOnRaBqXwsj9VOu8cmTCgkMZ
UFvzbtXQWJh0OykZho2Yg7LZp1bzOqfB4tjukKHVkgLLFLWcxSDHPo41X4n7M2JspIsE/gCLGKGp
I4ccWypS8Os5RiU8dNZl0dnXNp0BAh4FirVXWTVFsPbJzQp9s8zJ5Is53yE+eTBJ40LwfMbujKES
mqwZgjmF4m8PnbxVnXIfzW9RrJ7n6uzBeG6RytcDeWoK0ePlZ6GvvjG2eztsjypp6Uv+jL8PfX3v
jkLZRfI2YkOvJj3ABeyio0UeJ9zZeprlaQeoArUJz0iD85Z8CBDw2rOKSrZ+nNlebQEpy/KLqiv4
HjxMwjDPSHjeavASytE2sKxAX+vZxZCX5zV+JTO+iIZtZN9ExFNo7RqI1Rc9ver8TOE59Hy6bDgf
msusHtGGzCSsPBv28qLHL/XwpiydN+CNUFI0z2+9IoJcXkXyfiV3o5j9GYmlUK8Yu8j/zp6jEOaA
kSt6S0u6yPjLvFroXTd1/wbl7GO2WQvl0Kvjxq7P5uKmZGB06MhgGt0RBy50uIe0QTf7i7I1Ak2x
/LlNsUmriNrbjaqZgeI8xcNzPvsYBuhIkBNntpc8cnmdbr6Z9VPCGoj7dFGT7x7megB568bodyri
J+J8vy63Cv4aVRx0FHRhho+x0c8S4TAYoD5LNSasRDzCY7GpkIwOVYyJ+tUo1mDRLB6jLUEkPjbL
jV3El+o4etS1gTk5ft8OwelaFiTbJ5O5IVXCU6G+ioKZYjpSPpap05Qo7DZaod4YDX6X6La2KiRu
tm/WJ/ZE9Wct3jTNuKmX0evyyC3DpwL51LAGq0OeIcEQaBHPFhSyMlFxTJoerNnBVl+S9jAkuG0T
xR0ccd7HctcI/GIh+sVSP6px/qkFCEAjGhjifCnarSFWVzFbnPCJp9BJlHj2SBHrWmVHioTXKFcI
6hjodnNiEiaREfKiBuo6bPSpQar/whgtE0MJe8qxxOZh6pep+izh5opC8ipHtcpu0iS+cJhmXl5G
JXMAolejsjeO2frEipBhg3sNn4EhEh81oGeFF0SpbtVCGPiuDe3U6YeAIrztxsidLQUuNyw1HF9r
8x2xW/uJYMpNJZPnsj0ZX1HwogzUuk2ddwihI/tJRJHpFb1c8DcsG8RE9PzI7Qc2jXWRcjMXJ1Yp
+tJg25uieD0jzuN21iPnEJ74xSrPCqJzgCdGBpnYXzR1vGolqm5zq+iR7SdKe6iEwpxjZmAym8Qf
lfw9XNmA0hZzpDEdILXfqrGVOySi14i2zwn1OpeEzQS9iLZ/Xyqh8v6uWDoVFWiTdUczLayfjvyY
H5nIzsB16yi7vlH8idFBhKTs0N+Vt6fkqiCL10M29KkPewotTYVi6Ji+hTg45tRspZ4Uh2Vupsrt
iRsgJ2Ug5Gg/5t1GdiiAElQ4Tvqy0BcjBsGD/BaujW76NrsPLp+HYrS0u0YxH+FL48Bh3cr6rc5t
FMMpdQEKsPRu7tHeMNFovghJF0ApqR71dO8sSvIFmZN1ZQ5r8cLVsZpPa33ZKmOQ9JVXIWtwCwyL
RMegqsfXfY6USSbRY6Q5rRfR08fOhYICf5TifNKt1k1lE9Sr87iWGakeEccp+A+i0wf4Ua8ah71p
9eHnClv6gj7tVsq5P5Ds3FzZBb+mX6R5FTdtelwgpz0x2uwhTG8iv6BdPsdLWj0mS7Uh7OXYd/2F
qlnZdW/aCmE1xdNkhNj+J2w/kD3gImiyqtU5jVOY3Qj3pphGVEZr9Vm1MTgRMXUVWvX9pMV6YCwt
USgpYAeO5IShqgCl7PDqcqk6aKqwieGUn+I2MHAcIe1wwoPVlo1r2Ax/cWsnW72iajh3x1xsSKJ9
TqHLsTMSPAlKqBieMk0cJWp3Vg5iua56+Vip2JmGVpy1iEiOSrvyvNrRhYWKAxTJebMIigLPKnAH
NUSRYrgwcXZSlhRlUm2dabHPKLz0U3YDjutWiYAC2JHZQtibnEbdV9WIfVFrL7t8rP2mxKiKAjZ1
6gv2wfN5Ne6XVZ6VQidzIsmCpSieNQuNY9w/kYeke926IB9f0CFrPcs6U9WGab/N4EuK1iMRCjlZ
N0A9sBLtc6gawDPOLLkDM1oG7uSqXOfONLz2KGtuS8151AvmFGE+oNDWnyIHvxuGxCsm8pzPBoFU
ZT6+4Ggm2qWr08Ncza1njeHliphJLyhDMCq7akYO9YChEVfxeHKMU4mo0K5Kz1iTznqc85YKQxuf
7DRvymekG+aCsqNqyIteMucMtllaWN5Uwp1shSiEUUdFFcQkXFJDOY3TXRMNQiwCHd5r1mHOdFWr
mN5zFfnKUMa3ay0VHoVGJa2HJ0YYL6k4S7OtbOJXprAlTmCl0d3QD/VLKUh7mutLZIxuT9QGyFcW
7VLir9yGqC4+1aDvje65nNgfvGXQFox2fXXRymF+tGZ51hNjdJXJBS9vI1e/Xom3GVAWKfkha4Kq
rCJEVcu+Rh53Vobnw2Lv5pxWQdGPUjGedDRAyJcSA5m4DjaqjlPj2/qz2qftkQaJqmlYAgX8Ocj1
3subo96WpXc60FaHLDyqgm61fZVlxMLed6DZYXXWOfXxRBFUnJc5pgIHKRJr3zG+yHRDzhNyplH/
rA1bBQ+thzB/lJ8rkinkTLBRMboIzNW5CspZukZD6NSEWFQ+Yq9MSBMZq/q2QoaU5fHeSa6adUHv
ox26tblS2+II/DXVj814MJfFy6gidPXFnq4Esv3cHjcOkd+4dl8yUMQCLbkxvA5TiS8/67dro9w1
LNhy6M4jG9m7itc1Uj8na3mGoDpxCdqITicjZnKzNnddI90m1rx07gscAM66qxLRBF2mb4RTuDYs
r5NkOHjokfKnYXovuoPWM1siaXMvanpXYecaxXCIiCbISjNozAlckuC3lqmqp5qKMtqHdnJrZd/g
RSWqI2UeWVEc+iTf6fpDIS0/TPSNjsHvBAEqzUnvm6eBeTIir+s2X+4stoghvUQKfAD2dzGo5nHy
WbPfh/k8LdOFPBM939ZjUmMuTy/a+chY7VtlbqyAHJ3cIyrgCiu2v9arfZw7DlRYbEDW4h2nqnbS
uE4uiPpFW8qD3sbe13Pz/zYSeExeW1L1vvQf2cnvCM3/hyhMeRrW8teA4Q6P+T8Op//c/o+bb3HD
rz/3b+BQ/1WHyzR16D7D0k8z/v4NHGq/2pikdcAyg7T+E6T4by5T/dUwHJB6Fremaqr+DZcJN2pI
kyl1QGyYq2z53wEOv8eOFAIerROL+nGopohw8oBTiANnn5dhUytzvD7+Nxfjh8DUHy/+AQcbl46s
EnUSh+mrxLJ7qBPc7I4a/P3LnzDNP/ChP17+gz5ktIgAybKOkowpVsRDh0jq//6Vvwfy/njlD9oQ
WxCRNcSDODTRGtC3YmnF37xW22U+qgazusb3v/9Ff/URTrflG8iuZKCvin9PHFr7KNtzS29+8An+
6r6efuE3L1wN6qomhCkeBg7wWdW5qY5X2evPhYyrHzQiTE8ZFbJGuEAz/di9Vb/8/fU4LYY/vaen
v//mfSspBIeoa3mQ+rrRtYhAHE6nAs0mKhEjGy+ZWesSFYf/M9opanNltQ2Zn86p5z8na+USciog
a+SA/PmYxhwN4gwrJo4QiNu/f4+nx+vPHjuw/G/fYlUb9mhVdAKzkT6dwhzrNPbX7IujF2fSGH/U
qfzFb/kAscp8lD0yaHGQ5bNGfwCq8/dv/y+ejI/TD6NSAd/qWPEUjksGfYw10v6BKukv1s3H2YcR
FWBvYlQ+MMQ+IKzEWjEvylcrvhQtGZfVDz7C1xEIf3IL5IeVTzIKCst8FQdDezfn7tBgWiFnFR/e
FLpGWGxz5X9ydmbLkevatf0iRrBvXpPMlmpSvUovDJVKxb7v+fUeLPtGVHErlXHT4e3wOceGkCCw
ACzMNaZ5UHKDo01yyEVt40vtU8ojKQdK2zdr6l0hOgpkKT1v2/I0LBjTbUkypgpjh3e5TeoL61DN
riMepU1MjQGGgNCi7r6Tk3VXCBuZhOCEqrTyAYAgwA+q52F8KdoGyaDmesV1NoJopYAK8OvNKGa3
rZCvzHLa5Lwgxu1w0w/wEExtpWiHPJc3SRmvJb9ZG3G1JfA4ocxjoUhZYNxT0frWYUKvV79IxSAH
Rfpb6eTBf1Fk4MBasyeD4416H02wHJTqTK7/1DxZxMAMXmFgThHMyeyhrN7U6ErKhTPR6U+c+OoD
zn/0r2UeRV2VtglrSOdRl4o4nqiBoVBUak91tBuovm/qta8eQ2oKyddu8CdfK6PJRT1wC465Gidv
MxEelYpavaY9xLjkjexljuADV2u7MxNtfjn5qpuLKJrVftkWFfMZGg4q0NeYnGU1vknhaOfVK2DZ
Vcy5+sy6nOPHV39sEVNZlsMkCY3oKqb3MiORa/Oo19VcnreaLGE/Jp9U1LK0tNtGb1CEi5Lj64ar
hI3jQV/tGt9OWvHFT0iGBciZfSZ8JWluoZcrEy1MnBQ7g8ogyg3sDuZjjsdZRBn4XFit/tCYWyjY
ybhQqkX5FY1UwF0knew60I2Y6oAszbkJTDbXd6pyHnrpOc9BFwJZ8x7N+DOXag7x/f8eOf+Rw/39
qnVia5xVXH9PEU+ASgLjVXRl5C6RONihd6blP/bSX430MoJLyURxhcRnxX4joGy55RZCAj1AdR5L
60GgbBfao5zZovRmUtoOBXKkvlJuR/K0FuTRl4FM4ChpbC/SVRTeZTogM0lfZ3Ma8/v5cOr3LzYA
PY+U0uDN1kXGt4OLeR0JH9+3fGIDW76nWeTXqN4kq4uhG5XMa0G1Q+VXWu6kVDpzPjgRPJYuk0WP
U5nVs8k0Ajv2c9e/K8Ln970/MS7iIvbHM8mhHpkXlrUqqfPSzmy4p0ZlEe+KpMiiQqJdnTDitZQP
UydT8jDRoGyqHr7v/Klxmf/9v+KenmQ1cCf+SO8dc/0mKj/06CKfb7RG/zad6z1VR/4oukHlZMoO
Ed73Xf7zYP/FalkaS0KWMQ2xG0S3gMmTRtU2g6Stj4kDh2alRebeCH9UNZbt1VMY7WvJ406uPvZN
4xigeqkzdSQSmTz3UU4X77ou3Fi1BocpdUCibnwPeuFUbjHFBb8HP6fS92F7rMPhrjNugJCs6vQd
bOVaGPeNZhdU04Mrs8QNwCrVj86c6U5NqkWwETpjSEcPwLJRQR4oNxWJ4TPD93VU//O4/fcXL0bU
wlhJcEm5j8YrBWrr9w2fmq+L+FAEZIVVSZ/cFHBM38cb+ELrQL8bPHNlJOK5r/9l91Gw/Durymaa
BOqACJXBVpD3lXpmIXzde0S5/7bbgodmxXEAiEEF4g0xRS/T+JtSDYoyzulDvv6o+n9M0NW80cLI
m9zE/2glF1eBMxvIqYaXoYIXC0pC2KmrAHbRqizOfNKvowMAi38HhSpK1EOePLl6XfBc2TtjFtwK
/pmYfKrX87//10xU0IPUSshwpA28LKqUcuvMeJzqt/Jvy35MwaYYW5Obew/Qb1YqyTqNp5FLJrq+
9DcV4fWp1Vhx2LegmMaPg3gMYM9F7Nly/+v7v3HqFyxOBOEIYNYY5r9R7Rr1yYiBp1F6933jpwZ+
sVLDPIFS1bJSee4sWaPn7vgn2l3amwYklxszpd32PYls9dzx6FSzi6VZNKCNS0ub3B5rh3HtXWZ8
QrLp31kyWGBhKpihEHICcMoPtX5m5zvx8czFchRk8N3t3LDv33YiZNhNoFzkBANF4t8+k20P+65n
LDJkyJ0T5PcXTYmldakMKlSI5k8HxFKZdtpldrH60rSUuksLPfbc32Br3Oft+rLuyv8OAzz0uipL
mo3D65CXw2l7WbuLZReXHBKrmnZT/25Q3sr/E67+f94d9KUdaRMXocdeRuQ33of4mhr/M5HuxNpY
OoeC+yA7nxNDzcGBJR/Elw3E0i0Uti9+CFjCuKr+IE8PzbkL7Ilt1lisuSDsx8xoGIiouNPj5q7l
SWjooRlU5n7ILnO31pd+oX4TAL7K+SsBtL9ROOQItS6aIEuvUAqDccKqC9GdKO8Y98Nw2V5ozN/3
r70wpUab/1aY0MmON93onAL01PxY7IQtpjQtCpbJHbk0tHbjX3SK1JdeoMoklYISEy/69JCpG++y
S4NuLBZg36RSO5XW4MJl1LLdKJxZJ18nTvSlQBQOTG6WOeMwWe999Vttk+3Y1rbigYuqHiEKbsLm
eNEUWQo5QI9IXlcZE/dkUknto5T9/L7hE9vKUsWbUupjNAVrUkSXSa0ZZahsA9rm+9ZPzBR9sTLR
RlsJBaiTO8g6xhGQod4ua3ixGyKFVorMYOjBpYMB99oLO7zYCptMB7w1mBxOqZOZ5Nvw0g4v1uKo
UOTHQYbYVxyVdN+2F/kM6/piLc6myCCp+H5Z4CZwk5GinJndp2bGYjsExFhT7ccQW2oFksVbtaj6
/HPR9E+2/L8Xbn3p5ykacu+b8wFMit7qMTgG4LqCdjOi+5QkY21pT/lMw4xr8AHgMI1w5YM8k7aj
ulEEtD6juAtD/8xvleZT6le9WZ5e2zAHUkBvauCnHiQCFRkjUoe2UbE1CFdNBAfauB8687KYv3QE
7XLsoto0GV0vCY5lkd9WZ4L+ic+mLQ62Q1dpQZHwS4x2G0kxj+a31B6d6fWpxhfrual5umrn2dYo
QLuSeGOKD6Egn/kK8hyQv/gK/7ECxbC2qit5cGXECgKWem3pbzK9tYP8zUOrIaDE8mXhII+tq0uI
jrXIKShl64Gdz9VfwLdm9R9oW8FJIh10n3hoEE5eFHO0RWyYdKnW054lDDuTlNB+GM9d/k6ESW0R
HJDElgmHFaLOaEv5PjPORLNTn0v59wCgTjkuBDHthtIBrREy2nElBuOZ8ZBPnLu0RYQoo2qEi0Pz
fZ3AuUs28exiolFnijRYnrZDpPy2ohexQ+vW/cyMRxUz6J7PlOlOVv5KetXtVCpdXyC8res6dsBk
bwtZd3CXBfmn7Iv6WRPuv/96887w1dxaHAIqikatuk9HdxaBxeFd3SPNpW5RhUzz/V849RUXMYTn
nrasFXF0c1xYouT32FwW45cuo4mmFUEIZMsFsT5yMbnwav0ff1EJDwEsGcjT8k4CtGY16tX2orFQ
F4EiTIpBGiJGe8xd7JOy7sxXPDHGS19RRaIgoWolApCh87LY2xCALvt8/6mvSlLgWWU+ujqPntWq
fblsJBZr2+rAdOuJNroYRshHKnEva3axtAXefEfJVMExZo52c3Gz8r8Rw4pi/ElKb3CxFAi7n+im
P77v74lQtCyUKzTYb1XDQ2tX7SLhx2CGa+rjL7s4LEkzbVSEGmZ1o4t0jDfD6rJD5pIx040cjfOM
ZqGtkcAtL+vtkiczeA0OoTnNKlfafXQZvwiS879fjlqusKhUJkQWHDXDeEuE7NwjnXbidKQsTtuV
rvzfqvPgLkvdD4utWaP0OAchPe1BIqz82r8ToxmSgFQ/V8GXW+vA/Ky9zG7yYh17D4JQbPIch6k7
Jq5NwXsoP8bVi15ymW66VY0oECO3VTiV+wHHmCz6gJm616RxZ3o7rb1v+oNu7lCrepTxr8g0UnZS
rKiVt2e2r6ivUVauJlCbKf5yViDZQvBUia/fz94TYWcJumk0I8WJrB9d1YD9YGMx8n27i4rW/6fB
0peEG8MKw3KE/ej66Gp048EPfLzaxE3av3rCnRj+SpJPIX0o+xete/M5/nz/d0/9nkX0CAaKwbKS
m7YJfS/bqeNFyCfEfP9OwpjK9ky1BDIO712+Gy/cTZbIG8MaYp+yb5r9DVOgPWcjfeJIsGTdsONJ
YzJ/VS960TnMJdO9rn94uBpdNMpL2aEChoDkJd3OvWcFI2X1TCp4XtJfHGXkxREfj9NMBx868LSN
NFn0+Af0XXSvZT+69Nxh/MQU+XPo+yt5ZCWNwgmcJKDU4VKw8oozU/7ERiAvYklpiHVXwYZ143Sr
i/AAMRea/TcvG/L5r/7V63iE3qzH9JrCyCbf98X++3aVeWV8NebzMP3VsAfEMYMGyOHOuwKieyeP
s62y442PYvAUIMaaVKoFO22T5NExlCSIezeSJWwgwOIZg211gMRaHdHDU3jix+uyaB0xN+4QxDuC
wC0FP9Pssy12WEWIUoBXXG33PABNfuXMpqHf/wxJPDX8i5WvgkzBhJpbfVrrzuT367ZQHZM35778
FXmSnZNf8n2F5+EU/yYT3B6MQsyd4oG6H9AhLYg4Tvt1ddMVPZK0DOV+uxH0ZBezsVf6WgZP7ok+
KjXVUZBuFXJ2pWdUUqh2nhOwY6T50tOg/lJQdEfxq1EID6rUbTQ5vc3jn2LzbLQyRGOcFGaiBv4C
SoZvTUfFgPpRgA4MBBQt+qbJj0HwQn27qZbXUjc5A/UAALIzTMS66a5LZvAGQGF8dqqZy20+KcD/
q+E9wb2qE38kmIbWIo6dlcidEseVUaXgssZZUFj56dOkHQ2sab3Y2GqzEQ4uyH2ynsQnb8Slx1fX
sajd6OazqVzFlMPBJoQ7T5FFvxU8il0i8WhGOo4LApXMEj4+v6lrAO78pjTxsVZaagjry2KuuFhQ
k+r5eanNryz4K2H4k5+bKydu43+m0F9TnkdlMzF6ztpF8ZibV+av/KrCfwL677QppJ0fU/l/Znmd
mJVLWUeo+QGKQm6SXnLoWm9FPbtenn2ZPBEvl9qOThLaHE9Bcpz4u+vVO7UU4fg7Ua6K5DHJ91a7
95S7JgEzb2BN+JAX/SGpH4R4k1JkXgaAf/TKhoG8stTrScrh5pcPIkXZgUTqwQhssyhWnnlf+fkz
9RN4iM1Q7U0qSzY8zJVgrdMi3qJB65HXtWs5w2TZwiNEPgQRjO+7zN82xlaA2Pv9Ij8Ruf8UBf71
3RrVGLxREJkQIuWRAq/gd5c1vLhCewkFVb3AOKbY847Hqnv8vt0TX/+PTPqvDk+BLkE04uub9VVU
HWY/quGMVvdEiv5PpunvpjGbAnfFVtnFKlLBX7MhcEY5exZEm46IPerlYXbW+v6HnDhQyIsMgKfE
wM/x8XJj76jVjxXGPDq+p92ZH3Oi+aWo2ZRCSq1y9iAP6imI8XUxvtVWaOuY5H3/A06slKW0uW6x
bG3nE4uYuWoGRMXce/WBqavHZ37Dicm5FDXD/cepoGGD5qqmtJukX3/f81PtLqIgeNtEiQvajbXN
AAGqORMFT7U7z9m/JlCvyK2m6GQ89Xg/iLavnbkEnvqW89/7q92sKCqJIuXRJaHqULKJfBpvNBVv
O8oXvx+SE3P/z53jrz9RCW2nmvNza18+J+WbKtxUuNgpYs07j78Sx1lwfO5gcWqY5H9/Tq7HrZBF
pKiGBhsdzOgRml0WdaRF1GnHMs+wVqCoHaxZ6EbnXhtPzfXFYpXiRBmD+VUwbOpr/GSoSw3tspUY
neQgCqrz/Vf4c/f54uS4FKJiAtB0iUx0M5SrTKBORbmyjNKexOMEvmtMcnB+P5vxKKClN8Odog4r
sb7VOohj5bSKANs348arJNwwSqcXwi3FnPZQTI9F+ZThJD+FGHZln3F6LQBgFAB1lxUIbXPzff9P
ZXmXKtdBHzLAYqysrHlNxhq4HYyDljt22q2z4CfuURxzZIAxlI8Wd4V3m+h3hvmzKirquks7Smcf
jxhEdulO5NUEy3I6rESoEa2DOwmzp9GBOHBmtE9sJUvd7DAIWJk2PDiqsTP7km+V6LIkrLiYLiaW
h3Dn+Ix+9bPFijSq2jPr9Ou1oy3Vh15DXVxQzhPE/MgwEup/fP/lgImy+v479bDz/ndVTph/UjLL
BbfisUSusGCt7uP+LZVuK4j9OMW8+bwIJMXbHewJaCWGesDbVvLfFJCHrYyJM8kOY8JaUw5tf/zd
j8zN6DWB90DVADK1H1KfOwnM8HIb+RTjwwTpjQ7Mhbbu4CDqvkTlJoUlw/jpCRAF3SC6EtN7qbjW
UsymrsXpOtHcZvxsql2BsYnwY7aQnY4CnvGbpHmsRdTnojBew9i7Nyoq6M1KeonVmPvdodJ/jP0t
hkaOZr411VWlO373kiUlri6BtcZUZZ1Ov43mXm0quDDXkw4VQOWCoqJ41+xSMRwAY/DQ6+tgNr5p
Ho3xMSyOcv9Y9vfwFuEKHMXsYcquSm8vCjdxtoOlU5S3Y/kQqa6uHKbQdILJx/rWjWYfr/42xqJt
qp6ATBbKrxr6ny4dwtHbhlHnmPWvpOnXYGBvzbJ+GSl6CvSXoIfsIdzRdbX99f2XP/Xd55D3V+Tv
fAU4lshBjcKSqLkJhYvWgLYkwqopLL4cNzK3lylGuZ7OheI/mYuvJupily0pBgn8YKBh0cPuDReV
1nICIIypsAq0p0RylPg1evnh4Rh3JRg/BO3Dwx55MveW+aKHnxrkGFDFd5qw07p4FxgPUgRQitsp
pomqcpkwCj7ev+PqiU2PvRwqDK9IIWG6on9mqc4L8qvfv7iVlzgcRxGVMe6UaLy1O0G57YYnZTh0
ojMQ3y+bFotNGt+1GIZow/m95P3c4X5yWbuLHRpfh0w1ilkpEF9RK44t0Pftnsg7UyL873jHiZ79
r8Cmozq1irK1ZbzjPCCzpeCX5bTS/eB/KMZHOR6KkFebGuvu/JBm46aqdsZAvWzd2obC42TnYV/8
sxpvSGkk5rBqSpGqJkfNboT6BohQJa3hNaxEL1mH8m/ZinZZ+imYxb7Nspui8laJdIgH3OHMaeMD
JJqKp7q6Tbx1014b/q2m3Ggadf7aZV9qKXoFujpKELUmtyzvY+kKH64LG17sCBHO8bHqM4Mlea1/
tOGZQ8KJgLNUvYJyVfCAo78i7k2B/uqRufp+DpxqeXGuH/HUEFrgAK7yIfjSzWBUZ0SvX58UtKXo
NWsHX+zBbri1mYM6wrRRf+ygwH3f7T/3mS9W9FL7GmQBtEZN5SoIcbUKDFftKaZK4CqAQd34yqfJ
AybASqyLK2WVYuUDmRZMVRndNIXM1izgxR5+WoJ4WexeimYnpOspRQ6ji53sL+UF3/lf3//UU19o
EVX83otVWL0TynUwa4587ih3qt1FVPFNOSyUinZbjrOBE3xe1t1FTAmFmeCNZaor6y9Abi4UJWtL
0WyupHopYF/C+K4GPEvPvn3MHftiJi1Vs50YtUXQ0mEoSivDmFYWzLdUWRVY7hl4O3a/s5GLReNA
cLHV4I5Eph2pVI4O95n5EUQaZb0j9b7yLV5Dqyl5BSX20FNG2SQeTJwnL6WiT9oO2I2LmL3WiN66
10m+mfKjX26TZNdKGN9xW29u+/oVY8z9RR9iqdqN5ERUyoIBU9+U4lD2l4WipUy3xv9rgoRNgiG+
9butWJ9ZP19fF7WlSDfoFCjXksI7vnqLFWu8inPyIxAH4b8DSQkuW01Lza7fK2NLMR5hSc6czmg2
tfF42Xgvzhh5PWliAenbbYddWzvGZa9c2lK1K+QeXnom7ULbaV/7c/UOp8Z7sfwHRYHqZXSo26tH
ndreLOeN9Kn113n9cNmALCKBksuFLvotucEmvYYHuRXaM8e5E3vLUq2rlSOWDTJ915UfZTbB9LmC
n39mazkRF5eKXUXLVLOeG5+0dTtuavFMu6c6vbg0yAWekWXIGVSLfujW74TnlMoI1heNtb7YxkMP
M+JeZpKUVGN7tnqu06cGY/4xf910DJFzs5Gjemg26rDLiu1l3Z3/3F/NDtaYiDqQS9fw3kHhq/5F
bzWciv5tF2/LCgJaS8zDFAK8Ynlhfxd7sDkNZILEmKAnOXK90pIzYtJTw7tYhKNBYadiRGSct96x
e7pscBfrLmy1Ck9dGu2uqvU54MeJni71tL2lWlOi/m9PSft839M/p7Uv9t6lmNarM+4A0jC4vVbY
UWyiMEn1n72Eb5xaH5IUWK3nNrq0iRIF8JewClNePzOfV8QjXnDSCk9GYMA3SnSHyamdZddl9ozn
Z6L6uz7zHUzsnBCiG2K5NT71lLSCXvBaW2vqycZw7VCDPNDCJzM8RlScVHutu1FkUii3udxt20Kz
jeol6cp9qpCejn6gELEzcVL2caAhf9UTyRYpjbEH0VgJfrH34nTf5fUhCKBLDGNxDauwl7OD2WBt
d48TEpYQgb+rE3kLfg6m6CAjddV8/EoFp/DC49TnbiisR73fyewoeMP1KzWd9lbe7y0r26q+tIUZ
vsl669EK8S4oAl/f5Upy2XVgqZ3K/Sk0vD7nqSh2vBxe32XBb6meKkVm+WBwGwibq1p+xRgT8sRl
ogSeC/5d9RbWbEWmsDoL7VcrP4zp4/fT80TEXqqS6gJP5iaZqK4YN50prdX2tWJSfd/4iQW1VCbV
uMeOmuyzzVDHGDmheubh41SnFyGwSscKv3dGOui2nMTB4W7mU9T3nZbmIf1iwS4FSBWGlg0AJfaZ
Afq2IjlNZhFpgUfmqynrbMwa8XUGSZlCDTV/C/prge41rr0txhN36lnOyanRWwTOyPSlJoJd6orm
qwBS9sIzy1KyFIoh9GLUDq5cPNfmrdJe9rW1xeaPPcCQRj3hU9n4T+PP77/GiUFYyvlzEX58YIU8
Cm1wZD4zf058YW2x48PgtMq2C0bXgJ+sktOeGhQygo7270zUn3/zF3NoqcbXGk8p+5LSDHxnNhkY
JFEbnITTflg/JuPrZWOzWAYhslJ1iBjwZF9eX/ZGoWmLY0AseVjVzxpQQA9PJf/4D5f1djGdhRqm
uEoe3o3UZp0q9wXFFd+3fCIc/En9/XXSKtu+GkQqkN2m2rcD1kloKdLoXInCiRm4VM6j75MHHAIQ
xdaIch5wsTizD53o9lI6LxvTGPgD0TEy3kphujOTdgX0Kj0zKqf6vViOqVfW+L0zO8rpth4hl5/p
tvX11F7K54UxH2LB4y3VMz27QKXGo5AdU0UDqt8WRNGpZBw8ztV/n1C3aktJvd/mk97VvAorwXYq
QKLnbwOZNk0ctn1Sb9W0w7VcXxdVSVKWV5n2GHuXBTR1Htm/5pWi531fh8Se+J4nmzOR4c+O/UVo
UBertooQmVkFwSczfTdo1yCEV62p3WZk1L0kdMqx2mWqti44O41pvhZhgWfCvgBjm2XZdsSbPZV+
0ILdZ9vYfE7FWzyEcRJeDd1zZLZ7n6oUDwWhJ3U/++49rh/ieidO+xYE/IClRmX9EoxzaEnp1DRb
xIsoVcZM0arJVSD4lwcVxXhe4AQLAk1sMxcVjhrvx/iW6oW0luxaugvl++/X/Ykgu6wHiAKNkueI
22YaXLd+uPKmfS2/JJbbmxe+qy6rAkZMjBrmAZKQ5+k+3nzf7xNDtqwJqKqoThLFHNwk5lsa6w4Y
/fcty/zX18tzKRhWezQ3SZ5xutW6VdPacv5T76988dWsP3rUhamy8ztcGSw7M967ANux6DDTuD0R
hH0MULjbBf6VWWCD5L30xoupH3rplRm7ElNha0rA/KGCN+DWLPEo1VeGslf4f2mPmYeiHuq3Um2n
HEQyAr9c38F3xalkC+3rYPFPouOm4B0Kq3Cl6sOwulVYxLauYBMGX7lRP3Ot3svGo1DhI9egolRv
SLGvTc3cDmKxlUMoEBjbdvl4Pw14FRSHxjv2UkbqUXcwm3REAV9rYecZXK30gvpv/D0wbsut0vH7
es2Ts02pvFNF9ymJiRTi+wC9rPP7+6AQN5rwnBXwgSUetPlX1ra3DDsxk7XsPWT+wUtk1+vDzaAc
pwnfpMnOSkdnnRrCdZ4fOlWyg16xm+73KFzJQWjn0k6N/E2l4qru9as8z9el9yn27/1gAp5G8ylF
vwuGSO/amTi/FsQbK92JfbSuSnwVZwb4COG9EGF7juJ+mOrtKII0FD77dDiORN0y+12Kh7ipd4r5
1s/K2zAnhbvReEuL5Je0cK3+MxT3dfgs55Et4rGLv4kzCjeD2W3rSHuuvfsYDX9VpfdaSvEvC9ji
KdvvN/AQnD7WgU3/7vPCyXCi0CJ5K2pHK2pXoXJTJtg9EJZW/biRfGuT+KKjGZWtEI0Er7IbC3OS
8SOOrtVC2uLDZRdUP2Ce6Zjh5KjGA1kzMkarejC33tjYbYiNJ+90suxWmDx28adRhjfqBD6Lak5g
zRMERLPWbLSYK8V6T4Yt+mOnr/TtFEgrA18ZNlLUILXolNZaXUfqgyYfa+vRHx676KpLjt24GfiX
zfy/a8KMk7TLErLkUxHf8D8xOcq7RxDha8DbvJxW1trGgyoib572DbnzbS1XK5l7dtfddOhQAt7v
9Ju0ckv5tRlLVDUE4uy3Kf+o4w+lfjPNbef9GL0fUvs74T8zpG0M+i40MLpLhGuY11Fy7U1A5neR
hk44tf3uOCS3RXIjY1DFMUZgQCXLo3YZNabj9ddpel2F6168t0I8hKhkKYUbDy1FFBRrcbwlj4ON
erkrTd+p09cuythfqJTidFG9pdE+a6trLxkBFeKKLmebBoD8QNFLIFg7Mxt2qXqLINhuhBsNawu9
sZtm3aeUVKfvpvaYYfpk1IkzVi3GC40jk5OAknfNOQlf0dvUp8P1oZoEO41fpnyvNcOm890WpxTd
L1ehdqgyzFiYpEJsrQaijiBhlzI/zJYbmUBkUOsXzVj3GEk2Q95jz4nzGKkRBCbTYJswvUsTQ8cY
cw7UGEl7DU5dU28N8ZgCJO8cBOm8iUltADvh3ajuJHm48lX5fkhQoSjQxuPniLzqhNIp422Xe7qZ
PcRNuLMqwQEfsQaQmgm8D6PCTdr7tPhVDfER5s0hSvAOVKKtotx7Jsz4uFphQeqIPJAMtYLSvF/J
qcZ9tHWs/tGyxlVRq7PvhF7FVLaiPy98p/GHp4RkSptXTiQ9wOVdaWq/qqyntkYDxdrDCsaxgsHG
TDNmBKz0PdQQ3pSGHWFiyRu/LUD6aClmVrQrHaV/Xj3hZbdS6hBK/l6j7tzoHOoNEFrFGEw9W/qD
Jz+3YXUjg570qXe0kHXISrFBWr8u6je/I++S1a+VOPyUUPThzAYznU0gm5KZnWnnerryqnYXiSDg
lWZfcWPqYmoQxOJHjgQ+GUqcKdhCEs0pzJndFG/U+nHEnMZqvc0wtk41hY6RaZto3NdJ4xbJJvA3
Da6UrN5seJg6ylKxh2zdpH7t1du2fNZlCvjvhOyFFKqA4S4HHv4vBhj1ivCWBXc9M6j0LK5vMzI2
XUVI6mPlVmLGyO2Dn/MmL/sbvdtibmHmt1FPouo5Ch9UFkuQNTzVHzzZcnkcszMrcvT4bciLA8Ha
ouZMUAIydCL6a2ldiPcdnrkRO1+nPCnG/VQjtkycpKfyrHzJPWo9rZi/tO/9a8wL1mqpklYL1oY8
PIYKVjIHSSBdGxQOXrIcXiveIo4QaIX+rS5+afJeqTn0Fftcuyv8D2mqZ+9BIDpYKuya5KfUHCK6
lPsHxFJ7vWs4EbqdJuNc84jPttC1zug9oyCScsmxVMD7xUY00F6FHwNFdlZ/p9WOXz9Y5WtlbtLh
VugOrRzum+aeZA9bKD6uH5MqrboqWsuCsE0mZtEPPXuvuUsFUkWSzjh0hNioAKgQ7eWIqurrLJOg
KuQcvqqdn+MWkGOHdpPjNldmRK/AqaWjFOfbDBpsWU8bz8C+xffXoXakGHCf+DcTGWxsjnvhU4dh
iGhHzFn9EonPyiZNyM1Ig9DnU+CXZaNdpNZqjjdTXtte3Ty2bPL1XRpvRv9WVZwhvgooszTCrahs
2YzRjtlxWKzCxBGld1HcDbKrqU9Teyupz1JyVJKW57G7UkDARQFzq648+RbjpI3EGxQcjIjtsA9e
Gt+psh1PSUAd7sPuSWDvq0xI6k0B/3iqSN7yNyj9sDL/1vfRUkeCWzXvfiewMNVVj2mX3OKpgbAs
xxjN4kDW7Yy8vTaTelXhwaCanAum8lauMFsrvZsk5R2CU0saxw54YZyD94TnG6NwW6ITLnB2iCFx
YGEc1Wu2bPQctcCqZt0au5tVWzxYgo8x0XXU11srEyDktVjrbagjOwYkr4Ka9CzPvmHwWxyvY9lN
809QkYJ0TIJD0z54GORp5Y9m8tZ+fQwxfOiH6yJ8nnBwkqfKMZV1Q9oaj8o6fYnkTdyDm2s3OGSu
zJgI5rO9t9HGgNUyu9z10e8q2lGoZIeYeXSB4dTcYSYiwPBiWY+JsZuam1LLnTLUtknr5lZ6IxX9
TYwjjwAYaBDCqxKmGA4UGyFkf9EHg5vRJ5XL2yGv74uytHGudMIp2QZd8dEM5W5o1wY/2sPIJ/fK
q7TvIePecTgkFJgb1DZ68i6n+SoMQ2dsBKfO8SOSH1H/rDJcvybzqtN+ytI+9eZxVY61h1M0a6hu
YrdhCHRuGKGw1SN81NRtJhabLP6Y2N9STi8TZ3rFJAfBJFY4YZf4b+EX6MgjFpAjar7nvK1uRv89
5zAtQqgwgt3EKGOgaAfadNtin5ep6rwArKDd+bV13VDopGi/jKrexIa59gWqwrxs34wizoKWXTJv
oiLfJdLbkBWOnjQcBGzpevab8jR5XTXhRgr1dVfvqgo/xYRiQmFmYRzi9jrW24dI/62rR0+/j9Mj
B9CmrrdV3q+n2LV85CVSaefRDkiMrbfYHky4yqDWjNLrRNIcNcKQTNeu1Tx26pKzIcaEaTGu6ind
5gkbW5ls65JyME1iaeS2THhuVEatlSmrUred9qu3YP2NPDx0RvGiGDfK8FSMr5wZdp3Yv2EGwZ9X
XF+KbepSCG49+q2PsdiKvraOSMVO+s3QGStJ5jjfMhk5luN9fgzTxK7lu6yvHVPDr6/AYpoDVasP
iLR7LgTDVjJeglTZTG121WXaagwG8E7lXQWtMqiko6qx5fQtLomxKysZdwFj7UduWDoeuQgrsey6
M+3yfzh7j+W4kS5a913O+CIC3gzOpAAUypPFopE4QVCUCO9NAnj681WP/qgrihEcdXRLDYIAMnPv
tZcpMAkzySvmi3IWqpvWdrvEci1527RUixkXKHgoLbkt2XqxJlyl6/t5uGvqcl1n3TGxSrew4w00
clfC/cLmoqSy804xijaJamvsjVZnhxHDb43HvEjLwSnhj+nGz5wNtcVeR6EoWtSPHqGfGVrkJRbb
TmyNiWgsFESTQ4WPEY1q5L5WTA8ZqfAli9OuiIgHeCLX6ZpIfm8r03HpMd/QDNnty9+mVd2pyb6t
3jot9E2b9G5ZeObcbawOln586io0Tva+zsiIKwYfJz16W3RuVYC18Sr8GMPEC/vnwXQ2clOusS/f
a86O3yNXXmIjDohQcyZfIwQzxHZo1IK5sP+kI1Y5TulnFvF+kUduemceBtGT+rXurTtL48ZR9ZUC
ovownJqazBfxoKpz0IMBVbK9womPxB713NbFoekhRLZQWG0ax9pTzZjh2FNPixiZz1FcuQ3keCrH
NAp9O6r8ZLGQq4rtaDcfFt7gK9GztVlDd6zrC+4tK1M9D1Xyq9Dj+5mdBhVk2QTJkrjQFwi5MePp
UCojxR124Aq7dtJNJNRjLNNr1cmx9wY6MQx2VsIs0WxVsJPtTVg/kG8nIpPd8Ufi/MKYryZ8K8dn
JOZIowNKeij87OJ4AmuDchI2OM/SRq7SED8kVwT3aUeBx4ClaB5rK6iXpxK1ZMTBa4gLNop+bWNV
HlaPwpgeZfy7hzxzGfogbAw6Jch1fuBCdPo0HxxJ+KOw1mRFQBQgqzH0m3hYmemjEuUe6SjuTHRT
RSMp0sUVLMEpLEkUfLY6SoJCdwvT3DgpmW6yIwUlJMiCrTLr8d5vp3tH43RVlN5rjPB5aUkBNOLT
Qgq7Km/lLLt3mg+7IbQUAWdHAuWCPHmBaz5NutvTLMx2d9Lnx0W7K0W4X3oSBMkAqo09kesLTXkc
90Ho0AUTUqv2hMEaWlDGFvET46Gu9A8dV3pc+pvqvtfWVnmKlB2e0CtH+akmz2N8Hh0ySvsD+xZs
9jY5NimwRjPAhF6bWOub8vwoxakbhqqbVfk9Yy7qh5pUpDowZ+espfEmnJ1tn0VHvRBrI1J/Z1So
5hgfhPU8jw3TKioGpwCCWVZJq62dInFLpLFlds2plALNiXcyVKxunGnIARjwbcMcWl1pGg48RUQ0
VnId8q7NUNqH5kmj0+gshsnicbDIosto+61FCyLtOJoIcK9e9tW0ys3WV52KZLea3CY82XXlLpHi
o2BkLGRPRwomUekUERol1ZNUggZm83WyP5w83jcE8inJr75MnpjK3IGKYN5AxlrMCZcP1snW28eu
DwPodnQL9+TJ3tXxOZ0ero2pW1AMJz2ZU+KYE8RVWurRFLNr6z3l2UJftI/M9lSHHAPLG7aIrlVq
K7WU/MV+TcEUBasI3Ag+bh4zIh+XFWF0JSlohKvpVyQnfujbtxS4xtR1KjMiT6MP0i/AtSK3Y611
GNXP2tsEMVJl6ms676EVX+yRL3gOjMHeEIFGaqd2iDPNq00Cba5SmtaPC4PMZL/lzizxUVnmSuqs
jVGfQBxdhVePlTg5qJuYMC6T3DYy89Ym0JtOCnGesyaIBehtNNokqZrxVou6DW5FRv8Smi2b7MfC
xtkj+SRU71RI4yaiaM3JIBiUDAZy6qpJ/jHVnQs1nfCB8xUWUTjHhN5fUnVjNyeGbqhgsDYjqb15
c7pwn8g9mW2cO8p838SFb+Uf0hIYhbFWw21ua8EUO268tIHMV5tq1J+TsTGoHuiNFW3x43lhz5O1
bWPZ9LWVlxbRpsjH+9J5LZXhRHIiA33SR0dq9Ug+Ldxaj7y1I4ohsX4Uy062XkYoOpH0p5rvgTVm
+2J4mS+S361qHxxQocw6zZ2zzqipyIhD5f2qGm9FuBMg7e1G9GXQ6WvihUEJjhmV3Nj9SMttBYih
D74hH8OkJ3iuoT7/VWKknMYmUb/LqiVUbFk+JgqWhe5ywoxb6w6ZIvwGgDjFVMlA7gS+Bm1b3BVC
emkxthyy8pSyTzc54QkFYd0NihZnWREHehjqczlOXpaQ3ElfukxeQacN9/sQjfbBirVNQQlXmNeA
wNeiH/ZyeFcnCUr8u4o0T4lMwd550zsd16zkmDK6kLnfSDZ5+uO217M7yWiojD8Ke3T7cPTHhuqv
6rxsHL0xSsj1CYErn8Il3Dh2YDPjMkn1Sax8X7TPdRm6zkJtVRn7wUZSI4Pk9tc+0jg28bxzOlLc
Nbe14KabBel6UEu6wp3hqTuZfqgnNnGnJYi686tqAmpSED8I8h5Hd2p0EDuIqASuNCMfYKOge0Gp
TOXUVn+6oXy2oqs1fXoXzZYvG+waJsGrTegVteCvDl6cNm6sioOw+VCK7BDNp0nNH9Jmum+nEqU9
m1gqrXUlCcYqBAdA21+KTcZW1VqvlpmR1kxkIp+LKlOGSAlXY98gDBRdliIp50Z3ng1cXUAnnlDp
uni9H5vFecpKsdU75Ujy9nEOp6CDSiuDbKvStsix3QeAvP71VJeoxkvfmlLy5aQtx6E6tyQx2pRj
0Xjs51/Tg91r+77vf6oCKopKFzqEYh2pIZBuZaAHli7xAMTW6vJKARwxYvVebm2q33bhgMeTwRqT
jZjbd9mpg0JdvEZGslfou0KR/L4ypEAUr0uo7w3oBrNBdEnmk1kZoYBC/C9H3lz9nDpI0c18UkPF
K8dDhUnH9FOzplUWPhrRj6h1dkOd7fG2+xkTJSw5ImiX2TVSFoj5Yo/E3SgfzfjSkM+hx5a/SITo
9KEfZ7VfqOKua/NpZZnxA00J7ABvLGnUyUTu7Z2Iy7dJQN01q+PcGFsla3GUkKVslVrk7ZbMoWiE
BBtRlsKDF3xfsy90ybWag6SIg9byjOdLNB9s6W5KeWWbLi5iV46eUsuvTMp8pyemwMarQq1MTzda
wlwWmYzes4GH2yClEUWU4S7h6aFJlo9aD+q2JkpFAn3r6DOctl8L+v7YeZLbByutzlLT+E6m7spu
Br8mbh5bn0iDDTVdHMrVrnF2ba3Sm/GF2aODYVC9MpNX0V0KgIvQUXdyb4FsNoTWtgY101J5kn5K
s21k65gT6XwAbbVR1bO+nGK4+LYQXkVIg6/lTQ6d+sGIkLGM5Zt9VTZmwzp2VIZgAwHPmUtYzFpj
VtXwz54hwfXfr1rRsCKQmWJQKPaqRqbWJ+W178EtiQsXg0KJmOMpqV/52FsZuxatOfQUDN0Sny11
IE81Bks1Pqawwl0IK5qusF2zR9Ni3iNn9DLGOtleFIAwLaX0pLWXrrKCSbQrwdQ5nOR1NIA/OXdR
onkypJdBbtx+Hi5EubzVDvqDtnSH4jVk5Dp9GO2jFb4vA8ekZK17ow4aHTgYr4+x/m3Vj421K5yR
M7fzW3Gc4nLdDYmvDXdE2q4t/nq9/KE79kej3g3dEHSO7mH2iobCWVEA7PuBHKkjcblBNL+W8zY2
9oVarIry4JjPjdz5tVBW0SJ7EqhBKvu2jFZTUd3EJAE6fuv49msgXoUZm+pQh1fXJHm0FAqsLyUO
iFn+kYzqcy2MnOUoAqCvh8LekTWeWZEv+u1sLG8yZWc79RhNIYCMtqHYhE2zGQgxnkp5HSegVMOw
DhVjLbMQZh72EP+esvIt6QpWWO5JpuCo/W3Pk1tN9nOiYTPpWNnFJh1eySDTk0a7WlL1iCHMOsoU
auvdKPYcG1s+8KBv5W2rsA9k44fJLlV19WZRHiOiS0zuv+Hpz8kAxBha3mzrb30/wpRLzk5krrSR
M9og8pwSpd8uS7kpR7vwLFn3puVMUJDikqfsT9Psl1pywLXlTGbMQXTZwTYX8rrVbSjJG5ks8mrQ
D3FSnhWIXH3fBSE9wVjo6yYbN/pI8ghjCyU/RtpTNr9U6buTvqfiLeIIUPA2yQ699lYJoPb+LjJO
wjyP9GwlXsERSCSAiSTlfra8p92LM79kw8eE3KqcT/q4AcOHJijbaxBULTZ8M0OmcLyOr1slQoJ5
z0BRaUuucB+pZxtUxpG3Ur+bxDlrj1F90vOjEh8TMn3n90m9+nlf+Ay9sc7WgySdMQUt2ZoWOXXz
EGFyJuYfMcLOzjqNxl1+PQEfmzh7mE0a0qbw82Z0eRi/q+q9Nda1Br2x48Sd/Cl0/Clx2YlsHFzi
i0m9awDClzEen5HXaLW7QE3BIHBn6TRgaGW1nZafru3l7Nxn0l07gB6VhJhqD4vWHgyOtEhnFLjB
lpzRW9AZyIap/pd7Q2zD4gOTUugWh0F+V6Roo2ksKHFMU7+TnqfkqSUoXtkBFZS4RmXi6lPT7VUj
qDXHK6p5R/uf29f3vR8s7SQlp66/M3SsS5j2MkyLQC/3IiPR2dZ+posaoC7a59WrOjkHbXjQuwkv
ZsLd49R5G6rhziBp0HPGN0N+JiV+Tae1jpyExEPirnq/7H+x55+XyNnokna82uPkw9mOX4oBYvvw
JCXPBfOi/mLXXlrbOz3e2ZTmG936LYmL8bNMt1Lb+d2sB518Uoo7pPyMNdwusEfoppEfhRj2dNrj
XChuzn4swobv9qTl4znJTlYX+xikB7ka/jTjc8yOQKAsWTruwsCAxs9OVqUVtFvamcLU3cG+DFK+
lTT6H5kfVJPM9AhT0pcHUEnpUke/i6h4d5rKX0bnIGvR3lSXg1ozeu46zW0suL0YsObU4U5i+wbb
d9KsTYaPJKEkoACXjJZUL9O16InQ6e3Bb2N4SyTIq+MTuYD4BHfMnPdy/662Yg1vaqUCfeQAGUYh
e70iXab6N/KrpgPLqPmTMn0aRHWxh4siS/6/2QSf8BRuPcL0OOraQUAUzDtPKpnff+E99tl1b5hJ
6URyd7hwXbtbN86xtr7HjL+1BZOTRK6MmeumDDKHjfxNwuQ1dfZ/eUAlEWZqbcMAm1vMpHlFXzCp
PhP4/ae5f397SMqo+7//R/n/oqLRiGCWOJQ0c5smryPR9IqpcMYykVX1YMoaN8rVdeH8scPpksfd
qgZ/jZzWi5C8l7/MLPviXj57JzesJFT+Rp5ef8fGYDTlZd981TfsoDETpk1EOhzW4jQzymIA/r1v
84ZNaC+mMyZFgWJI8QaSqb8i/HxCDb2130m01s5CFX0zh01pFIFmn2jbV2G+fEH++cSg2rh14Enk
qJfGRBK4mALXNe6w9EFUU2MzHB+VrZXKq0kig1DTtnSM+8QwfF19CeecMvSudJitjOzDICNKWJ3k
drzriy+UGp/e2o2yNx+zRY4jGMcFqDdxsWjVN3gPRHV9yIbfzKC3zbAp+yfYPrp5rLFQN3GxkBpS
58lHzekh6IRIBTyExaNqfFO+e2v3w+uoABMcbGoLD8yZpNRvfULK9RP4n9XX2MXQdTJM157R7Kz+
Gb7ny24oN/uFqNrKahcurAdSvyLD53v3e126/3O/lsgUXXJMLBtVV9ZoQ73vXfdm6VutnjUiabnd
WfUi2IcGMMj3Ln2z/EnEU8tlQIlY9ns5XyfT93b6Wz+fmDiBMhrnea+8Ly/V73/frPYJn/A/Y///
ecBKokqWMVtsxzrsLGgeo3F1owU+mZaEwXV+lxQaJWB4dqTrzBpjkJb5osgPtf6TEYQkHfR0l1BN
1CmxWKq+ZRKxzkjKbZbf5YitrJhO1+l8IjvBqPyQw7exeXBUOTClxzgaIUTtlMXEfpjFVCgP//61
rov3L3zTW+8gS01jRQXx3+fiMuNVItqRLIZO/NTq5i2p+RXjcPreJ3rr8zNnRmHmDZ+Sld4t7dqy
n//9O3xyOt1a8milPpSKnrDbR4cqvfYK/77uJ7v9re+hqQ81Xps8m1Gq2IhJYZRCgCWbBPCvDGL/
0yL/7fnf7AZjKmtyY7AGUjV2l/JcVgdZf6zG1z53QBlDBsjbUTt01cHKX8vujmO9Kl8aSYLolq1A
MYGuc7dq3ovx1ZEuofWSqD+JVzdnAFsSNUhC765TSwmbnQhop8rXVfNHY05KErap1hznT0n2bCQe
XOaVzcgmdQIF8yWrid3eOqpDYIl7GRxR/pWkZ0N5d5afoM/uGN8p0/1iXrPY7ovWOUntfkpPSQXt
oGoYMr7W4Dtm095HpQYvEgZP9ICdod0uZOxWl0mXvbp4HsNdAz/b2UXDF6rvzzjht1aPJqKwPh3w
JLp6c9AMQnxiVIO35jwB9JuQHx3XiBQSNyqvphPWAd+dKP6W/Zwh3+yX3eRUkkDotZ+aYxRuxFdU
6s8+8pvNUq0iPZbgD+yHD/ux/uJM/2xTk28KpTmRKntsoOuX44tBvChUUOAxF9ctPUL52wHHDe16
ihRPmc2VLC8kTDORiCyv7rZxtqXbF31g5DOgIQ+bqYZlqMeoWn7ISXfn6CVsA/Nsl7GHs2CgAC5P
ibmNlk0RaW5cJIcZPDnTDgXZLIn2lbL7s2d1o//s9VyUS6ZQE+xwIBDfc6HRb220xo5pdhtz2eTE
NC75yjHlutT//1uAfuuhdQ0byIqCLyY0GMv9RjixMdvvnYX6bXhn0omhbfCe2ycLHgx+kX5RqH52
0zflkSIVKK5rrhtHheuMIB2QScT3shP12wRPmbiOQh4wLVfemY5+q9vQb72VOkktu3xCK2L9CB/N
X/8+I/7+qenOzXLPzKiTRmg6V2+SLvW673Vc+m1apym6KhTXJ7D8WE5fOX38/UDTnZvVXgy24+hh
QS3nNEHrwEeHg2TJ0CTs3vve87hZenrKhiJybdpXr4NX/vnWRW/NilLcmOXE5mNrfzSWD4rzvcve
NDRFm1iOXFEnwmJkzOV84c3wyVO+tSpSjaiVhKrSwmnDxoIAXES1a3VaoOVfGfB+9iNuVl+m4q1p
w8TFV56hxJ/RPKcE1TvZF85Ffy91dfumKBnkNNYkpWf/nMVhisaVk4u9DZw5q/eIeb5Vpuu3BkZp
rgtzynDOVQto5hunj9bfe683a1Jt9HGYOwVN/XP0KH3vw7Zvzl9TrxjYyowIDCXcAuqjaf/33X6y
k9o3i9IMI6w3r91Kkm0ySE7UV1Vc+v+++Cfb022Cp+oQKVygdryitWLcztr3nsatF1E9pwbIOI+4
69bzlS/+RYvwyZd3a0WEhUGj4h82EwkHKbjHuD6DM3du5tQP9eWLH/LJ6rn1BVLNzI76lB8CLHrl
dTBf0GF9ad33DppbgyDNIC8k6vB0MJsuWZm64lXQDb/1Qq2bpRkZtpINNi/UCHGDw/nhi6r5kw/l
1hXIxk+8mGfuWTU88S6lwb9v97/f+S/FjXWzFvVeGE7miGkvowmb8QRM4aRN0SHFnVWafi/RCOMR
XVGHVmNuPGmSkXBtTTiXsroyGWflFWyuO1O1IQAj82jiIK01hp5FIJYnvZyvk/59bKsuZMmrO6hW
x09Oofv2bAbVAiqrBYo5egBmro6FRlj+uqojpEyGqvC60GSR5nAwMeyblnyvyz1UzUsHtTsxmZ/j
JltYb4zofYUuKwLqMxm5xHkZLPm0VfvW7/H3s0tPWsxDHs1bJ+WPhz8Gw9T+aVGidYwyaSzuO/z8
Q/3BVmEmFCp61CcM7GAXfFGFGNZ1t/jbc77ZnpAKKwq1qcC5u0dr+xxOTwZ8IwkCZWVfqpnnE76K
VApUR9vOTr/us3Y3dyYzjJ3Vz8zlxaawjmWIczn8VB3n8slhVF6vRvv3FZXIql1rISZSq+BqQTJp
fgYNIJJ3UAWDSEeww5/Oy12T/U7VN6QPKBweSwaHpb5ZmD1Pw3rS4bEsEfaGnmgKL4HnnYj3Ct0X
Fkau3nWrHLKwNU3ogDa6kq4zphsLpKScQb3xm9RoU+y14eeYO0Fhi8CIAUlgaM+/KvVXSlLJJLYp
vAzlrs/XkgPvhplto7htvZ3UD2B6V5jDU9aVd7XU7+eModLIpBKRcqdVbgulLIRjkml4wIrnuYMp
Pd7PUOajgieRnixmcgjU4EjhgpZguy8ND13cwAHTN3msu9MsPVQ9nM83RZlXA81mHVfrbMmeJ/K/
8+S5Wia/aveaua5kZvX4OQ5K61n8oSieF6KQhSHOEgryRud/VpMRhqwkexqE8WFWVyyD2jzhg7Wa
6o1Z96u2OxOg4ZbJ4Gv6e94cjNnwUrN0NaG8lF2DTBFOOnc1JtovExt3oqY2iYPruhiHtbyQbI0m
pYi7h6mpr+wvzege5rH3bJQUgyp58DaCKbmHN20VpZ9jUG5JiiuScTvCwo+s3CVWcqmJnYiXrYTA
Sj8RsOfl0NEdIyMow3YVbsHgRzcwWcYIKtZ1wOireujpYbtVwm49ChOnU2enIPV0wglNVeHHVr8Z
mLX1SeznkBWydgoa86Mfw3WSOJsSb0011t7LCOo0Aq2IAa1dyL6ZqF6ZX+ZWu1rEuKaEtW+bn3L1
d2Ldz0gZAEld4BCoqQ75eYVrW8O2jw13vuoOlxAy0Y/cqc/2gicTExRjJaFHkKSjk/bHmsFvM/mF
/mMmfndJDhb2d8OGRugevOzOXsRBcR6U+M8UodZUoCTUMNuNyp30R1mInZMFIErMRcPAgG/Bj15N
0ZopneWYrgMHHVqQ0xHhcBSKDF2shITZ+CJfHgcbQVADbVTWVyVvTC9f2ulF5kuEGjUxJAjH0C3C
CqpUseoiyW1nPEiIfVkca6WJF3yPuyR2swmJSQEzdSnWQtvJ0BzMPobOxtSyhu2bIwJ4qzINWeG2
SbVVbGnkJGLzV6BsbA/JPK1xgcJ60E+zS1bYEAf+jJq9IqFG6XZSiTgdnGgaeeGj6Wr4BWnyg4Hq
GuEO9uEq9lmd8dpVxTpmmmGnj8X80MkQzCPH5WXAsdqrKIadEr69w3cMGNlnL1LR4kykocVQN7mw
z5HhXEZrD32rgPZcJzuBo3k9rc3WPA5s0Fb3Q8rRBGZoRZPOk2vMmlNKKxy3GJvAns3jzM/7H5PB
+hyg6ZA4Mmp/cGx0VRkB1qx7tfHWwG7tp+d+KgM5sZi9njMb20x7AzlI6TN3iMmOvIofx2xXLXcK
R5iSvHQDrPj0zTH1TV2b0A3bjWPJoHPjqkLKmRvjSpJZdAh+7sziXGV8xpOxsuH1y85mdo6hRVxb
Z+EYXblj/2QrsDfh2HtVFv+R03wXxZeC+Tpr6XogCgMClPWii5ItsvSXPnoJmXb10IILpzia0asd
QYXng+vhzwnyYVYzpKGaJSrbzylMj5IInSpb7s1GfirgxM8F8uKpZF9OnddCYkeMp6wN8sn0zH5y
WwPs2Wirn+1obkf5ACk1xi0GjwekwziQmuVaS/b9+Etpj0l+VOWftpjWacWpPDGU7K6WuWKv6hz7
v+e+2Xa1FmTpA1xDfw7LIx2Aq/PeSINps4tR48mMDLB34Nf2DI/CYqNYzrFVj2P7q2EiHwm3x7ze
7PExjGp/trdGO60a66m3X8GWvDQZvcZ8NooPzbyM6U9ywzwdKUlE0TGUvyx0DAvJO2pnndv0vu6I
S4kuaftcJGtWVCBCrmbkyTHK5ntBJlgi7TJhwaVjB4aDi7eqy8QFIR6spizt0ATbu66UXVFAHii6
1B/Sh7Dq92OJTgMujgnNu4G7aVKZ0EyZjvMznB/krISHC4Elih+j5cJteDKkI9kef2ljeGjls6Q/
iSTowYSRUk2J2ObSzgrBhJ1jxgiphsR+tUspZut9qDhxxj8V2rxkztfFMB16C6mbw/ptfoSOsp1i
pqwdzE6JjzWXZfQy4cpgSHeNtJWSiVJYUKg9GMNXDnqfeFrot0HMMeGJIYIYsXfmU98pXsLe3LUo
w5sPXaRBSWnVQ3RJ2pIQKOTs6AdI//UjU3JFjPYt+VjU4iELOdzCS1sUXmFE1HmqV7E80wrc0d72
wwjpCsF70rttLG3aoYIV7qDVvDg5zNCyWps9pCqIwf+ubPX/3Hr+VnLdNG5VHw9ZHY8gvSN8xRzV
O+Y1zTlWh00nNV7CZozSeCO0oKmXg638bO3fcGBXam56VjWu4gXtJUKsGpbHlBoosu9IGFktyCLE
goBU8ht92EMrTKZzWud+jeW8md0PJaLVVN13Vy5hTYHKqK/XUcVbtZuXj5ly7jE+WHrh2ZXmy+Hs
0av+LhChOtmyTiJcqRgazGcC09cVQs5kK9CJJf29AYtJm8kgkp9GrBktxCRpeMzjd6i0Rj3uhPmQ
ck6lovQjekl7sI5pBiMNND+kskLAxpyhyohJFEinux1OQcqqaBIk5esWyb1gOt1CCmI7WNrXpdnj
+UMlhFzZql5kCetroMSrDe0gHYwmeujZuGaUAFO3dpqjY5za1uuTs1otGzndzrz3DjVXGMEqlqqN
pkYu5DTqgl1YB2G+VUXnmmbsLWxnhgWfE7GFrUPOVmpft+9KNmW5GVZqX7GLQ/lESKS96cODKB5i
9GegsNUVqk7ONUQ5HDOc1lknGQWoHUgmOjVNPiT5aZFeOTJgZApPo3Kqx4c5ZU4areXwuHB4ts3F
XmwvUgNpWokHqzs207IKr7MWeR8tZ7V8tJR7I2t9wo5XOkPyZDgO1o8OXWa+ndjWTMpleAKr/3jx
+AlkvPclebUxm8iQ/XeXUDzL8jmOfo3tPklfQrTVCd9CwfenGac6+uW0aKm4cPpYtck18Zpagw3X
RrrPSIt8hTCy72NUOJMFb5kgNH9AiNgW8uOUnyvm6hbJAxBtfbtQt46qrG0zfCCU28+cPUEYdtau
6xr6vaoe+irelnQ/IRTxKjdhTvF6nJlxQfNcda9FeOmSJ6VwdoiEMATUHsNp+CHJ9T5nSVfW+2JO
55HsT5IXiHnzSoLPOvCnoXrUe3YIGSFDXO1C2J9awgNALZ1I0QWCl9shEx1lDoH5XBUhUWXTagxP
M+mdNUy35i1UHka1WrUIMRwL/wL9ycCgtkhQy8rZQa+fxjwYph9pNnvVsMOu7BoUStkKC0tnY1S0
Y8lS1OozqcMrFhkaeHTMRDew2N+U9GGgvJB5+84T+i5yR3rx1oZ7jamweg9cQrnvqxCJ++Vo6Idk
nALbdjwcQHp5P3N+FPpritJhcp51+49CpJ+ZVH40Vg+WHj2ViLUTbEbwQOmxgfeGEGp8zAmU0X9G
eHsH/Eclx9RhjoNCeQ/72bcnygBY4W6rb/Q4mEWDkn2vMMTMTXrf7iVLKwTRGby5AVE7Ngxj92RL
3V6uCI1p4p6e2Qw3C+V1NXQ/YgyyTWdAgxUHuoORAVMiEw3i2MPzLHo/QnXQ6c2jOThbPPVPAlW/
NcNqzb3CxD5NQXinOK4gYie9tuKCUgj1/2DeG4j/4/B0VdFgnhLa635ymM2xjUeolTEWKJZ4jaCp
oQcQ12KOWD1HmtYxdN8ymjwb0YTV7RL5oFbPEwCals8IRRY3C6nI0XIopv1QL+SEXN+nMwfluOnG
7fUQUvPmI9HzTRpqLpJz124RROiXGQihAG2SkGQteeQh+MCyYpsM0KDNzTTtutS+s/QCYW1y1DRM
cnNIhU3vx1GQYrpid8VDqOhBjxImaodTqGs7fNOCOYY6JQh7a6fNottba5D3Xc73yI5kY8QsjJ8S
sp+wZIPqHiII/m37Orbh2irgNz+S2VPP4WEurUueiY1iwzzECOeL4+wT/OAGt0e5xMNAM72fERai
i47bP/++8H/Mpb8ck7dWxUIZTaGrzbS3h/6JzewUYtMzmdShGsYQZETN1P92AenT/oNdAzWI6SIu
2y+ScpdN9lbulufY/kid6OSEH/++qU8w11uH43ZxGvjzJrZhub7KKIKuFGVRV1+go/9xef72O1/h
zf/hiuiZPY5NzkivljWvX+QnEe1Klagi8ZFIl2hQGMxvFQHTuN8JzsRhTk+5dWq+jN/9L0/tb3dw
MyHAoLwy+Qb5DcFRFhT26lygB2l8mGS7UDioLkiZrO4mchQSlM4dZ1WhcsqUh77eQ3WdcFWwVfl7
WL95A1vGCMGSjMH4PpYCRTwtyRf4Iqfr3z9c8wpo/s+jtswS/Qbn1R7x/aohYxc0Dl3iBmrEheYZ
cUi5pwAiyiN3S6b+ZfLe5BjVK568dJeKE2WJde//sXdmvXEba5//KkGuh35ZLG41eM8BphdJrd2W
N/mGkG2Z+77z08+PcnKipjrqcYC5GGACnOA4srqaVcWqZ/kvJSQ17oKtCVV6gLeQZKS/b7viXvrm
iWW3J+ZkngdFtw20exOEeC7dG5V/7otuPfrhNk0/lpOz7mPYcMWuri+98WPWlBvUjRSMWNHcVFG0
ThEVqSg0l96tdM9dTlPOtHVhX8L8K8tPsd5SXkPbBjOhAUIZp3udQwiKp7VT3CMVkniw2c6bDkVu
fQMKpE0dgkdo8lrzKeCgHGAcDXk6VxLWnlavZpWBsi2IKh7igGAxBqiLgEbSwAwN3KvGHnaaCaJ/
VurYusml0reQWM0JumJ5HeS7evTWFiVCgzrEINOzCCGumLQgbyDTi51ZxCsE3eCo5uOHqMk3VRvs
HOWitHXvSML2cBeX5wUlNqyWQv9hGn5kuX9RQPQpA/DTsBhRaDHkqdVfKuSqc3wNaJFdTlN4XYUh
tzFxO7dqLyLelXTjDzDAe+iM/ql34lsCtSmHpYb6OtxHpnGV5T9kXp4l7rhJ2pndf14E78Nquo97
gh8b3qAttqSc6yLkxoGmV2fvu/jKiK8AiiLu5EUnavwqU7Ed9eid0zyq4JtpBJuiRzwudSh8RORa
8aoy9PWQnWnFu8YpNpMsfvR1dtZoEznbvWNeACSH7tpcplJu0TMhkTfXqCqtOju9nSCT9/CNqm44
6XOPAlJyCeHtyWHcD5J7F2BBkOR45n6OKRC3M70SIUVniigjORepuA6mq4bosRr9D5b2aYyqC5U9
OgGsWivdDLLcjvAK2l5dm4E8b3z5NZRUIABuKP1R6yTcY2y1agvZ2gKj9U8RvC3UxdriRKGvkaXm
beToR/ogf9PMsRd3ShlHHVvG64k6OqqGd4MfbDQXCEkAO246hnD4m7N8qcuNWmtmICLUXzTxhxSb
Yau+VNBaX78o/qYtspTnVlNGkkIkdZHrZ5GPYd4wHssfD59b1uKKcHwRmlR2+4uhvmq7O26AIx/8
N92tpSaurWTeZw6V8hZ5iM6bUAZDRA6z40w/dr39TbPBWpzmlpMldTxZLCxMjiJu8BC0KZedR0iW
hNGHQD8dM5dzJlwr0z3SrP+7ZV6c89kkdGecH6sKHqQzR4Zw+pAAeH2d/27SFm0qNw6CdGpZZ9/S
cSK/GIwGAioidP331wd4ohkcuJAtY/+eirwGJK0luQHtcT6pd2EVXseF+VX4FOmx5g05WRvxzekG
0tvkOvU+uxUpyeyEB+EOlaVNWyAc5o9ncUFGq+dflZ3uGviWNO9Oqk5soyi5yIimj3zjv1llezEn
uj36ulcMtBphGNoBbQU7v+yTuzi474vP/tCgsubfT0hymYh+qBhNH0dD0qxZaT2orgJqZw0Zyc11
WkoPmfYtQgT+9e82L/qBybQXk1l7kUBdzqWWCO6QS2SkPvj6J1vz0x34aGtR1SnJg0VrshOaLLpN
rfG0TP2tavqdYY+nObQ0TRSrOk82CNej8oMaR5Z/VBCEBEVtPztzo34d2V9EBJIyl+d0m1ZeACY1
WufOVz/i5I7vylmohLKmEIQZeILqMIR7tKD8Gjkt5NKUF5/VbrOVwX3sPcRWsYUfd1aM8cd8HM5i
4MZJeCtp5mfYrLbqi+eZ61qdZiHSD9Pw1RzMd7hGUyWQR2bl716PxUk+xirwSyT5L0SSUwRJ1gOC
wZi90cn9A7/+X9+G/+k/5rc/p7j+93/z5295MVahHzSLP/77KvxW5XX+o/nv+df+89f2f+nf1w8d
xPd8+Xf2foVP/mPkzUPzsPcHeGVhM75tH6vxHXz0pHn6eL7j/Df/T3/42+PTp7wfi8d//f4tb7Nm
/jRENLPf//jR7vu/fp9f9v96/vF//Oz6IeXXrvOqCR6r7Lerhyp8yB5+29XJQ/a9Xn7C40PdQPwx
7Te6DXZLd13XdoQLaql//PkT8w3/yRZCSdd07Pnkz+bP/tfvhv4GyQWEb3ShK9eWM1mrztv5R8J8
I4RhSOVKBynkGYbz5zfdW6y/Fu+3rE1v8zBroCHtX/Uun29bhm64QkjUfsylHLbQ4iwfPGuAsljB
EtbEFydG7C7KUDQsM7q8QQUG9Nls/fEdno+5fwjMYzqGbSvhGpApbLE8WYvaRQ0kE/3t1M1Fej2b
yNjT9Agw4gnf/9eB8DSMNF2EjVwpwPk9SRw/SzREESV9aojuthJBdhlEKSlGhGz7ZBqbSMPXLagN
/yruscnI3Ds7Kfwjh92CCMY3MEB3KJ2mvxSz4d3iLQSp247UFKtbN4fIS/itTvqCLrKuOG7t2orP
QU0aG4wuw3VadsZOi1GPlrlK0IqF6GvZYO/pXCGd2Qj/wu+oDUp0Z47M1MJjc/6ejjItg1vYZEHc
JahYJ6GKbGFmt5HMYOhmUQTR2EcGIEuts8mYQIuqqTbXSpbILg0BmVhxT82LDMmcvjecGN8yo5HX
kV6V56mXDFeBB2kvMZCRa3opTwvfjU6onxVnJoreyCj0n4WsXW5slG6CWnTruNGzL3Y03L2+1V5u
ArY202+YpL46KlGLJcjSURs7aSIOS9PqvMwEYpiTFV7qPUJoqkr0dWtW/TUgy34bZCMiNCoZjlzI
+1SNeXpdW9nSFDa6zspYoiHz2u4xG4zi2z5rjIsksT5FPjqdEnDDyejcqMkXXNVVcGz7zc+29wJY
NM0V/5MsnuE88cKevQCNrurOzlL/tndGuAqu+JSgF7hGb0DbeFGtzsImuHM8Cy3cp1Sz6o7BHRey
1Tw6Dp3gpWwLZW1buUvN9UyoPAPgoG7QcahPHR9dhJLE+52fhchAe05yKsY7049uagPbmBFjrDqk
fiZaGu55WOZQKcvgxO2SEQI4aW6YnsKVyzZJIz43iUFVGGmRSf1STe3pW9scyLpB68s2rCU/BV2r
oh80Q93gq+3cjVbfbdEC9o6kKE+0pr314dNdyfygMkEwvHSVMAYQirnjTjdhlNI5aLXTASjduZvW
JNrUsUVTDQ+SiDNssVCdCEMBBDtHDuMFO5CHtZHbMF1nXh/JVl2AapHdCLIun4ybTHr6tdd6V9ij
ep+7Rrm3jVdQXyFuEJdGGpk2qovdV8sq6dK0hUN6nZZxfo84TVCrPqck2/vaxvA659pCBQU14sA4
Cxp6lWVm0kFqK/l45P1+cX/ZwnWQ1jaEyz2mL6F7fm7aVhUr/QZhp8sKPcn7WrK1IgfPi3UlRoT/
ulZFV1FZ51dOaDrwaIbO2zkdTJATM4hnmE4gvli9XV+5uuOhcC1HH1yVfsw85ImBuL/eBqKIjm5J
rnbg7Isg2FBDnNZZ19zIKC3fGZbVUB9H2nyNUMSJpvnQRLvMISMohg9pTjLopQIZ1rBzOWnLCNGe
2MzogeNP09xojixPgixDc/1pSv8vxHM3xWN211SPj83VQ/H/QFRnzIzsvw/rPmRh8/j9t/9VPXz9
DQZ/9dA81s9Duqdf/xnTWfYb6erScR2DuALBOZKOnzGdJd6wvIbpuFyq0pQz3vPPmG6OAzH5cwFH
OcR8c0DyR0xnGG9sCRXchaPicFZSE/mFmG4/vnIY05GGELZu2Ww2fYnJxZE7LYF0GYg5ud1JbKps
h7roMXsWtXe7/BwFeW1lSuVI4sdF3uXKPpRF1Rp0mCxUv/NeftFa8DkYp4eXYs4sy45G0tQE8mPS
R/nts7U5EETulxWehjcloxJLcm4ZT7jKZ5dbgnpt7tmAf3qC6K2W6jl9QxQXZEWy/fpQ+/f3n0MB
72MY6tjLe1QmCTpV2mBuklKdYG32vrcTa51GebmaHADDHbrjq8YI718f9sAyMr+W6bCI/B8pWYBn
TwivU7OSlBuzDyJvlXpKO0EX95iR3X6G+PPhiBOYSwM8EVH5/iixIe3J9WhH6loAu2tIsi8a44KO
Ss1L1Bvbb68/1eLWexqQ94W4hEjTdMzlfaMKZAbbHqiaarphLawm3WmRhfzLBDMcwECi4XZnx6lz
0hqG/aOf0i8IQSCsmoniw5HvMk/hXyfyn9/FNA0iFC7h5Saqw9FxRIA8e9p1xcqwUd0Zwhvsbzf+
DNGTBO8IDtdXFt95R5qxasPc/uJHvb/R9LZcv/51DmxpZuavb7O4H7j39VChqAI8wkg3k1U/6N6M
181r/Y+kneT7cNp3YG9ZBKSEh6R8Bq/v/qqjU9f0/lDNb0+tdmjC3QE9NY744h58njn5Irm0yPjm
u/vZBqadJvBKN1hp3tRzqdNGHhzUNOMJwMc/mLpnQy2CGNNr3MGOEA3XnSBY+06A8XRbXDV+HW9f
H+ngzCnJtHG8Agycj8VnDyV1fzJrTqRNMdTVNnf08qKX7a8VTeeN6ZKNO0TtgnTMWrbfKMQTgzpu
vrE8qe+ydBp3XZykO69t61/eda47R6C6moMSIecHfvZAAcvkZSaNkbRPm49p5GtnE7iRj37tVb9E
sf35VBY7jptJuo61PGuaNo/KSgHaBKRdnAZ51aGxWQ1HVmg/JJxHYWmkMoynq4G7Yf+BRlsNuswF
yhqkRI92LaPLGn2RtW7X+mlvgOGPjM47e31bvNzr+4POJ82zWWwHp0yxoQSC7gn3o6shLGVHOgh7
kSj7yGZ/uQXnpRIWRQ2y9qew5PlYeVkOyOrZNSvmgcQbVHmOVpt3pPP78mJQUllPu09xLTxl1s+e
SAo3Sb1uFvQUmjiTdeEg3AVvSPYp0yg060jSdWDZLEGG7hoOlGO13ByoVKC+WYl2M9VwFgBw5YgP
OgOlfZWN5yXWiVvl+cf6BwfWDQXZeRIdlzLBUhTJyQNfqjRoN7GS1trOqvQ8oUS3QdCtOvKAByaU
HEuxMeeikLGkdgVB2Q3+gLfDpLfdTW5V7Z0+he4mL4aSTERBaXl9Tx64arllgZoJ4haDY2RxKtZk
9RS9w2qDKyjyu3WT5VxyJeilpJcOoLYS4L+dV9YDpkUAKqqmbd4q6uJvQ1WiX/r613kZRhHcMscc
aY60ydn2X5GwyWInTTAasRA6QIm2SdDqFE0TUwLK/PJdHY00bcfBFtM6ikT0axS1p3OBc5kzm44a
E7IsOwLqNUQfMD4Kld6JzLQCw4+62SS1eGgjRUu/7Zsjz/xie9mkAY4gq+ZQMuxlrxNRbzGhsAcM
S2RouVEfh5cDHWXMj1FtXy42Q3GS20T/BkfDUoioaKRPXwmrmj4TFSAux/BOXd1Tu8puJGDOsgfQ
lHvRdhpr2BOGFzg7tzfbcycBpbV5fa0PPLfUWWblCpenX9Ze+yyZGggp9aZJqWM6mlO+sxIRvMcX
Ijpyqbx4rWxdChIeEqd5mxuLkxe06OhpVgqUU8+DbRVGYCw0PHk8dFBO/LF1P7/+aC9OX8bD2oqK
ok1ty3IWFUVb6yKn8jgxkNFU3+JhEieqqbTd66M8zdBeaMowkijA1IXglF8uZ9R5XkjHlscqYu9C
1CpGhBh98k2jhUgBjmZVbeMB1GM04Ecxln60deIBdkXhNrepFvvlamh983Jym3D7+nc7NAOWSeho
OxSOHXcx4wDPOs3OJC8yWijnHWL/J8iUBEeix/k4WEwAB/McAjGELfR5iz27f8IWsGhiTfVmxPQl
WAfdFF+GU4x8clEihy81PbqqOVI3Ru5pZ1aoIAu8/pwLQRJODFs3SeEd1mE+tpecfr8UMTqj8GN8
6kRb4djepvSyHCcPA33mpETsvC4oluupF3xmj6pb1BvSrRvXyMpNlTgrdCs6ci0fnBZLcHxSs0do
YXGK+kZuOHHW8mZ5+Yx/KnRyhbHXG/wp8iA+00M4PX2nJ+cjtt9n/WDl5pFD7cVNzbTYXNXkpXPt
cqlzVyWupQ3OvDUjUd4UzMbKjsd417q6+jFp8OLA1ogjr/mimTIvhrQsnYaKkFLMqfj+frDRVtB8
DEg2niM/mdV1ljdXrqfhQ26ubKmt6cPtJGrrcPcuoumkywD/Ot+7Wm1qbJ0sv0EDevoloMzTd7Kp
r9NiohTkUAfa/06BEkOgV/a4sSrZXsZ9bVzXhShvJ5MQQoum6gYIRPH19W358sBjSyqK6sRIUneW
IQseXH3r2rm+yWonuhh/xPXWxKZuy9V2TI7v5UrPbUZLSO5Neo1LzEvamyiGTvG0saKweivTCOIi
rqV3cVJZZ7ibupeTNI0jvPqXO3welCoZJQ/ujydWyrMXX5iBl5Uukxq6zGJgZNG5P9X1WTIWVrZK
MzeciXUIJieqhZ9iFNPu9Ql+eXkxrknAxMVC225ZofAL24qaGEdDvWq9dUCmfOE5eX3fV4lxZKiX
R6kkIrRtg6VkhpdFtCIq5nhsGvHwsbzvaeaFH7NW3r/+PC8HMelB6TT2lCWlqxZvTuGN8M8bpE/H
SYhHLYeIGWYiPhJtvtyWjEICoOsmFTcCvP13oR+DahBBBL+7rZKdXWMRCfQi5LiuoXEH4ajcX76H
5stxbmHP1wRtgMWI7gSnRG/gy7hCP5NVqV0ZfWcdOe0OzR5nzpxp0RIinl6MooMIh9bGO67Fw0ZE
yPtPqN+f/PoaEaYLNbfqBN2M/VGAMgHqDdHBTQRhC1w0+6KN/OHIdjuwRjDuHJ3jY67HLLslYEE7
CmsuMaIxGLs8L+1dqnnlO9NER0zoQh6Zu5dvkkmXn9kThjlXxRexElLpURpajJe6cPFkpOHNVpkJ
lI50GI7djIcezjUF3SDdJdJeyrjUSUPBudZQsPQasDyA2iLd/6Hr0S27Jzuy2w/sClIqkoj5kJqv
pf31Er5b2eWICk9ZlYp0CchoEyCn+fquODB/87skdBtoBiWaxfzlbUd1UrPaTWT6j6kXmsQ58r7h
NDr9JwORn5GaUptdbnKtrSopComBXltm78o+g5tFpevSm9ojh9GhRxKGlPZ8hdP+XFQeNTftQtdD
SlyHRXGL0YXcao5WIIA8HAM/LVqb8/U8l7X/GsvYX6TJDAzfdci4cZTyL7uqSHBwc6YQv41MeG9l
Q3/8JNWEqNedqqaMCKoAJVdmDjGfHOFrrh1P0o5tLERv12NvYJGgtw6U2aGZ3g0Zthfvew2P4crq
DGM1xjO6OZ3y2Nm8vj4LHMPPRzFsYi32HC2dJURDq4IoQNWw21iA/KDvS0CoIOo+jwCctpaCjON4
HmoaADLwKq5D72x0zOIfbMd5Qk0JlInYfxHutCP57GhU3SY3RXnqG4S5hW63p1SPrCNDHXiZ5zCP
QMedT3drsfPHpsgtm9N8U2Lpe5VJiYXt6GvFZWWkPToNsrSPnFUHR6SjYJGx6myaxWaxgOCaXQyL
yqRqskPbrj2rlA/M3W89cSVhjt6+vqYHjhCTOIX2DjES7brlETLVLgs+9ptAAcN1FVQI37CjIzvn
wGOZ3Fos2VMMoOafP4ummsT0kOxDHaSMCh0uaNKeg/OuziY9rG60ejqGPj20Uzn0XRrdFGCZzcUL
nkZGZBt5M6A9C2fMH8v2ZALuctJFUY6BbKI9pBJdk41LB/FtWCn11W2JgY6cz0/KzvvpI9njXKLn
NqDqtARX+NjFJtKH4apDI95WcZzBneAYWEszaC8HMwluZOZ2F3jnGBhc5eChowEquDbhmpS0xW1i
pDoFSLiik/skgYA2O3CCfJN4vIroO9CmmlzjmArmgfNxbkeBnCGaAhu33PikL/pMvMF2dwwB4tra
cKbSXtxmWd9/+/UdyI7nlVaSaHcpkaVAa+h6mjJHQYV7TD6bwQ7Wr6l6PR1dJu8TzW3XBeyyvCp7
TbmTUWQDheTCO0vqKD8vFEZdrz/LgfyQBTdt8FXUj2mxLycuC3qdMKRHr8e3v/fJLCYKE1Ftjdiz
1U5PfdWuDeq6H0YvzTA7RIb/uqv1ZKek/UPvnfTMIioBkRX7t5bZQfgeKXKcDULvPr7+XV+mVXxV
on3iFGbGWmY4Q2ihF5Mz79Q4pt1YhClaREgy+JOHikFigP8RwH5eH/TgxnLouz5hssD87B8EJbab
Xa5yDK8Q6ahaBJh0vexXvpp+jXvxx4I/G2lx5NQUOCNIqSx4l1WbbIySq2BK+iOFkMPPY87gMlu6
9vJGbBvb96jEDZvchR9f+a2OBlQz8WYaCkvS1yfv0FlNdZX3kv1Lx3SxuaLYa0ut51ADLipOxhyn
NRjyxZFHOjTKXDal1DFX65cRbOmgsWta9QCLoW+3YsSiMQbPf+SiOzRxz0dZ3Dux0OtSoMCyScnl
7trcwot3yMePZuH1x8gyB6rSVNDmCi31bzCmy6ZHD6NRj3y0DeA5YNFqumgkoTXQn3d+6n7q0bQ8
H6RbfR4KPflgxBZi800bXpjp6NrHToj55lleCTTO2P8udT3bXuzLziaU18y634wG3MJeG+AB6sGn
QTjVaWBnPzoZ4rQZ+udhU08rewj9k9H9Ndn7ny8H9Rsqdw7BtrPUsotaL9CHacB0TZXFmdWJZpWX
9VHw8xytLJ+VtpYAdipdiuKLDesUmFDjSd1valjZFxMAz7cx8es1d23tAtGzm/OwRl86GmME1lxc
qz3huJ8NKnoPY0dF6MgLdGjTPf8+i6gA7LPTmwO+Wq4HoaytmADaGfAkEPc7MtShtwjd3BnUSNok
luWOOCYsoRPCRTBKvK49c8TBLva3r58I81uynGCQXnNJkozTWurI4qTidlYf9JuImB1eyZTGeIPP
rae3ph6nKNyopLjUx3p29vIiaJyvj3/oKWnzGBSBCSC5SvaPc1q2vjP5FkZlgUrPyy6q1kWcVu9e
H2VBiP65XSEoUJTQ+cdcNnIM3JLaxqXwUckxeEjQSg03ztRq78dOWfjTD7NCNNBEdMSz4JsVKyw9
/Q5szG5qhPapN9AYWFlWVWindYFSX6oldnRkKg5dp0zsjCpwKIzLxVSUcaljqAWlqTd0/Bt9TBP1
vnFuJ9dNz3D1y1emmVrvX5+Z+bBYrv8cXJpzaWgGn+7Pv++3oRGjnIKfXxJuw6C+bbU8Wre2dS8a
7UjAcGixHaafVgShtbkUtjfy1h6QMu2pM7fGuUT9d6VHVvsPrh8wi/BK2NMg3eZ3+Fmq0InYctKQ
eZSDvfWbDPZr01V3r8/bofcGbYK5f0bLHTrh/iChOSbE2fQIykbHHi8SqYY6TZxQx6+aL55mqi3q
DhAO9F4ceb5DS+YAZVA2Cm10Y+dZfvZ8dOm6KAcotJG+hmNzWAXnZaEJ3GbtWGB6rqfxh9cf9uC6
0UWyKU4Ct3rBTcuNtuMbIRTYK1RvZGxuMIv5NUnvn+8oTwScDpQ9SPLFWR8GleH2oRg2HoDha4mi
/Tn9mGanz+bhrz/QodVzAT+BbqVYBMp0fwqTCjtjSyC54voS8yxlmB88p8nOhsrXtinrvvO1sP+c
GZ78B1NJ8VWfC6Rcnubi8i50p6ZEi/J/KofwY5hDC0/TzDzS0Dm0YFQ2qEyRDzmkoPvPNyWRHXao
YW+qGu2PVPUopuBjqf7J6e06QIAdIDYmmKj9cQqu4swuyE4nNYit6lE5wVu03Ly+WocORjqXhJPA
eJi0xZyVPjuyMgdUnkyvv2pDLwm2fYs0UaWryt5UYwoRRE/6I0CXgyUAWCeCoQGyUc1ePF3W+I0u
iDD71tR7uESlc4vETf2B09E+87qh29XgQE+nPOpuehVkt8lUfnn92Q9GnopAheoK9RzKLPtfwpxE
nYuBtyLpPeMkEao77Wy9eIhqLzzFEtn8rhuTvCdbqNdDUjcoFUWNdesn0THZ4kOb6vk3WRx5UWbb
RRxgNWzaBYo+kCJOIlWVR/rlB0YBOM7lQOWAIv8yILCKxvTxdCLInro4WHU4pCI+lxTiyOoeGIfI
lRiayj5R9LL7W6TCKNK6ERsrqNPLIcq704o+z5Eg7sDWpdMLy3HGuNEfW9xFmZ6VlSUDsTFdreLQ
tMdvaRpnpxUgHTqBvoWtL6CH09c3jWJPLC51tqtJUc5gSJq6+3sGS5cyQ9VBbPoyMN62sROcwDwZ
1rGBhlHrjdX5FA0YaXnBuJ7iojimuDc/1Yvx6SjAKqAZ5CytppCICuLAx7xDiRZ1VtKhrZNV453T
az9ef9KDI1EaI3CkF8SG2X9SV4nJT1zsVvvaxXjFbMvtFJfanS6RjXx9qAMbBrgMRNe5o+sCXdwf
KuyjovdCV2xGMGarAUkA3OuDY3ZXBy53l/wNlAU4AdCfi6VzK8urKgvpbr90gDMpuw4+IWGdTKc6
xub+lZ9lcXbkyQ6AdIiWng0676dnEYUd14HdKERs2yRuSdaDwDjtTKPZTqHCVjdPzexUtn26NTUH
ed/JHcSpQlnqoxFqF67XbPMQl2/f9Otv/2DOqfsyG4ZOtruITlvZgvSi7Loh/y4vxnRMUNxMm18/
clyp9BnUR2RNqrX/+HXSO7Q6DLFJZkXNJE78bQhw5Mgs/8TZ7L8WBPVAXch06MmTbO2PozvIo2i1
jz+FNjk4qI5T+XmSMLfEdC9HdHcTt0JSrXNn4Ra0at7nToFXai0CBcy49bJrX8sgmaKqKlGanERj
vW/DSvNvOOmyq6GdUAppqw6CW1diGnBepipAHNsdXAQFpREVJ2FVOf7G9v2wOMnjEgr/UIRoOVYe
Gj6NNloXsRcM49k0tSNlgwZq8WUaBCPYRsU9v+qzUQv569oYn6YekK2NwyFWrcNqAKGiY1dvboTh
14BoaoFLe+XWyA30SYggUmYm7laNnn85WsX0oc+niLpdNjH+4JYK9evOxDXV7SuvQfB0LJp1CIcj
o00Sax6fkmNkbLBWFHrbuMdjGGlWY1MquHtVNbXGWWbJEENnQeFuHRSR5WyrDjTPqjbqwj1NxBgH
9HzymeYS9NI+RdXHOY0cTSXnbtXWKFyA6ERTNachdlFj3+RvAAjNUjpmYd95A/yZjTk0vbbKXRX2
65xae7zO69CKP0g/HKwPsVujrWhhrE71fZjkiqROg+DWhtSkCDkxR0dQOPyE+q8D20h25VVeasVn
y6olerZOdY7aAoLQvQhROkDNXN5lFEdiAPRjqZ1rHbEYas3tdFaYniVWkT9CPabZDqHS8mXUoQLU
ol8XYhr0rrZCvK+FG1MQ9xva1qdJa8ewnT3PuYxsp1Ir05sMRLjCQf9k+Pg1rBorltehPwZIaQfc
IztKS5HEI9nAXNkeAtS+SzhLuH/CG0g3nmxLNA89AHxIPU3BRrVOrq8F3MnyrHP1or0xnEz76BVd
97ka4zZeOz19CUTZMvvryI59sN2sv6lEVly46ZTS5NZ7Y0UWpdsoykb9e91MFQkW9OZzJ3ehkADi
Ec1a+HnToMAxpJisj67vXutNrbSzPlT+cN+6Lq600WhI7O6xn9b4d5JGm6TT5Y8hM7UAReTZS0+r
tB95SFFnBXcn6pHTy9ixepaM7ziIE7Wdsin9ZKUZHiqZTzlmTckx+BJhCLyTYZg+5nUV3vZi6KIb
z3fMT3FYRujLAXwyVn0QBPrGNSUiqLkL8xR95EaWa0jbSb3DeqmuVok1hp+yTq9i8Bi9l98OxqTF
G7elx7SeVFh9t5wgR4o8ybJi5TlF9wV18r44Kxts27dO5FufAi3pu1Nh2J6BolMrb+JgUBat1CE4
CQDsaFtc3aZ6FZgjL2WXpWm7NWNV6FunchJ/bWiTuon9RHNXmscXCS0HWcyERUtWmhrF94o06jpT
svvqV7NiKs59aEFZbmx+CqELYLbuFFPPFkDxejOAdKm2gLGEu1MajHiEd12CxUxpNu7I9YSyO++y
jwD3LKbaeXAZ1jjJZtpKREm2U2ZomquwyNDiraq2oCpuG02wSoYSlqjhR0n9ttUMWtRDELYwsVEy
LtCMt7royja03lqHU6VsDOCDCrlh1aG0XdYSc3LSouyz0es1MvNdmkeno6p4O9GWdFNw5R3yJxVs
dqjCRthy1WQcCvTYvQbkmJLZ22FwrTsNFXHjpEymKqWVbvcCIbc47Df4diIs6QHyHTlwKH+soAFo
bwXStP3pYCOcNTfb7Ok87epMRJu07BWg4taqHdSttUHzRP0VHF42aG91rZ/sadXoMtSSD/kQu6gO
JYNn0Lz7H1kJkQ+eurnp6jC7prqm7iyOovfo5cAp70pVo0hvJ+dRmeCUgNwfB4tWrqvSMT5AEkYx
2lZ19cFB8JEdleRadiT+fIE4RRLDoHcF1IgWADAduX/T+aAnu2xQJmrqqOGVKGZqwhuR09eTTd55
BL1ZVW6kF3/nVkLVPNKcdQ7iF0MXDpuirX9m3f+fDPw7Nc1nIdUsIbOn8bLLvgPBr8OH5wzgp9/5
U9VFvNHRbZkDW+LaJ3z2Twawst4YBFyojnDiPmEl/sMAtt6AwSOlIeSmUDkXj//DANaE/gYgKahq
EhAFkJ0Cxy9QgCl8slP+ipnImBBXIQwGlzqDNdhU+zsppWScWbBmrtgYY12rtaaqVtuUY4UfYG77
SLrlWA4gjVSYIYK9YSu5G8rewBEwNe16Oxq5Zp9D5u/mvhquW2h9u6DKM3PkdMN+RiIE7fotAs0k
VNOJH5je1wCgZrCJjdr/GnktYsB9XVtccfmQUh3vUl6lHX1/DFWnbTPFmvalVTTTvjr4ElRbB4IQ
h38Y4FrgAq6KMc5QfXCXTK3XrEfXkDgT2C4+G+v5+aezULRt8n5+Dn2l2TFR15qHRM3Fd73oo9fJ
SHwteifLp6uuiUV64Q95gjppn9TaXaRi3T6ltZ69RSGggBlBnd/g75Be+NbK041K0oAHS51eGDLS
7XylxSKzrQ0JsI0mS8pYd5ZsDcKGYeCY1Et9/pU4tMf0gjsw02su3UjYp54WmMZ970R9/pavyX+x
OWNMrGlLLEDMuELUsDL49c994xbuRZU7vnkHjk3dt7XmxevYLjrivZkFYXKZtREpfuzFffso03zM
kRjMhETxq2gSxA3odKUrC6kxfavTi/W5tEQ8AOC1zfJrUDZ5fiPJxoorr09EfNqFkyc+tZXlfyrN
JNZuA702m7M51qtPimiw6hOPqgPKTEaWItDNHzAWB6tyYTugPHZh3zGrKVlGf6NNUxQ9qv9N2Jkt
x6ls6/qJiACS9rZK1Uql1pbteUO4maZJmkwg6Z7+fKj22Wtaa8fUjcPhkEsUJJlj/ONvmtH2LkAw
NXmTrWimg+y4dd806KD1wkwm0D9qujX54HNyxYcRTbC5HZlodJvRqKLaV0KOCSEAiX7N0iarTuUg
HASXUllyn0npSnxQm9yvvwrHgHMK21f+vW/r2fxd5opnXad2wD5pt524y4znFd+5z9nytPZsbw+2
AwXblgrs9pWqW2L0i4iv7L61XmqCBA+kmYUmsXXEQ1ACHTUPVaEwysAPPs6OYJyU3skMT/+Q4qSC
9WZGUgfKad7y6raMJHdcJVknbho3K7NHahdu3lAzKEECxbuAA18YP8z4Zde3MqVh3KB2D+5yGP3l
F3vwyNZx47qMj6YMRL2ZKQl4oaLC6k8QZshfzTC3MX8PUcHvG3ja/bOKQGU2dYe7HAplGX+pEtmY
Q+0N8d5RIsoudgNf/xBOWaaOGc4mzt0oCcQ5OD2C4z1R6fyZ56paXkkM671fs52qe5TCvrxcL7ru
FpavYfAoL2E28Xfqi8V+jYybhZuxJHsBnMtSTwmE0urWxjjSupmSKccMlEwKbtxgL+ZvpBXcn9Q1
Y327JGGivzWtLKanuS7zZGfcXFrHOhzn4BwU82j91cks/9WUE8re0k694rlOy0RklAE5Xt+boCYp
4zZFnDM98atc/zTrQeU7qi4CJDIllmSnhJw2wsmZZvW9O1NwJbMoD5EjodQVcmzI24CZFKanJsiL
5fX6TeWE2faT8XCi+aFEuq7/wOntcwOlelelRWf/NUT54t4hiRzHQ2MKbhVOkXz3BKfi6paZg0Xo
Ue0l4gChjBsWzV5vf516DLzbNC7mrY829bZOPFfehnlZE4rS1OxEkUozc8pTgwNUJfoGI+vS6+NP
TdrW2S50B9KvdCqGJ1KVOm/TVeCMu973ubGOs4TcnW5OvXGPbWuEDRyWNsFhMWzIeytZHN7AXLGK
jCVVwos/yENC4AQtg7EW/FhH82tRIDXP+PAUy9kMtjts28HV3THGyXWjS6PFYXQdnHvckhfy4sSL
pZ9ncMjsu1lA7w7dPKUJv9N1vtM5l9gYZ7Ktp6ey4Fud6qlhLVtTxT7qgYHz8lQV133GQBGWUOCq
rOazxyYmTwcvYFlu/IpKvNk4NHXZKyEME81OltXT/RAmRYrZixXW0EEWz6TpY0EXO9z50VSsNTYO
DfxiIaaBHDmMWFY78MCpbrxCWv4dmSE0tlSvPB/kTRMOipPrT7vKCiGmtvkcaLYmKdgF8hB24gNV
f87+PovZ1YeuSx1rx5IMYix5uw478tyzNl5PyNn1x/U8et3++pbN7czqcFDvli/5tPTB7fW969kA
52OYODnjKawY4qda6RD7V+H3y+dCu9jAqlL15n6eWmk/mbIuOW1FosUdzTSfxw5CBI7cJElPDOSN
inPe0hSQQFs3CGiG6Ck2cWq+wRoNq4eFOBl5sccIX2kH8396YSU8uKOZN0SrU06oeT7Xl3+QauDo
a94+US+KhXn9e9erwXqZOdU5UqVAIbzkTdJgMhxIdecQXZZdrttV+XbwlXEkl9fra5IOCUfwhBXa
OKNhq9cXepJFlGIu3oW6N0QWDSOaxn+Uco/XKugPA7oV/vpPcYRwD9YbujKKLS9iRvV+QDEt7tim
g4tazktLdmkHbv9tVY2Z2WtrSaMnAAD3ya3C0scZWJpppxnyTV/tyg+Li8N8kZuz7uc9MckWeVcu
pbp3YMnboHzSNMvT9ZMjRwfVJR01758xMXcz9f1yLQtcuu5o207BUL4ug8NJs8hGy93s5S6e6rOa
b9LBd78pdxlXi3zuwl7Ga5RRWfttePLsQVxsU6bOxY0tveBmlgoAXI1B28h3yaG8p6nFau5ikMaT
KBsbQYaZ/I96lnW8+OfNRIguGGahhFrtpN6hcysRzGk4Zc92nFntztI5hgZoFZ3efZiDJml3hUkd
+0b24MBbodOlBZp620ntHA7HB/IhhnV/XNBqYwjdFbTZZ0ixjkPfXVC9pElZyLC8zRj1iENmj0p+
LlNvKp5BGNvl3DBySLdSVbHcU+/w3mdZaQt/A4DgveY2ZPiblOee78qqGygtncYBZRRDD4Fcy4CH
RStahQP+Lw38a1XEkAza0ckuy5wY3ENarzc/FJOG+KtV9DCWR0OWUBWrMj+zNSwvHhJCsu/CX6rx
iPP1y/scHfpujjGVKTz5POXLV8hBABAco7DQgUamxd/WvX/vNM2XcmFEPgfWBixr78ps35BqxjaJ
wYZ0N93qSh3p/r7U1pNRFH5yPiNOI82in3GuSeMneyqiizA+R1jsmo2C+4wByyzPELn242KmiJYA
S8ljYTvdtEPo+Qz4VR+GxnjEeeBF5ddTsq1dpL6bSA5PGFaclmo41XXwV6DGV2LDpk0yTQRbpM6z
4w0Xi4EL637BbjYIcAUPiKOzPRzcMifo/gbiM85hTP08gMexpI9lglXWTzts/OI+w/68Q2Cx1qNI
L6L+pVL6vq3lPpgD/1hP5WUKw8eQ6MJUWBdMzh9SG5l1Lix9UGr+YVp5G0yk/IGo/F1M8feuDton
Tbz0wW+9/EYUK5BlYvA+ASSXzUW2/jq1cYb+MzRJpoiufTMI+ZjBiLBAYsqs+SVmDNuZNyAQKMWn
NiMaDe7HJhgzoL30HI360UqIiAsgXTNGYs44FD+hrh8m3W77siB9izksAIq+p+rAWtFD/y7Dx3Sa
/wqs4GVa8u5WhUNzaNIl2tJpiFdpur8jwmEXpJm7Oa2HnVv6r1Hc/bbBxnZLZn6lafvZFQaTcGEp
7M7G326yPAUhMHRSRk9iqc7SxDtsy5MXlVPtW/NXhvghyVKEMmFffx79BY9MrYd+Z8VuTizeQFmy
HbVjbdit74FND2DWt51v/2ICMdxRYA4kxBUeJtLjJTXLvvKKS6aadMO8dbkJe2bqFc5Xhy4Mvxee
8/dSqictxYsvk6/zyF3a1DJp7F3uhDuG48N+qvytbU3Y8I/ScMyNns5/EIjg5izyFmDPdGLpDvi6
LZRt0P2SLYpEbDDAhWFA4NiMt2LZJgmn4dznd4SJdfU92it/uskTB0sLwTmMc5QsfmHKTy5Xm/p9
PlK/1yMBOaLv/wqLqrggG00lOFsfJB8MOcUK5/xz6wT8ghfJgBwe0UrMXUdn/5gfKcIBCX6T2VE7
aTg8j2g+w63dQK7Y5aJpok2Q2pUDFsXdgvLDFMM9ZJ2kwARGFcNz1FDCnIvJhDiINnkb0nxShiIT
6hyD5z7WfmQk+prSNS3iMtmEPibRdybzsUdJcMfB9Mhg8wFQOPDzXj/3KyTZNuNejLgA7upqYv9u
AXGtUygxlLg3jqEExkkQNMy4Qe++pBNMuA9OaOSe724Nim+bmRIohuvHMYLjP2/N0oWWJzJJolSv
suXVVZhGHBxlrHWqR+2osScBbxy9zDu6Ki/Se3Y+/sWeDUVwIAmzupgxrxJ2BbIWHmstcExht+ov
9RCrnEDDRpNf5QHNR5ucXbveWlO0lCeygPmGGO+M/tEwqvl7ZpjT/RgW44ld4yfR07VibRZFRee9
dXI5RFd5wc2DhTp5sw8IvvTdvOOvabfzsSb4RnIFNZM3RlyeNAk1ujsRoblrrJhmq38rDiT3qdvX
veKBUWlTLniJqqYfbmePg8fQQtY4oLS5NIT4DC7NRThp2sl86imhZzLvKCOg28pvTjV2mkpl4jPU
2Flrp5QMtv6hGRryK7KRCrSvx3x5TSKDMXdlJ110XzJf7fYA0dyBuRnoF2qoKv//1/Q57OR9X2RU
JEVB8zliS9bxQ1kT0jfDa0Ul2wscvh7mtMLkHPdPblEkKh5YEKTrd1MmywBX3vqgOIupeMiSXW9D
v0zmb2AyrgtOsu6+JW7PfxtVRvtVvNXlZZZRyUCTi91sM2dknN5ef/OiVEH8KTD9RBCrfkMsrs3T
dbkaK+ZrhZQF3bmKEqXldrY80qmY/fSucxh6BqmHMdTc0WvBNZYZl+aIIQMBkfnc78u3PjAuNQYA
mtFL9sR+F+LaHcXESTB5qqSMtoHXT8NDmfZaPQ1Il/VN3Qext1PjHPa8Z6JZF7Or4tK+wXDOoSpI
8ZBwf1cOGtPPpZ0F4U0WAkCcgiTnvuBWS/en/YjHaUufu8porSnDL8pH8EUwapNPm8yCIXFIVF0O
Nzx9E9wJC4VuuREUZ91OYKDqDpswrWj6mF7yHKROSH4D8VnbUYPZ5LfrnRo8xmaHJJML0W7VsGIP
4GnfckuI/keGqdNXz3SFOWPACoYC2MMD0e7MZ9VNx+Vei80A3S8rbqmpww9x5dQs8LHLOFmjicnS
s2aGRk5JmeO6WwcufUuMzV99tEld7E8AHB1gSDMPnd5xAvBWd8HMCxOqSn1LJ2Y4MKzt7PG6Woh1
DKN72lP10y7xdXzodT8mh8Kdk+GlpnDuvnmYEqzNZVkIsLyE73K7TG7CIILBPNc+WLZj/aoLRiDS
bWX+mrYWcgKt7LHexFZCrtaYBEW6TcYxtE+OsEx9DoegW27SEYeTHSASiY+4nvAC/s8OObiCpxf4
XVniGZ/11VG5aeh+mhLJO6HeYAIUhJK3oYNtEpBbuu4eYdKuL8h1DYPt8eXTceTLYwKY0jgYXeTe
a+X4Hb144jymbQ5ZHS/WbP6EbJMfTEssjdqtH4k5uOmZTn0OFoRLT844DhgyCsmC/RHSzsxbVonv
/XYMrPwtHaOfEMYznxv8Dcma66K4P1X0m6yTt80WALn0ua9+uK0jxoyH683zmKql2zxLnYm9QdPv
Nx6jd/qRYYUgpioka5kRpwXzS+fzJZQ+m1U7K5Hcu8s0hU/jBLpCzoLX4hCXcFpmZI4hVflr8T1I
7Lj3Y7H5pXrbs8IWV2zKMmrNcSPGgB0niOEF3As+V3Au4gfweu0u8A1hM8mNcaILfX/zc9Yo0y7w
bKmiMfc0ECaZPx7dxllX6+hCrt0oD5tWs5XOQIBvwOvgn8fMgqS0UY7svG7jdN1MTkbZr81cW/oV
sdatse9C2VoRFZ7R0wHEKOgOQZDP9a0SYdUc47knGX2rw0z7xNs22abV7kCVA2emvbnuOaUh5vNv
yxc8jSsknGA5Yl/8XLcEjnnh3Bx8joK/mFPM6tSUJl4ISq4qh/Rg4KXpiD1wT4AseyzRs+1S6WML
M8LGa8mrxoMcnMI9eMW0tIhmbHxBnIWe4WaiNBRH/H4X7hZSaWtAdlJXwx16KwKLhce7QOZdwglH
DclKddyiMCfX02QmzIxtSwCZwlZAJtY02webKO/MI2rIYhNJRCvqLwPDS8pVu2m/VaJgROD4g0Vz
MbJ4VlBkGIDIIQVsYU/4rPhiUPizAxnVG1q19aUt5k7tBm0z7aBaWXeDIK85JlnHb8ckfyAOd5pd
MteV+wM55foarXv89EQbJpoveY6S+rBYouI1GkPjuylj7cgKn8rOeJBEproHwLarbGkewaJ0+Iyf
wvoskmU9y6QTceDphgy7eR+B+4BDARHI6Hdoj+NSbkVf6vmleNtZM4co4G0WmsolrdrpFiw1NStB
7Ke3Y9VNHfada5lyLSH8t+3+CouOtlqvno0cR+Zl7oenVLJ57SvtS+954Nj0DjpqP/Lnc//EReC7
2nTTMGx9xkbYpr93KqfhosLq+2kv8yH0joWDOpftoGzHS+2pmTrVTkVQ31zb+ti2XP1jWYIkPVhj
7rpHZEskfhNQ7JNvAekhfLZwEPlKLlVPqtVgieQYeIXXH6y05lQblqktPjuc7ZgaxyoY79NmIRX4
39Ged/b267dCIcE8iLqAERHIwJ+lpE2scx9G6bi/VhpL4UdMnduksG8cSgL9jRecIzGf8yl7HooS
Byk/VU7yvSgppoillCUscQSDMMuP1ZxDBSD2kneih/4g8b5ecf0w7KgUOdZNvQmHaNB3cw7GhJFc
RrmeKbuOnwfEY/roLMvSXhLLOOkX1XVN98DZNYwH37NYxP/+3d9TcZGs4euKXRVIF0IFSMB/fvce
7arjDKQvLl5NoSilHYfnZZzt8ej5PcmkJgU33CcwPr2jE0qg9LEbXMLC5wbz1g8annf0cTiAjO/R
tjEARWJAWf/n1YSmi3WqWhcE3NjNqxCCxGqr9Og9bJ95zz4rqS5PsiqsgRCyIGk+4JK9U4muvx97
A6gEuAvgkQb1+s8rgOmTeX6RTCdTW67/fbT8RH2z3IF1TjWWUYIEjXWqDIrg3ZwtdrSHGdztqKZH
/zRkVdNvunguDhlQZwW10EWhXjekBDWCaMKLlWAs8MFNWx/RP5tEBsw+1c8qcOGGRO67RxgGlVvW
jUzBw2eQ1rg2FOSkrWuzi8LMZv+06wqdfM99rRaZPeYMCz9yCWWE/V+XgeKfyporQM7/X3dOhp4O
BGLYk1/MzP+cIEXSkM24252amUb2uW3KNPja1bU9OxtHR3FwnryQ5lKBcHvHTpSd+1AsNAmg229N
rMqHePyMd+u6aeQ2f1p5sgAeUtEBkTMDrlkTTV3r/OLXURaDPK0/WzgzQOMUG7af2kY9vmfaHsI+
sjgwz9f6q20VK7qNC35DLdPAPpmyIb+Ug0GsrV+vHlEDBu4LSya0DkXmyuYnm/v4yE0w7mMy26sm
+u06U4Vl/D6NemzlHHD1ZN+JakpfGINQhgmh7C+TF5iJFkur5rZyc898niff6nbXr5B2zB4+O3ZS
F79t6fV4hrUBmqTzKrUYwWlsmXAYpJ3/CF/fKr+X8NjMtjBZl12sjrSh7u01TX3Ax2cVZCSpT0Pg
JY8A+M4BJmKH3T30pLDZ2xKntEsHtGVt/dKrofElwJjNoQ/8tat7Q2TdRrbugzIO9xGruaU9xNLP
HKr9ZLIfWVZuy1S4MO5DG+R8a3iPC6OYsW0Y81y3PWeyYv9rmq0buRXrAYKZx7q5iwdiPAhesgYM
DZxczHzZ3EcsdfFjwyOZu5HVYJEv4u/GoJLB12pstbMRK5jwUIRpWsAogA76Na41G8OS91xklEj4
k9D4+JnIpIASve3n857Bi12iXUynZF+PiEbPrQWa83D9v26EuvVZDA3bNOgZ6w/LAB5f2fsslOuj
XMMzvOOUDCy1KZxYLhRCSfs1bpAB7yunB/rfEZzVNydZJo46Nm93rbICLs6JclX8HnHasw4yWjJc
4rqgKn73qbIL1ibf/sZ4pN3ttcaSgLRaZpClOtigWc92ViIdCz3qnEuWlnUCVOoW8WGJKy88YNk+
yNsuj2pzZmM13YtThfb8CaPjeiLQa5E+owC4mYQwkDxY28imXpKym6xTCRfjVHcY00yw3AIS2t8u
OZ0YOe1xYLHCo4CFXDWkhzpDdwe3le5SoKYWr0K2Mox2PDCTXbK4E+aEKUYcM/ZUsy5+BzpP/K/k
qLjjSS7ki1wyOyC4aBOCuPNDdcF7n2t0Tw9plif0hTUF140TqrjfubVfuusKmNpjokOjD4yxLTK2
8hoFjBVlNb3GNOXtEVJYOry0TcvtDULYhtSW3RhCB8wk3AGfOAzvaL+9iyVLLWEKSPBfQBqXzxNf
uKaq3/hIbGMadJdwIzxTiF/ZdEzC+y+0L7wKSOGK/qMUv7cT9c/tenWCQ3nLiInUl/fKhTT2VZSP
njghJlq9LTxiwqMi7I+NwKMP8B8YkRAf/uxwYsXcORxIsRZ1W4Ky14PZ0+aNzgGGR74O0gH+m5Tl
9bl2I2+6mfQEq2adi1fnWfDePNdWn8hnq3MkxlSqm8qDtmidH0SFQ+EN09bFbMPBiX96uu7Dg2j7
LvtG2KoCN2A0Ty5AM/bDsil1RRRyUAfoZW0TO8nWkjDntpoeLSA32see/D7L8iDbqURH8rmsXbQQ
Kcu5PilQqvmunNwpOJN5PKkt9ZhLmHKa6y290OBsGUEH92VbqI/skN8MJP6447FDIe5iaA7rKkb0
/OeZHrkLIeCwqk7Xm8sbqF2SZZOf4KJEk/dwRn5oWUK8lFYYfVZVlj4nArIN6sNhcbb4CLQd7AA0
qlClRmfbDA3nerP+A5TRxnvE/Sc0RHfHcb4JqjK44QlnNZHeZVPciSkT6baZK5GfcVYt/Xxr8t44
22ocxuaSZkM2PheWNzwHTYgiOQSpaG9Yof1LOgwRExjfwAEI/VlcmO+bpyHR8fde4gZ/cofZ30+t
XdMY164H3ZEesbyReGdX28IekRDw1lafgjpj+kBdv7QkjZpqhOLp68uqu6jP8JiTLbUhaJq3BHm7
TZYpwb809b3mDP9n+BFhpXcKW9V+IML6cxJHtRU7PnlHDj6pFBSh9+7JVOkKqwaDf2oma/qW24sc
gQUcZj4qEcVycDgEkg1nY99BxPvf6I7H69P/54g3eA+tY3q8ei3DtwsQBqO2/3NRGN0KnE0qcR45
jVHpxiPzIFLxOK1i1OeYbYB6RkcjQpNtGST24uInrvquVMDWcAVUHRmBcojeVc7KE/P0q0fhEe1t
G8pt6sNApZtL+MRq9Of4nKoUCtYqLNDEseWpoOVRK6QTz/Z0G2fGmb8U1P7jVkLjAnFQsgiGFzey
8k8JyA2Ohm8AJ2wqPrkIsbDcDY5W+QFSV1rdSQSdtK554kJyGbt2BTc8ojW2ddiu6NgEs+Wpk6EQ
zwE42K+sg/mwtdraLh+sxlleXDPH33RgnP4Gzu54huXt3TtxTRCvA9CcQr9dpp+0xEu6q/TCfcje
mF0BWPR8UlQI7QF2TnvnSwNRP5rBS4/NSIjXXxFTkq///gid/yo5qdGZumKxSzgSdef7Yr0XWnVL
q5hHuRYIJUgHDVJgjVzYtZWTbcffe4l310/KNpWSHEU5/kDYFJSGdMaF5RB6jGpPPpPa35YcUp8x
Z5wsO877Zn7Mi4To742tIPROyi27L2VRTT7MlEAUe48I7JiU5aDGKEGFhH1bld8NG+ACRqFX8kJD
eAV5QyPfY0M36SUPMU5m6UtnYju9w7CcSXMcygC7FRN0zXGYmprI4EgAq125hbAOAQTZxlv1Y9Gi
ms+pny5HWyS89bCM5UAgNEps0Nql8O7tEn04kXUop0E0/ZkFdh0q5IN2cmaw8zJ+uiL7ps7EeIqh
fzyETTPTdsEgk2A/lHebKx4/pmGUIWzIq18sLxNv/DfmUr10E5MG31qybZJ5Qm8sl42QHOTWBDug
ImBfWTjLd1YTIJCnFw2NMQpQNgwuHhI/wmWCmpaDd0ts2wVPKe1G/n5laF0x6K5N9O9CjJAsgmEK
TmGCbfENQRTZU9h6pj6Ub8MFoE4KVy4sRS8ODYxwaH/R65OFlpRAGrQRF1jDNNZbGyzW2Retg5am
tL8OYaox8GTC3e2xOQ9O1tK6xSHK/IzkbAexBrnfmvHCBwv3zSvsnycSvFuBVDlG3s5cL37fdbMb
TnEVlePZEHB+N67xj49q0SHIiTXOoti4QxlxPGZzbY7ZwGnx1ZlblEb7GMKa+xJWrnKPV7Ik/F3A
oE1VxN9in6DWVyKuveCzsHtv2lNG2A+mHOt8i6fI0h0Rq0kHcqYG9iJXrmwerlMZGCYttleI0RmC
jfVKcDWELrKdXMc8HklUYqvbpIxvDZDb1z6cYMV1livnPeVTYW/TudDDz6asA30OImuokWasoEYV
xgSnA7zAbwiidE/Nndafk4bUbj58rupNDjl//tUre3J3Y5XMyCV8JVla4KeWOF3BZGYJ4I+h9pnU
XDuMbhK8GLoNVhJLlfD+0s0V36M8nCEgwktkkDbaYMmBr/TCA/XbnJYzb1BoUqBWN8GyhPMBc/mV
cVMaOHVbIuZ0c7Q8P693eGQ77n7guuwTWeUWkduuJc/RpGZrfx3IjZxe8W0ehgtBYld+nZWBaB8a
C8/nbVL7644sUtUPZ4HVRfDKeGNM77GNDBguOYFF2i8cSbUZsMFxbxOoTvWmaNzS27kiJgY2SnmD
iU8KqKuGztHeXe63FQ30nM8tDECrPA6F17Xgs2pJtlVIhiAcaECqk/YDG5Yq45O9RKeQnTCAtZqb
K/jtxFR+Nwt0wqe4Kqr+kC+BwHmLyRR+GCDTT7Nu6+JIc16zic9dxm5VWIUkAbePxcGOZmAGlygQ
dR85q/VkaRMVPWNoX96g4QQXHX2zQPNsx8nZjkk31pfGneryL3zLTf5SKB/xfF0xxn6grxo+UOq/
Q/VWDhfOxIBJ67mAU/p7lg8FVknREQ/nBCwxIrWh00++nYafrDeqsqW8MT9Okjyhb31U6+YmccZ5
4pkoaKHBOI9iWyhIfDfgwo7ZB+ECO5b5N4uTRrpTN0TWyerRnubmkQ4kGk5XzFa59jBvI5X4hCjW
wZMHhrTvIrepDuhN+s84RTE5bKOGhfnv+8pbFMs/thUoVrBv8ADBSQkrkP9Cgro8q+msLPf2ysQt
GhPgjcwXMg8YK6XBTWj5udyys4OYAybkq9PaWP61lBLFk8sgLiK6WJoarsDK/IQtTHB1kHe+elKT
077IoOU4gUpITRNKW8LXLOIOBR4dm/ohcAlV5+umXA3woy6iy1OI5kuNbxqyQft7hZM0I9S3AWww
olF8WKqp0fs2T3L3pS+DJLitBDfwo9XwDiTj1ggwMupMnyJ3XRB/lnvY1vW9JbPwVgvLqg4MvsWB
oIMomxifNcI5OvkgnYfryJ3cFCe878JsSG+KdradfScZMZHLh0PgDTZGqueljixm2pYBU7hD6Rid
7UnUVbxNC5V5QIbeoDfzMGnufR0tzk1bMjLaEKUYYByROLW4Bcoc0GyG2j3bjk30p5dWo8XN9JnT
fARsrqX0f9YGIDfGJhjsucQ5gmH4b0DwP6gkfag6CcPYPzRzCAw3M4NZUSYYOxRqNmcMkzWtvi1u
Q/Q7r1TVX65QUI5TrnVe0tlpxg+Qy1VS8+dFARlSgvNAmCh48Xvkvag4Z0KnzQ9X7ns5ZxRwRRWx
rWdFAy4e+TWlrqOqPv2ZQDVg5rr0i/6N7qZb7lzEE2yv//4WOX92BtwpVMRrEEng0p9DA33XGSDW
zQvHkfmB3Mis/2mssm5/aWaYUKGruEwPjFSnZStoB+zHRAxhcUy8RdR3aBlt79Apt6ao8tbqv31b
Nh9c3598yvX6XB+DKhYxExi62XdL2RkceyymVB7sKva6T31IMYb6gSDVLSwxX8UwDgK3+0S/6OcO
9IE+Cp80YRXzbehPofnIT+vdDIEriUH6cToGzwAzZzD057uVcAiagQiqfRZoUBcmJ6441MRD5c+G
qYuzLVETsmEE2cCgl+qrux2CMj+pkO7zI2OIdy/6ejF4B5EIIZwAadP7JPkg8RE2Yqmzz0e0rjvI
EYOLWS8b8N7thHNvVSU0OIBjMR9zRjb1MxR4w2D335/Sm83Ff943zAxgJ2GkvYa7EOHKg/rzphgV
LUGVan8/VrX12yapyNppX1UP7pg2/lbP7ByHwPhZ/SC8fmynDQV03UElj6dyue3fmBeJ3VFIQ0dd
u8S3vobAI1rOAqUu8oFuEfcGmxhzSZgmdvft7Jv6hWQXoQVO5Jk/38e4xqgf6Alq9cGWioj/j7d3
7d5poR0sD8MVPmdo8u4rDgk+SX2ZnYt84F21GTt2TLANzIuZNgVe+pQy3VQ1QoQdYSG9vqdHgOjA
y1tO29nT4kGVNDPbJnMWSpV80v0ugCUI19SpEv/oxsrH7AKqVYOAdHnwVuTyXAAbFQe/ahED1Xqy
my9IweL7wSfoYzMyXejufU7KBPZXbEN4aZ32iz/glNpsAnAZeSi9svyM8xoYmVvHRt0Jd/icTjr9
5jOm0xv653L5wvASrAelRjje9QGpEd5QgcrFSwZaBZzd9bvWKcPhWMfU1hvkUsVLP+K3sw0YyGOi
59t8nczmKIUCwAUWfRtUN/QEvdlHMuYCEVwQ9Dy6CDC22oMbnigE/WWKFHafioQIV5iLXeC/IqNb
kvuhT6AFOQWL55Q5uGfes7lGQAqGmPB92oD8JOQS9LsxpWa5bfVkDMJrm+LGrcC2Tg1G5Jt5aRoE
21ZZ+IQXZMBcxtJ98ZK5NlscJBAcRhATwXAt9TCjTpqi7GdEvu99PSdz+djG5eLuPBvlM3POEuYW
xkFPTpwxVNKi9UD1lypiF4Is9utaMdQz+b9Hi38lNMFmjv90hU6uPSaMjCjfxTYZS0fonmF7wsOp
TC9XIlmtg0XfYerR/g+XLg0Yd8EcL339g93AoMFysfUkykj9Fq7EaKo0oNanvi2sI/OPoH/owqoD
BTHBuG+6xEs3nlU38wlu/fhoFW0xbPMhWNKNrKJh3Cd9jYlMMoNcXZopt24EmHoF2VTPn/vaSsEF
QUo+st18t42u+zolSgiZUeBSi2fgu9cpl57lJhKVTbNua/dsLtl46kfGUg8aW21MQmzI8d+vogwC
MOhw3YZkwxN+Cmuj9u8b2P9xDFKL4QP6/yg7rx25kazrPhEBenNLpqnM8k5S1Q0h1/Rk0ATJ4NP/
i8n+8bVKgIS5acz09LSYNBEnztl7bWyqKyj9Y3ZJ1+BYRPmSH7NLL0IhFhUHMdX0wQK/GyMdd1gv
EB2XsedFKGcYtrmbGC02uCqZWLxOWxNk8W0MkX++wI9iBBq5LsFRaFnQflHYfSzpnMUS1MGjefYv
pw0Bn8Cj6ZC6EWerQexbDF7O1VZN8FXTB0uRIlzkaBk6dt/JnhzVAqew25mhd8V03Tkxw/fig+Ao
9RJXKUS92bGG7mpCuVU85mYrSMIs/ea9TmJAoH/+RRfo5n/3DJ6Z4WJJwHDikn74sR3aBZ6qGEu7
/967RWfs/9l2O6AQDDok5qXEqW+zNG4SImzK3D+nrTdPt6MOHSLymbys2325OHsUki/g+p06CYOW
0djBSzjX3tstyTufymAUqC4vpZWuifJVeq1evxeqmiMzXahSoQgszTX6fjyd5N126Xp2p3H4HQ2i
JX6CQNHG0yZL+fMt+FARUqRaHhBYPDcAXSgnPhY3uga7xdJG71x0PkM8NjEcqQDBGQ+mbsPoyLFm
zfkypzkvVDq6SfOaMCAyvnklx9h/Nj3y/3RN64dpc2agSw0ija7xxyqVYx1SAMgVR1CXdRux2DB0
TvtJv6/zrMcnTaO4P/sSTSj+6dXGxYzTfKicYIyfjMambfHnK/rgYFmvCDE4ZTNDJPQSvPu/7rxe
LFPEvGl7VJ3n0UDLfSSSyAaXx1bpMg1j+m09UvssuSkxE1L0X85zFo+sPNqN3gQJzpCqPJSVr9IQ
KbuGIPLSLK0KDr5Dn2fafvYHw6OTOKAlU7muH2thtFmU+LOlg0mZ3TY0ioEg50Ln/Tz2Q5weuqTs
6v1ffu6HihdNAdhJRgVg2gk04mD7689lmLUY0DyM83ZMKCCM0FPXUVbe2uaMfdlqljY7qzngXCY6
KRHGxyWUDDF0QBo2MfNiIuW/QzLGwJsEPOdatDHVibt0XR4iTUgCmjAcypt/MB0WHVhwe+2g/vmn
XFij//3E+RWspa7Ls6O7wxv+60+BHcalAt896wjr58e6WMW2C4oKnOaXbmbs40baT0NVI3Nz4ovU
D+DDe0M4Y/VN1s63TWy5DdZVTFMV8tjqDkljdZPTGIgj9AOZtZvVSCJa1hfPuaxoDVH5QLtDEYmU
WaKqvU+pc4y9X8nAj4xAoKLtsYVFm0Ct93qkpdXFzNsajn6iUynUnYg9591wyoA3a0yM9EyhANzN
xmEW/EXj/6sYaD2v0soIoGygNWMf8j8o/Ct+VAwXQDszjOKT11j1+j37sZpv23jK7zp3QDyiRC45
yE4XscefH9aHz2y9AowFOnsLfUlOW799+J1Q2Lr78rpNzGo+KRqZX/rET5vIUsxQ7/OEnMzIAIjJ
INCIWT4pkovxClwQLR5JXun/70OWXqanNCm9ubn6V9pX2kZ83bQCPNZgdFQx2uXJJ+ViyFtToQYI
h04WyRW9bNtEm+xMnzDbGOWxvGhutzbeX37xb/eciQfELhPwJIEyvw3krCm1+7mKbbJ41p/Q27yI
35Sn/PScMTtGBpLncYq6KO+yx+1csnkSrAvGYEMmiIvxQZ+ZDN8Iuxkecn0ekidUsn1y3QwqtV4S
TkcNeKoGYI4kpl0eOL/24s2ejdZ7bap8GenOF1bDHHTSkhvsul65n2BGdcxH5/l/y7fhSduQEXjR
VqbKqjz7UHshxaNtxMtwRrsVjE9QmTiwLiaAz1dWGCqbv9znj2Ip8MsYQhk8rsItbE0fNFt5bdnK
bpzyOklnlgG4MxygNpOvm9TgREFHGBnCcKF7eCxiwS6IK8WQPzffaLMEuEpt16m/T23lGkegUZwI
69Hmoy0GA3f6mBsr72JrletmwZJpo3aAFCY6Pb4mqZyKCAQZu5Np9fzxf/6Jv71JbJo0JxhykFNB
atCHO5rq0NIoZEdMJEaq7RrTLh/Tkf3ymOkDDaikTglA9CppIUWBI2lf/fnP/1C/8kiZCdKnoi8R
gJoAJfzrSss6zHus7JlvzEbW4qUxAiFnjlfBmWbz1z6vJMp8CeQpmml2I5JOneBeLFpaPPoeLZgz
Ik8KDykM/vNfLu9jn4LLQ+BIg4F1Bfzoxy08jjs8N5ahncfLgwCRRDvdLzqWDB0PVvM8aCI5oVzJ
YbS72ISiytHzu83jiD8LQXS82NW54hg43xBTx1KuVLYYV75e58tdhwxfP6ti9Qxvz/rPP+C3YhVs
LJ1EwnDotWGn+Lg4zmr2Jw0R0LWVOGW5600tWYFwKwCkKnVjOhCn5Fl3YkLIfaLmVQNzSntKaTc2
Zf9jMw4kZTF2oeWU8bmCDuc8/LsIXo54pIFhWN7keozAyoWSfMBMmcGj746o5HiB2aRpKGuN5Vz3
VraQslUtWX4PSEbzDtvvXmBcuOehn72/fMXrK/zLXk4/GV4lT5K60KNr+OsbZlYZ6h2fSiLH3I3S
vBYlgcXm2gYJN72YHLXKfkQeaPTHP9/+314f9Au2hX7IAwX0ewUo8cq2S+dp0CMae/pnyLpyuGdX
1tkLLV7sPuqLmY8qSzK73qUlf+2xLy+Z8xdo9kWv9H934VKL4opGFE5uNZFxH5PpcpPe/wRF5FgX
Y9Wft9lvRcgPPVxCPppTXmvV/K/Vy9V9lrttvEva9YjRoJUNTB+GutmuCjhY75FBzm7UmNNy1c8t
3XLhKXpeQQVmmah7t04OGrIk5J+XryVpBw8BJN2LakGDwKf9o2HiM/7tg/21V32hk14kWzbbANOE
jwtaVZWxqwX6cvS71GapdQme2metUTJX85invv87p3eVT32AGMl7GuxGWw46R5hk5+G7+vrnd+AC
JP+/W79e0qpYd2ih2uvW9VHY1LXoEtI+945qyvnsto6n3gxe8hBrwi1eG9B8RR6Ok7D1/Sis1KGE
xkQTZ2W+l4NdWlf0iEYEt2SyYP/c5LPjZb1zxtZHS3rR5tL2Xk35LVD7+XVTYs/1nEDN2LRzyYwD
BrYlw9twDIipDC8amjxEu8/f8i463QD/UIfjcdW7b3/QVsOS58GL2sV9AL7n4ifdTItuwrz4PFQs
xecJKTrOSVMNQQTaSI93m3SzG2eFqm/CSDy/Opf/w6YzHHuIjA9O3MfWDRAQmT81Zu7TmMzTGFu6
6Ftxu5QZW4LOCDMlE9DgIpx5RBu6fbupxvn/VclkdR866RIn151s8vhGYGGOD66FK/lQBikG2z8/
1stj++Wx+qh6L+UXxee6z/y6ruB9BA+ASugoVDnWL2TOLdazXegwlFxdsY9rF1HCtoJuHiu3tbLA
QDGIrmI/tBP/0FKCPXrskUam1wKBJokmlxqh6jC2HeYiscddMc7oyxjqFt1LWnhYFrqY5t1fjqvG
ej777w+C+0AlD50QVf9qOPjwg6QwXWRYcXvedLirxaO6GQSzbmR47uwfGq2Nh0Nf5VC2m9kSdCDq
eUgPyOjq4dj4TTDsFoIh/9dQKMhnJOaspg/KMfbDj8cxO6PMHpYuvxpia86fJg0zOs1ew4EKuIpU
r5F7BfEubXuL8IF+ZZPGlhLlncJaVr7Mnanyr20nK3+fI0j1KGkvkva0a5tPWsJCdpSrzvIvr4jx
0f3MDIg8JnadtQtA/saH6or2pie0qa7PgausozCsojwDuMpfenbe8tWzoRfZUzOl+yWos+wKFFJi
3LEHMP0xRZ7VT9tLLgCLmE+sdtM9KmTnb0XYb7sU4x2dOlBnBGIzF/1Qg00IaegaqgazGUf0u8Kc
l/wEnXGFOrTGjyDRAjdK1pbDlRRM868QSrDo/Pl7+r0SJGJoVQFQCgAHpTL89XvCB04hDI0LqoFF
/RcFcz8GD6S/icfGp6cO1CmZPOR5zVf4j4WIyjI30Q3AI3G+TaPg1IUiD77aEeoaYLg/X57567xx
PXsAjFuFqejFLb6QD82caTDKqfD94GxVmbWv/EGvr/2JFO/Q0/q+I01qlRAOpgdoFLn1dEdY3eyF
pesOeFC62AluEjsJzJsqa8V8gqsSp6e+9gw9CUlJt9y93TGjuw1qgRsN+mi/aqNwdi83i2lN9iFh
rOC9KDKs4r90bn47BDjILyi+GeLqPISPIkvLrdCEeLhfygt1IL3MB2cwLxihF+lr9/TvWHZLBALO
vlGTJv9SnVziQn9ZepiguNxipoJAFSH6/PrsrURHeaTF/XmDdQWtRzWagNWjZZ2nfR210F/iHRCF
Xp01oWwRcRYR7rUzcjDYIwqYS2pKRIxh4djUKNZcGRajoFW4uS2ZjcyMdWw1Dtlh014acqT1bWdD
e5StVAjcOnQDdbUYzWFpbA2oiDT98rAV/ZutXAUz3uVLg3pTMP75LbtE6f5yI2gN4A/iMIYMAsvX
h2I1FwaB6CCtb7TFL0lHT706uWlz9HcH7oDO3l85/vju2BwnHsccEVMZ6lmWaz/autXqsNSIFw1T
tyucRw2jGlSki/AquPjXyhLVzNo9zjMVmfMcqKta1/UmxOfxLN2mcd7iNTRLNx0IwS7tKEagkNC9
fVbadE+qUaTmGbF1ANLJ07zilPNF5IfebtQXnUWcmg/jqbmbOvkwGr3HZMTR9HqnwRwubjnXoqZx
VI6FbdvP/3z3ft/BUBPpa+GH1wpL/EfuqvCxcrvDEly7bcDHaGelrG6wmnbFyZjdDFabDJ56mvvG
zqR/9gJDeHVBowRrbsbKrklbZSLphn+5rI/bAAdIjh4Bw246iitH6de3u1AO027Li68tzcMI0VNO
NFHd4CSIFFZ3g8eWy+EbLLsyeawpCUHD5cJ6seRMzWMnnqT08+LCG255MpV9YMzIgddvnYGt7M8X
+7vimkslts5Co0Qt8Jt5dMzmsehU0d5M8SzzT0SLjh5AsrGmn8b6W7g3bLZc1iZe2tpKxJ+IN5Zj
znjuBWm4nQY3YkQBziD/V6q0aXmNzTV7QTZplpGrY2Ijfka2nxblHZzMrovGaY7jK5lmhI1ZQdIu
ERrpuMV5wb50TBw0fpDHjfMmIEzbRo4nh6sTNz0e8fSgrxiwdXMd1c9Jb4spXE1xP2sOSXK3mD7u
cj3u4hvL7aE70FxgtY2DYZjI0060IaKFmw0nYOSuOi5zoGchkm+B1lG3pynM6wlChal5aUGVXvXl
gUCdgpFWUNN2o4mSRWPORxjaSarptyazSyDApt728saZzESLNsgIlDfuTZYTLvmXkyeclY8HX2YO
cGnY05EgGkyY19fyP1qifpjVIKWWnLi7fqmitjKa0YA1opdFEtkr+eqJVFUq44rKgjdpq/uAwlMy
kzG9bvQ5Novd5vmbTItKm0Iknl67Gi3GvZYwlP1HLB0HgIpB/7cC8To6w0D4z7ZltC16zNZ6K2D2
+Px5a2+rWKyxOLHWSzitl1KmiHUjfiZ8rBvuNtpYc+kzBaMt3jOKKndPcVLI3XYtqRugFwElin1o
26gWR8Pk3MKCdb6gKLHven1JPI5E62VliGzGp8IcKrETLc6SvZ/CedwtTkCLY5oIynjcWtYsVixR
hL7Z41N8OQPpS8oxg2wcEMNe7FraP8j+lbO3+WtG4iJI2mi7nKJwVfzqDsl61igqBk9x4K53dHO9
bWctJVNuQKxZ2PQK25uvlsRugwmske40n/B6zsWTp81wDfV6QP61d1wIu/9sjc3N9+u1pjftu4Uf
fOj1QTO+6NK363+KdJVmb49sK8A7B54AWp7ORZ9czENwDnKquPM4avH0UrVz/NqKlju5Sc9rdIRM
GlrkpvteIfo2wjoDKPCJ04a/3IKNz8p3faggz3T2kjeEOGc/RVJ79YNBm9A+OLr2BXlEQELrxQHc
2oKXRb+g5FaH+nDtVGYFj+jSw9yOoyjcOXU6qcD012e2rt0iuoxhwgwXy+K2hpDky3F0qgZaWClS
6B+YJ8bqGFjTaF25NSjXENgOu05oeS2cAQsWwCkgi7H9NpjonJ4A0LLNVVbqgVBEX8dP29ycVZ2q
6mopBn38tNkARz4MdZiaue7BZ14sjDnnZ+fgZdLPnpNu8FFP6RARb1u7bWhIloIJ5xcznzihbt5O
i8Y0UQcFut9TGZOvo+nTyLW55ucSzd7JqHOxdxfTfC59u2Uuv9jh7AkT+5LtHfIm3ZUD+ReFGd8V
E8y4rgqsn4mppVFPY2A/CW0VOggPk5jl7OtCS6+rTIkbLB9LNJgJj6awIQILaLdD6Qwg8MgPe6Di
8Zn/OH1yghiS7Mugi++czPu54B86VH434FGZn4pxsr81uYYJrO395yWZic+egvncOm58nSazfqtl
PlYIJHQh0wVmeku13NEjTQ9t78lH0asp0nWlKBC0Brw9hAXvloNaR0puc2VNQu5n/mXnss4ILA2k
DodzkUYYJGX63ufVcvYI6dhZRmnua2V3t0a6pC49dGF/McdM/wb4YooqBgSRTl2E4UJLb8XU2ld9
O1jXyprtY27wKSPVnupP0lbq5LTtCxYQOPg0heod4KD8GiaDum6gdFDe9fFdB/z6qOq42gHGsvez
lpiHDtulGWa6fJ9ofkS9rvzHuNXyLzbaohMjGiMJOQTLKFaQl6Ql9V1rMG/qO60o8JdDr+m1+VwY
+bwnOTeFSl8T4N1xzDjQQNav9M7AGBuo0trRvDV3+MPs7yzCBFt0wM7OmpnLA+fY/lEbzPQUEOh3
1MtZhyFvfm6rJrn3U4HZwEKex3J702jZQ7VIcU0/Yt7HuQJL5GX28qzGpT7oion4Lm1cXJ74beW+
4yCRYe191TFIRYCYsgOd7uTbQo5fpBFT8Sqb+acel0Tt5fQoc7/+ip9ZV7vJozP0LFRH6LaKnc+F
NyZXjpFaqxWV1Yb73Ns7MVdL2PXTw4KVhFB0jDfQAM1dkOQ+iqvZWo5SNYO7h1CUdzuiLFqWHere
qOMo9GJUJjA/s1iCQ5MIC6v/4tNNz4IoJeH5IMl0ADLO+rb0LrBBi8HKuKTdFZwE793ReshMRhVc
BY32s7P05NznjksSeKtua60lSEGztfemsPNXxDlQhcd2uCFFIP+ca9IToSrN+tqOzQScmPxaDZh4
EqvxjzW0qB10QnJShkGiFPZYeUEHyCoUxAERJt7E+s7zO++x4cBDLDzqrqdczuQ9kJEW9qUZ7HHr
GAntraD+acgp+TFl9mNeGPGPKvfmB0dgLcGePH/hgFJr6GSmYN8YziQ+S70wP8dLwHiIUaob8n7l
L54xBjfAC1AmD9pTDBZhH3Og34kC8qpMvXvNM2sGmtBRKvolmo6ZTDBUwuDmHBKI2keluc3JL7Xi
DrNke0QssHwBgO/g9gz0fTd6yyvmxvLaLYOYr9vtKJRnG12dVt4IlzyDQhPBlecuU7zLnbWtvabP
5GFdlvyP3jC0/1SJl9wPge3uDKPtzoR7f7Kz1nqwqEjKBj6TTdtjjyxhinxZLFHpxWrXWuoZskX8
xhCU8J0M94YqjP65gZH4EOO7gp2tkgey1h/stugiWcrulE8C4BHRZuDCscX2WgKEol6CMSrNoj+O
fpPthBqfqbbTR2twf/qjmlmPxuDkxI66shAoXMWyyNKQXcyLiryc3wuPYJ1F9jdTltkEX83GV7c1
FjMc5DRGkAnKCI9J8mJZaNwsp+mycJgq81PrLMZd0urjax3k3WvATv1UWUmJqRC15B3SGGpEs+6/
d+SbHEH4M/ziMwCW6BU0jAKILS4SP99prMjJRvV5LpyJtAzplpFQjv9ipm5yiOM4iRaWE6qsJH8P
kmH5vAg68KtmtdwHKAN4o7C9fqntmo6XXbEUDqkXNovWnGw0Mge/FtOzdP1bH6//ycJ2/gBBabh3
JrRlw0Irl5fbunfANYTzmIoj3F1FUdx5402eOcGnIgP+GHS9+UnmHfU3Ne13Wfr1aWya5ofspY8r
qGvA85lzd+g8stuFLrM72ER25GrKP1CbDBEH2Da0snQcwmUqB1K1qq9Vp1c3eQuqLvTjQLvRVGeH
xUgnvKQZeTTTCYZHMINhmsV4JzEKQj1Ng1tC4JLP9tAFoPC4I9LL9bcChVXUBuly5GtQ70U+FmOE
Yd3bE1U06SFfMkqZqvS+k+B+R2OmfquVbkHQmoxu53b0OCPKSzuqpASgaDtBiWd+zA9GXhlfnSSh
ros1d19OJk4kKv0OrbAvez3MjdIiRdHTVj5qKu8Lqxy+tKptHssSb+keREGW0EwuhkMxJ/4zUDp/
3wh5VceNfYypZj7rMEyIORr3paq8aPJnuqCGCKLacBA81SzsbJPikd2xv7KHQO2wzzc3BbVoKK0E
hqRRVAc2nfLQWOUhqNw0slM4ObOzMBcYDLz4HIeO3Kc7Debfi4FYdghjhkd3msgQ5HAYZKqjt16Y
t9V8rOTw5vRSHiX2zJNJnuG+DlLr7FbQc4tUvM0sMUd9Ussuc1ygx+7g9Gejmt9RuLu31BR3amJd
UMmkHdAmnkRqACNsPUpnys8IrW9/NYxT9ZWTDFJVld+Rk9OvR8EGcLquDkGvF4eJ9viOEsDbWW7S
v7VNXN5B1NUjmk7lbTP22h3vZUflM8xkX7mMXWfsy+xxZrbauKb+H2zk9dEnkoyQiyReu0jY+ZVl
fHeSXP/sVton1yzeZSNpgYKyg4UxdeJVlvm02vLHdA91vv5aYMq5ArfhP9pF474gHs7gkBbdgcya
JEy8mRNB2kz3zCHpqc9+9h27rkOWnAHELHNWn46i4eQbdXxiY6zvOInPKPVXWqRVsT+l8g5Kro6c
pqL3ZRX9XUm769ovk/wpGEbj4HqyNMNi7oLnkZAbdZWPY3ar24n9sJ7qEYz0FsJnF0cMRssawDjF
hOucNbTta5etlgu8hZnycjaMU2ePxlFB34T9bGdPRua2d9AyxV617VsGyWzXthjWB3iGkWgD/cF0
lf7YN24Xam1X3Xfw187gP1s+EZYRC8rIK4vNcpuDYQ37MXkzcM6HMx4nbKfNuwvUMeyB3UUgeUve
aAUFmWNk38bVAc6ajBIHgCYHL6yUPsbKwyBy+IjIn8ZTlpPHGuX+8sywtfpuuJ32Vlc6PwC/zzVi
1+zFgrhV4SSFpZAbnBBq7NNXkgiDL7FQ2VEiP38P5ra4nZx2vFkyYJTwROqDB5fl2JZ1hVeoxrAZ
wWHT9/DqXLpvftIdpwqursjiW9CG1H6clF9bDH231cxoj8dBIBvADgTvhYOdIM4d9uHpPNqAd7W2
4T31svvJUeJ9rrF0AuCpCN9NHYpt6oainYoHGiFQci2+Fc9XEZ27AgvCaF67KhXnZRnYwYby1uEs
9Ylsif6sa1a9o0r3vrUAOUI2YuduTHPiQLSs/4qSqnzT7NSM+Rw6or1SnaivNFHh4nDB7WxpRSiq
DJBwqXtPCoHjHfbdGY2L5p/cyfdvOokGvrFMmB1Vt1ybft+FIiu9UPes7tosQe9jj4TMmxvutQrq
YKf6+rsOtfHJrW0dZasp4x1cVbULpiYhfwLn3quB3/ac65qxi7vFOfiLN2I2Frid6crvpqX40mVr
nCeUyuuERQw6uqiH3WAOPENrDF4rcwQykoHv0vj8hrOBv3mPKgDm2zLr4oF+dv5SmB4EJgD1EdIF
4WMqTe3DnEt1jzthvNHTzj6CqhHybSnsZRebLZuol5f7aqDaE5h2z3batOlTISvnsCRju0uq/pPK
dP/oZh79zyH9IdpkeC3nKv+K7ybY9YkND7HyzYguVXbyJhKz0Y5I0ttiwfDXk7SrPAH7eyldtV9o
L59T21eYrck+e3EKETDnvGB/ektn7zMzlw5NNfLWPgW9h1tbjmjB7xu7tINrVNXugBWhAAGWjNJs
QmgJXDzOwiw+dkER1HfTZQim47yoHqZiafWDgGRRoZr1iQ9HuJqM+zTGc76fltwKrgrYYwFHntLI
doOdWX0kOSOVLxsaZ+voLvTttOtsNX6FJIHk/oFknvWF71Nl6C8arb9Xw+xzEoDInqtfsfypMZwz
TLf7etZ98amalHbTjzZHarINmTN1AZlZh47R7vxK84R2gJU5TXvU5RKcFkJckmNmDal7j3k2sM5x
AWno5OV5+cPkHu27nkn5DtVKpl8n1sw926hCCW+KeTQB/9Z32/g68wu4rIVoCZZYNbN0jtATM/kY
cqTy58aq3eY4pVlSPw8zSJ97rZdczTYx3zTNXjK7HDDSfNbuZT+UzN7BCNTQQZrRYj1v4egckgv4
it17eAsWv4uvM1Wtj/LShCn9fgRA6Rut4CbX5fxlw+fMl/bRcumuzKVPu2ZrkMxOSiGndYzPb0Z2
VfvKrRSvgcTyap2hBozu/YZOCiBTmfdla+KViwhFWLnhQ+5q1+7UedWzWHSvu/ENMe/nGA6gc9Ch
29WvDuiKhUY/qI9d72VICzrOQIz8L49oe+qD63GHQgH3tjqQSkKnaZsloRWhOZfluvq66gHzuxV+
PF9n1DXMyeZe8k+ao0uvSMtU3/6sUvpGggp67m/mdZhxZYHiSVeEOM41phj82zbGWEPakYPfXk5o
aTZ40J874cbHsSgoTvqujPZ1i+49cMlf+6edIRpN0jT8FyWNKbkwbpOy7MYj0nxgqT3oVgFFGB/N
zWjTb7hlS++/Z17bLldFnlXevuePEOd/DeaUzDrzmoC2IwPnEjnEfZclsX4F7MpPjxOBSv3hzz/i
94ES9kP0y9hDTPS5vvth9tCZkyW9IjbOk0ZiyGkZCtEcGa/hCmqBUnyefcz3TqizcQynSVUdxxfT
XG47MUnWpmbpfFrnxcrhxj0vb6qRSLIwtepCHnqlJWdwzP6yF47vQ6eh4HnfOBH8ODrqI92UdEcT
Em1mTxw9+SAO+E3/uGCS/7IRa+uLBznA34caQgdOfe/SD3gxmRM35CYo0cDvH0iF2fNq9JwIaGq/
a2Wq4h9FP3jLFzVNQ3/fF1WjRX++ex9m0kwE0ByQ2sN81MZcAFTx11cg6VoGE5Upz1vzGRJR7z4G
ScLIbGuWbnS17Y0MjKoQ2PkN54mYIOuNx52teRn0PElRdPh5f7m63xr8DtOudWS7ju3RZH1o8MtW
S6vMVSO1YgN9Xped/zS7s+ivWWbMmRGNLJowRvd/MsBv/9RmGwNCN+DfA1igl+TAUBTuCuk5C4NF
FgP6pHKSB4ALZQPkwtIa7S/zJdxJ3LP/jjj9wLdWZwS6em4tQ+df72mPen+c64wK94KaXgwjr2/a
pszzGzkXYJ6D0q8ohTe46JZQ1SGaWD7ROFyzhyxKb7AwFhO021mZuvzUAnAgkysxM9ZbN/cZe9Ye
LJs2hJQ0qztZYdkhy7O02Drp0yxIEpdLeo/j9cI9lVNi2HebOHrzkG9rq1a5xOEECQ6PI4Izzv8w
8Dw/I9tyLJPxJxZyI3siAc6Sb81oy/FcjVWb7/UF40k4XgBAG4Gh6ScLen+cTASeuRcCjsPwh8Ae
a9EUP9ahXP8XilOKar1ayZjBfjDIU2i/d3aqy1sdYQis8NgqwUP5ghfKhUKNgxPXxdC/F76nYR5y
mwzvPn5Q5hhdZ/vvxdysrrwFD/VxY8xsQPcN7i7qyV0z8WrJ4iMzjJTXTPKwO7Qbmd5Zrd2p50No
ToLV9OCTkgff2G808YIkf9B2Gy7AZJfUTkSrpVa0lDFI+pQSLN1h+2LYs/mYVMxJZVf0vcpXHjP/
Zm1kgHXcvB9bJIC9+eQ2heJmT9uuGvoaz70psDg3nAVXhDG+XNu8MwVygf3Gct4eluUAgsyibfYN
IKsXp563nERZNZrzFeofzFThRgIp3Fz0b2RYlZUKlVHhNGQePvN7i4x0jGM+0QAHmniJr5jJDTYe
MjY3/2BcJGlYVdaXcmNSIQSplk8cCAOIBcg4teynJWLsWfWicB5EJKzTIiu9paznUHemhWl83eUk
KfG/GwUvlJx68jhWnvvmTa88jztZeDF3PrByishQ6rRU7gfbS4N7K50CvMSXlDq3o5o962QgNnvB
muYeCR4sQMJnjuR9wvfOMYUcapcCNoTQvP43dfG0bB4x1eWIyjbLp7g8/BUaxz/0r2qdgaEddSVR
86ckIf1aBzYH44R+iJMO9WFoMDEVIQS/AJR9r5GqDvt5xfCaZcG4egH3wx+sUSMUEDrcpnrzabia
j5uYON3uo4Z7j3+qbFoegFw1aRgsxMwdMgH96OeZ/ce53cSddun58Ld0qZjtAIJniaB0Xf8fChWo
P+LBNe0l6vBZ52e7lfTVUk3QKqtck9zbirQB72hIhoNXczL4WjhoXlvebq//Rvx1A7g4xAuSD5X8
MCtpL098MEN5dPtBeaGNYyvY95mm+scJize9oBxa5KkxhrLvQw3CZ/OtSaouP2pNN3JyN025wuAR
QXO1qhAL9xe6n909B4ysnwpytKvbFOMrZfuavbDlMBS9ND4VupZ53+K0RZs7VcIwn2AhejR9ErQq
8ojpc9ZCtQYHX7cF32ekLI0I7qTz1Lh3zYDIYW5utlzhJOJBD4Nq/B22b5mdNgraFGMlvW7TQslH
SThfiLtU57A5+u6yr1YE6MHDmGIetm+hD5x6PRUXrA+WS7tGemgLQnDedHlZDdZFdhUGuBfL3aaA
BMDA1UMikm0UdJjZ77a/bwMypcKARcVnS+lkJM+9L0ewSjnBpiLMhWNWUQ3rdXkgY5RsNNzcM0ly
MGHFF9fxc+Nl07hs/77GW1lqxLzF/ltnqRFxJdHzxiMzOGM50jlGRLkZYzYzRlWOyInXV2WYT5sB
1fKRmp3yPB+qqIhLU/BH0nJ6w/pJ8GEwyCV+DTozGRBHJMltiyRs5yLFIb7TCAq12wIkhWvRsehL
2uf0P2xXg625xrWtP3T5RJpM0JDb7pnGWQeuMtGb6czhhmxW1sam7CBpkXmYk3/dqfEzS4QfnP79
Zi+RB9t/3njuadEDQvIHc65eeTZtfEBON2f7REzBmp2+LrTl/+PsvJrjRrK0/Vc2+h6z8GZjey7K
gUaUt32DkNQSPJDw5td/D4q93WRKVM2XERMToSaZhUrkSXPyPc/b5+v3mWoTcdBqoLVHdhDacNu1
ZPEOfyk1cu7ebmtOqv7ufv9W6OhBdqAYWuC45CDY0vlUZBFnCAs25n42bfymYjTRvvqxNzLT1eeC
gnvC0Fqbm8FlzI6Q88UYjbeO6KwtTM+edaNX06Fe5vHXmb2yKKJX3KoREAOiAtPXLPCYtrjSuMnO
NYWuP8GFw7yaWgxLR4L7xq8wCb27Z0zhLUkT90Hc15Pm37Wm17tXi1hZN4OCmfFmFI01c1llghNr
SI6wkf/A0ZQl+t4XjPuSlS8x6CXeFVzZR5CLa8cfXvZnW0ZcYezizi0h9PRH5yyWL/3UpSecYqEn
hGDTFWZCmxuxu5/efLJ7hHrjdz3LVpQynd93DoYjBErm6TzcvffNtORp/3aMcCvbZWdhyoV9o1zW
BNyAihsPSjzGReSYpDNBX5PCNbK6AD3K5uNYahEThF3mZcJlhNEyvwOtM4cX5BDm4TvbkA18O1cJ
myvQGLx9doxjTTWO33FKA8EHVfl8sP71c3ryc25lfWzzPU4ULhWGsi5Vb+scSZXV3tx7Xs4kBnEM
whdjCJnxBZZJhtO+qmMLwR+2ZgOw1oXkU4ghMPU1Q4ZBwv2mAGcAyqpzzhDtAVh0GZ+8PFizg4bP
aHLUzv6e8GqTKew1vVhO8Wr25lXdth1AY723qhDJVHSyMlfPQ7xCF3ys6lj3b2p48AERTRF8SCUX
YsPa1eto2sXdAC9J76ocoPPgsnYUc0biIqeE4l1Wiogh3RR2Fhy4IhnDTvhD9TqL2TkjxrHhV6SY
DczHYswDRtWSQg4/tlhKCYyGPDSygwv74v19zf+GnsDB6N629n5buwBpxknoPIuIPtom1Xuhx1wO
zAL3to2V4Wv2YTCQSx/xh127A96ZTROaesdyy5UxY3T2Nu/I5h4VcF8peS6Eas77C5+dHwiBs9lM
wYU3UiYbbuIeUduw/H/WmaJN5yyBVMQ0Yc4ych8fG6j+LE2rSKob26g2JtI9htrI2iA9pqaVlnsr
KarlRd825G3+k/OWhDKApOJ5NiYEiON9k6qwHwr/M0NvNfDj19xwQaClCr7qAWatC4m5s5aF6yjK
EpE6jjzgvb4mxVHPvkpWlus/N5jo++6cPCko0fY/MoFMSFmzycC29parNhhdTZCuephTBdDddQXj
eX+fprufdxtEIIt94Zi7Cfsfncg8H82thWW5TZrjBwZbxe7Mtbgiu25QlOV3CN+o7Hfhebs3XUse
8l10Bnb/Orp/YAg4zD+c4bFqozyGuk3phQ6CNN04Z2T28KJIX4uGYMTe3Ii7d2LUneZ0LzW7ryC5
n2XyomNmzDrRNi/a3l3mP379TD+8YcfgoXzHp+oTuSpB/XiQjZo/DmxNM5SuGaqk+wpEMHLadMTg
rX2FZVOFtRtbj29uvqGp9jM1O/mpxjLX/Bh7VPt+D7q8L+/u82LxGTy/eOBcOVvBB9nXVg4JdECu
9n8nXDgTm8KJ7AjK0xE4ItPsr7/WD3UIDtFIGosGqEYAuCcduXsmMktD5xveuw64niY+3R8ymvMx
sh+F6G5qL0/Nv5IyGel2sLgdqeFbCiP8FxmqvuVmSah2CpeZfeSORDpTw4UnlXNuPCnxzXYHXRni
RXlQtKhCdHya6rCs17I89hwhscTzMZP9pIEAStBKsvM+gMGtvZAU7FgctXLUu1cRvnjxToy2cdsh
Z/R4vL6wwq5AIOLlhVljaoRp9wtMvDk8ocegLMzMnYs1w4H8DagTdpioHBJGpgOHZBPbP1BdNm2f
9KuVNLfT0pZ/cpDL5jcpFwjZAceQ5uM96933G7cJ3bMCluPE6j4j5xaPd/PZmXjSNRuVWlQ02bWO
LR/qljMm8x49AKqCVJ3Fdghva7/mG4DTwfh2FkK3ucqm1uC6T9kcXWPC1hTvNP42BI9nLs+jcaSO
I9M/rsKZ0IkLbaCpaOqzfk8ispr3fs8ce2gbnLPeQOu1RbczjTjv0z3JUrZbnRiq4Na3ZsDYprXE
1skAvZNzRItnEBuj5TBBcwa+TqO48UMnXwp3wAhiSia8+LZdT5fNpBigkHIKosiL3QR6N6f5kuL4
E+xhVzrdnb8u1rcyKtPgaFlDhel1ARfliPchyvH7ZIAe5fjwsc1iIz/xRVl5z0L3+ixOtgQogNsW
f/TqU4YoAQLVPVpDz1ipKRjn/zmPViu1byQ4h9vGxHV7NwRjsl5tFn8fvNFugx20IQwcrEUnvcSi
My5f2J+3AhPu1k0+DBypP45DNNWn++1m62uJtmca0JtbN+4DDZnFlOn50e7XIXl9/5xRJ1jMV8st
snDWNArmxbh081U6Z9vJt1u4t6qQoc318MJtF7O7r/b476/z/8Tf6pf3E3v37//l319hPZBBTnrp
n/9+W5f873+3v/n7dx7/xb/v0q9t3dXf+1/+Vvitfv65/NbJv/SoZT79r6c7fO4/P/rHserTfnk1
fGuX19+6oejPT8H32H7zP/3hf307t/J2Ed9+/+1rPWB7TWtxWle//fWj6z9//83Ysrt/w8e39v/6
4fYFfv/tuvoz/fzD73/73PW//xZ4/7JBoFP+A59+o9SzLkzftp+4/r/4N1EOnJyaDX37CS5mffL7
b5bzL7bWVKwBfqaq5fxHXY2HAn/1L2Zj/iP1YcAbXOoDfvu/7/3o/f3zPh9C0h9vk7UzBYJrBEey
4cHRFeu6YvaOvZMU2PSty/IhMd35+YNu+Ovj/oPmZfpx5iFinWaY2VTJte3ryV31+G2M78v3X7f/
ePfx9+Pb0kSJXWaO0ityj5TQgcQRiPW2i4WMFALngtJEIdX00aX7kEdbnX8+TFoBOxb8DJCpe5w7
Ju+dr1sxWb7F9S/sIB6n5P9pf/uSD2Z9kCM69tELWkZD2HcGAtTyzaRnuvts8ftqDjVvRRRRLo14
/evee+Lly1B18DhiRDXkHsci8OYblCHRsLc7Cibup4tHs8XD1/94PfvnG20f/OAb+aTSIYmjMZ5y
pPE3FDBG5l7knZnAjU8y884Y8iHfI7SuSISBMzc471TJ2F4gRDzxBeXaSb/KHFEjjAyFF22alTX4
JjBBbi7sfSWe2z/fT9p+Cq9kb9Yh5x9i7u/3ZDtCDqLfRW4ht6CGehpRkS2e9qzmcgA4gwkBGVFB
DGLvQvXbE9/QNh/3cBEvJQe0iR6menxvtfV3zwF2rDY+pJ1szUQw+UvvQJvovI96jYtPRB7+Al3y
qUeXpp7Cz1K3s3DMzK00/aazjjyrNPxsL7ycJ5q3tjH5YOzV2uSIJnGcY9F743sDaRekhtVTm9jO
8KcHrZPBzoQwG+dIImRdj/qsAThwRV1fovk+9fjSZGMiLvOXImOyqW2IQYvrzvYOzl1xib30xNR5
ppo++AYcMicng7UTlgXSqNc4KjTDewu2k37Ta0ngvYJMYrnXSiPJkqY2LBuhMHaYqMBi9NyXXdol
/fsSFtl3tfalW8zO1wd9mvEUX2ujxAvd1ijPTvOuvTCYtnb+OeX+HehnHPeDzgrQeBcDLrLA3kl7
nybu9RFQTgsiliZN7EDxY6T5xLJJNVOd4YXIws3+CqkIqo+1Mor5KNJ+mtXi+kx7ffBtmnqE8D+X
fihQxr8lK5y8qDw3ePvrd/FUX0mzBvWivoEcIAhNjcRx0bWeRdXyUjcfcodb1Qtd9VR8SLNHQmKd
u0rhhy0CsWutXPUX2Mm0lyhuTzQvpw3rKOWwQ+EeqtTG5Jotm+1P7lqLCwvjU81L+xbKIWtut10S
fgVvoC9ikJ8DhZ0XDu1PNS9NHkNqVUuxZH5od2POO1h8bnWoPUFt9+t3/NQHSPGcB5rTcC3jh+gV
mupaGE5FTVnmrdNLtQ+QAtozF6szNGpVAmgx7z2SxC/nNG4WxeeXAs1btgIaMBGhQN2eXnHYnoNd
kqPIVAuxc5LoQYiBrmvc3my9MO9iYV93SAr9HQLY9tLavI2Un8xIcpH3Emcxd3284gZ1S3vIYvBB
L0sNG7Ybivxh/ANkXqqPUB+tP4YqnqoLM/lTex5TCrxijlHzUaQRclVbiJsEjgbO5yu39NRF9hOW
rruqB+qGDbQrSmToKN0Prj1Z9ZtR791BrYPPwqsHHbxA6PH8HJZl6WnDwUonD+k1JRG/Hn5SgvHv
CV9GHTljP6eN2QShpa9tfVyNaOSWJlrX4koANl1exNgKfSe3N5VX9upXzvMZeFZ1Z0JRyj76OTm0
C4/yRKgZUqgVZDYNkmVeiMBrCmME9sUu5l7xz19/06ealwJtMFoX8/rYDmMx+5+wwxXUvmql2jxn
bJ/64C2Rb64y0hNBiOhG3/zQfcq5sMVaugvD4IkwOIuvHnxAlzYLDjutH/Ywekx8n9tW/zILY7NV
MymzJGczCKqmV1fEX0W5gslT6zfz8TezpqrgLbduiN68HHaiMcHDLoNNwYbaB0jL6GqveTO4rXcc
UIMdUWjFB0CK2kGtdSmK3SgAHdfMa9gNcR+uFYVWLgVdFyaJJwaVjOJwDT3RZvaSOMRzp2ICKTxE
S22qDSp9GwsP3jnHEi7g03oNTc6NOz0xPlRwlNTe67kg/kHj+PNUNkTyNYy9pb8blkpn/WwSI1Ns
XwrnBEiDsNplDbWoDK7Ncc4PEUSbUOm16lI0W2J0RJ/Teh+Z9n6yQOh1pZEqPrsUzX6FB9AIjC7U
KCXd5xbKfjf3bLUBr1uPXyuC/RYXw24N8S4rTl1QxfvRsdfTr3tm64GfrJe6FK9VBNdrNbQpnDTn
G+fCfDzZ6FirsJ+8S7COp4a9FLL4g4xVlkdTaBG41NLU2dGw61ztvKxLIYutg2VPqzuFaE7ca1xx
h0OGh5VS74Mqfdz7Rg/0zl+zYfNnsW/TovTuxFwoPbop32ewkkZ5blh92EBVQyHjmN3eS2YS4r9+
uT/vePiujx/eibgj0zasgoA4cJP3cf9siKJCKaiggj9unfyohoYl60/tEE/dG2tCrPHCaX03Uex7
KWpzDIkokzDRzMfDus+F82kJlurCwH+qb7b//mBCczItxywoGo9g9VAidAOGqAEFmGo9LwWtRekU
mjl/pOe1T63JBqwK5kjxtUoxi7Ct1bTO/evRbbMxd87IVZDao8vR6vjR4CfGuJVBb5o6Wu/UO0aK
VgATAgdmWp/xutgPfj7sXNe8aDHMy/txNsOd4vFLTWzHr0E/0bptfmuw/jzFaayWejJ9aX3NkWv6
aUzjaNTKkLpSLtlyd1baG5i+FKtzD8SoWPLx6PRoXGZjNHeGiHqlJQoC3OOOofQD2ZWlD8cK7cmO
OptvSHgMtREja+W7tUU8nEzDscwT0BW280kbu0t2Qk/EqS/FqR45aAwxxTp6VFAeujn93G3lLUpj
/aynfzAJNMhpM3bCwzGj1Al1O7zpAUWbYuvm4073rEzDhQZTby8YjLuO65GXEN2LCyTEpzpGitN5
oLYd3tsQrgaXjbu1gpZ60HrN7xTHjBSqJp4gJU5SY7jYG4pfs4SDENbsvyr1vSfFqgE2BQ1sycoa
dQUInc44dHm2KG2GOV4+7vuhjdCLLM4Q9oH1B1rlV51tvVJ7cDlSEdiXy6LhF5loz5kePy0mFC+1
tqU4DVIKmwyExyjjE58yQedtnUe12gv1pPUUMbHWBj4l5VqK6AD1+DPPbHTFJ5filOtb5Hezrx0R
If+ZLsYH07lEUX1ipMvCFRCoscZ6vYQ028EuMDuoNUtnxWpTryfFKY7HQ5LboM9gLOkfbTRKEIfg
iKvtNDwpUNEjmdSU1gO6m3Y91LP3BT1+pNjtUpBGftp4Y9oOobO0y74sBY+eX7p5faLjZWxogNM9
4nycUbmVD+58RN53hRaJD0pj3ZVCFBlo3/ZtynBMIJlY5fSR8h+1V+pKMbradYBLQz6ErTNaO8Of
PyG0eqn23FKM2pM9T9h/8txZ99YeljtqYC6Unz3V4VKE1hOwkd6K+yPlodpeA7WMYFEtP2CeWdoP
FjsDF1QPKZ12dPXgRbl4n/x2KdSmljP58EHbFGOMzOb0CSpSVMP1CfGR2kwu2xnaAjvomaT3sV5H
gFmQeBy1FVSu34TxQqUM5ikhNoXP/JoKfMBdamNECsu06OdkGHhoUb6jtBMN+nulhh1p1Swg3Yg1
5yXaSf6lnYNX/uqqzVOOFI9DA+l1mdw+XDoqPtalN8NssLqD2oNLEWlV0EUyzPfgdnHXb1b5VRAF
H9XaliIyL/Dnhb+rHZ2U3a2mu5+pOFZc2BwpJhnYTQOooQ+T1MVXvbO1QxB4o1rgONtM8CBwKEj3
kOiNOGO6b9oa6I3iTkJmKidxAkcvWfpw8FFbTFZHpW/jvlXrcGnFnLggXyC6dUcjETjDcflOGViv
OFKk9RLzKj0Hxd8d/cJ5aQ3ia2ovl1CsW7f+5ID4g67Ldha98YPu2JbWS4e25wH3DaVOkUVdxpQi
s58N0sampT8b/Di7aezZVesVWdKVdPZYsJ/dLFRXd7fq2bvCTS5g6p/oFVuKTbhT9pRTbhrO1tJn
e92O8Jyg4NdI1aYWWwpQMZV2xF0NcFlbfNam8QOXD+/Uel0KzxHgc+sCljoOQ+wcGthi+FKbnto+
wt567EF4tsnokY+eefB5fjnUW41koxihtvW47az0QMgkVhf6uXVXIDg8UiRhKva4FKED4BE3GMY+
1EXxygZKAThMbZPyQ6mGo1WIk8su3IpJ9lNptHvDzr6rvU5p4Vy4Uej8soclV7if4m6+ST3njVLT
svJpbvso902tDRdw81TBes1pY5yqbVNk5VPtTBVYXVrnCmk9VGv93LM6tXt5zIYeDxVKdbscfFcb
1uhTYDINrXarjfryWq1npPCcNFTYjT3wRsflz44d3Nz5X9SalsKzZ+FJhFt3Ye7Gr5HRX+tlqTYO
ZfHRGIGUyQq7BXjRJMdxis0DRuVf1Z5bCk58lKKunWEaBonAYml5XvqXtp3bV//JGiTLjCaNfPAo
YHIn5egMu9Zzs7vGFUAYN1PdvdrzS4uoAwmmymEThEVq/VEk9gdAT2/VmpZCFLdpKj+8qCX+x+5q
pI6FKl1b7aqOYrTHQz0GzZW2lsmD28aHcqRY29bEe6UnN6UdbkLJaN5iWx06ZmpP1AkMi72D353k
aov02U7xwXJh4xvtD5gLgDXXXqWl+TZtFM/isoNMkToNB2aajpbgVa+nLyLLVbuGOvtbPXhq0AJR
ic81kPioNEPNN/tXRjylSlJc6tIev1DTo+BsTBmJkb4CgWibEGMoNUUXSJnHjeOVpIGLStqwGoW+
00fv1EyxYnZYFiv1rT2A36LLmR5vx8W8LZxZLYZkmVIwxVStUwkUelFc7bx1uQ1aoKhqw1wK0IBR
os9m3oYw6V9u8OJW79WeW5YXtSm3E3BbmrBz/Q+p0b4q8kbtECdLi6KZKulYZG2IVVWDZ3M8YY1U
+mrzoSx5760MunQdNNzbJM0eIMKrQQveKfW3LEXSdc5ZFVb3YZxaEP4mEhXHQddcxY6RltAso2xx
zBbiJljAnAyu+7pI9VXxjUrhOUJujhDDNSF+mube6OznrKSKt+eyDGnQKKJzZnhyXR1Qy8lcu2zo
Ej8Yc7Ucjnz735DH8rWhFKHVZv4f4PBnoJPleKXyZg359r8HjbasIIdDSh2pWOM+eqctmndUaZ1i
3ceTF9pfPYjninETJ/gdVCT+gHDbjeIdyFnE92BeX3JsoNsyEqGvdXmD7Ycovw+BNykeeM9SyAft
AxHXbfAXVEAmS3cAOw2OEwNRtROMLJbyvBn07KgLaG6uuQee2+5xTFec22WxVF+gHuysSoSd7W2Y
EUxfPucLiFC1OVjWS81p67bTTN/UCYSRtC/fzYWhtl7r0nadglsAl95Av1e+uFo6gJ9TUSdKYx5f
1sejcrTGzd5tEmEWOesHiAvxle35IlfsGGm+sZjjHXPhtQZV1HQnb8A7eudENawQpaiS9VJcJOZ1
JUZ63uqm67b130H1UbxXkOVSXl6aCJhbEXp2/yaNIRPl/Ru155Z27HG0TFZRxE3oVcEfVT0ZuwRD
MaVO+aFyul007ugLJjJnxD7CMcQNQJoLw9Hb9hU/Hmh+MDpusDVyhG/WIcT1jYRdVhkB66VzTkV0
EOfQNxcA6GVXXAOJ0zZ2VtI4bylx85qXQBM6AE1e6V7l3EvWV1le2e7OK1KS8Xjc+Dp0WTtr2ndT
Y+IBoC9NlX+uk0Rr9i4bSxMYELn2oyeGeTgUBlmyvcst9XwNw8+HYE6hsn0d1RmAAEMnm/BRQ9m7
nAxwzUCtvZk2pyLt11MMuryj2s5ch1NpYtR36MbSqv6YPduOXvbwhbIvHTTwJvRXMxjDdub7HkS/
OsdMHx1/X1F7D4d78eLhChZrHDxzfViOmGms5hvEKtNuNN32WqRdu4Z6HeB4AidstA9ja8fOccQl
hxR2kYz2PgZUV7OfDYJl77ep5e3KGofu2wnea3BdWEZvhyu9Pe0dKx+v11Urn+cFZ+sQBWgGQhz/
pfVNAYnGU9qFwAp5PC20ZTyOoxjrMPfj4X3rNys51Mrv1QaoLK5pqrRHPh+AUdgg8Y6ZPcORRq0o
xpC1NWCMAEb5wDmXWmBDUusT5eGNnqptLrHCftw3RpUaq2ZlIsSw1ZmPZrehvj1cq5qDytxgyAqb
vmymSEv6OuR+4Psk7BtH6y5Va24T70+iVxbYiGFqx2bx6jDBUsje9Z2H35+FD/F3tWeXjmij06zW
OJgiLBqIvDuvbiyuNn34WYpDx3zc+5OoCkOfATFYumHvBm/Kjmmaqm4BpXdbzjY2uoNVh66DSxsL
L8YDVqD26IG01lp2tHCAKkQI2/dbZOdvIi9Vi9dAWmdHbiDnwuS5nQGvnKC4gdqvlBQ3ZFyQM6LI
Msichshl512kBRDjCqNW7BPpdbZ6bLk5l9VhbEL6mfPmO2ZIb5XGYiCtsRll3WPlAWsZlkE8p3Iw
vcIpsFTaORmBdO5OXPyMKtPtwrjN7WcAqDLKqof+k9Kzy06HAue4bI1ZwrmjafcoyvAF0CY9VGtd
evYJWymcAio8zOuiuAGs5/Q7F+ibmr4ft4rHQdplVYyQqWY4VoN3g1mB/gdn2kUpFWzIai8Pe6O1
hEUeksqaryM7GkJP7z212deTsu+gsYYg3aIU7DRk6qmJd0Nflmrj3ZMmGKM15mHmnByCvLK+JajN
v63lUKopP7FLftzxjmlVWZLlInRcb9SuYdMbez2aJufC3eEThW/GmTT34BRIPWgUuZDWwrUwrPat
yFP4dZFXmeIwdbX2loqw55oWAOlhF5cH+zjgQHcCUOvUam/flb7i5EErqUpMRtJ21r6U2WR9bTVW
AaXIkGUzXYatDxS2MmQL9Nwb19uiiS+QLZ5YemXVDJZv4Dzx7Qm72UxujKL1d5BXJrWQloUzE1YI
/phbZWjlfh3vsJNtbhJvqBKllBoowccji/plVx8ytv3T0iT+XiszuB9lUonipNTzsi4PdvzKcWvb
mWD2F+HFF1PutzRLryt+A2k5WKF6UwlsVqFlGWm+uThM9i7L7VFxfT+fmB7EBpa5DEuTD1gGE7X4
OnygaOKrUu/I4ryiLxc8/tYqFC22PXNsfV97R/HBZW0enrBGB1itDEfdPuHtdWOa3YXj4lODXppN
SwCZ8QS4Jeztsdvnms0Nz7S+VusUaTLtk6KNjWmswghg+3FIzHhXOqniVlkWjNnBXMPT08vQc6oM
pyv/KreNRW0dcKUVuBVVHEdBWgGnTqZnXVvaew+u2qtfd8w2F/5kly/rxoIpX0bcQshkrnbD1kfv
4uBY6AYGJC672+r7rz/miZcra8j8xY2wao5rDESsXuwSp8+2dwyJV20tlgn3JQ47zRikzMaO+Wbo
9dexccmy/alnl8YO9Ife1/GDouTXcQ5pSyof98xK7fXKMrKK6VfLUQUeDa+NXo+LJt5UiaNWzcRp
9vFcXKSVMehmV2yTgf9KlJYT9qnjK3a6NNMLsgt6BJCNy3CyEnXjv9LsOFXsGPPxo8OErJZhSQsU
AiCc9hQfNp/WAl8axfalSR5iTBSJvi3CtcWwqcrvSi/5oDbapZDFloTbaioEKVqtI6ik3TB+myy4
xErNy4KylDxClURbtws/4m4DeHDpOoPavkYWlNUmoMa15eGjOCHtZJi4/eaz4lQpS8oCd/UWpyP/
Zky9sRyqFD3CPquqbFQ7hMqSMh8ysmBnW4RG4i4HLDf0lzX1fK/Vul7aUi5uykl/arRDbMRzjWuW
oT83TeEMF57eemI+loVlrm2Zs+sODB13cMoXjWFUw1Waj0174iA2mCcHP8/ugCvHXGPKyKngmfAw
BvxkGhYm9a65Xnu2tjiA06MBhNeCL+6LsnJmc182zZJipAi0+EsdLelwqgS7zP3gZPNXq7Tt2xHr
wZsFI8iTFQ0TTQCpgPVf4mf7NjGob3mVbyCJt1Xqi+7Agc1e+Sn2oYmO8vN5JhJtPfDbXXqHSVk9
qu1oZEEcusbG3AqSj3FkZM9HfLSemSnWBIrhZD6eaGotd2pbH/PQnPVvrtm8gof7Um24SHMMZ80F
m+spD60VnW1h2tdm3V0iXWzrz0+W7rMN0YNNJDbzJQDpOQ8bAUzjuu3WYjoEC6qHw8RWFdfpwC0S
tSyDLJIzmsBx7dHJQ03gtGnnU3FaRRG/U+onWSSHr9DAGdHKw7G2kwNmVh8wqbjUT0+ElCySM3R4
onk75LBfh/QNqmobD+d4/jzjnXIhw/PUR0hbBB20eGwK8LbdbOXuIembtkl3Y0uy/TqdqGi7cKh+
Yisiw2TmTG+GzqqDQ1/a6YzXwPROtHl+6WD1xIg6T0oPRhTqh3gY3SI+xmmf56fBmQ3EZ1pxTMsV
Ez0E44rZU1mjFyekZqK24J1UpoaOzv3APKe4PlrStkSDZ0KeocpDgxuz3pow9DAuzP9PvWhprvAs
pKIrJb6HPG68/jooOudU+wFX826M1YiSeMHYAKcP1cUObeNq4WlQQAAJUkoffwwaT61y1rCk3Um3
BE2aYjwTep7Tn5B0+7soMRRP/7JOD7t4jpyDkYSp7duYGy7lwQ9StcSILNTTXWFg3FtEB2NMb/C1
xAzGVetzWaK34O/Y1T1Nr6t9jAKsalJTLeEiS/QWQGhpF+TRAdb3redot42rmCSUJXqoFnWPsRId
RDY1N1nX9aHmWG+UZmVZoRc5XjLiZ8NgBxB/FAIH6CUo7JNa61KU6kHeRg72OqGXYiyKqPZDEy9q
7FlDlujFrhdrIy47YbGYxWkI+upKbwo1pashq/S0ZeakVbZpmGZZcxCJ/0zz2r+Y0U9CYJ+Y42Up
XYLbNS4VeLdWY8PdbR1mba22iMtSuiWZ57iM2UgVPT6D1VDpuIY5F6bGp55byt9gYtqvVPgxyrGb
26Ea24MFV5yzZCkdFopLN/YCv2C/xN0Dl6BmF7UVjopKg/FM83+w8gXlQs1F7gQUWtU4zPtF1N7W
c56q1UEaMthrcKuo8horOJTTyt3VK1QAF5783MRPtoGyls52V26csF0PcTi1xls9LR0KjGJgm28h
JdUhRvE4UnnNWDpHl3zytG96rLZBWAp3OTVDoDdHrDJi83PpOeYYRr6VemoZeFnJhhW5AXcDuzpQ
k318nVq6PxyTLu8qtQyELGWr0rR3fSPxDnObuMwgSzZU+wSPAEvt7CFr2do+H1YcR4fjUCfiWPr2
dBCBrZbylKVs7KkcS1jlcDQ27hcG2FRq256SvtqQlWwCmn4X9TQ+DsCVi85udnVhqunkDFnHZicD
1fBDNRzNzBB7C6vxHRmJL0rRKAvZ6tz3dd2K+uNoJuXO1zQKuGZbV1t4ZCFbjNZUtzVcpGqUNTvs
OOPnhWf179WefZseH8wk9iSEZbhNf9QC0u92vsbHdHEUO0ZaM9N2MmouYvsjEEnzJfbH+RdXXz21
fYosYsNScGr6YeyOVeUWe9DSEGHsSI168oPPSxH01mr5TndMvbk9OVEPAFzLFcUest7XmkxrLfK+
O1pTmaC46t9SXj1fmGN/vrTpstx3mBqQWd7SHRfPWHe5nrcYiqttJnQZ9uXkg6tZDb2+luBapn75
rreJWi3hD2a62irKJiqs4RhTPYPpe4KtMzaBe5Wxrsukr5UyiCgd2fl4wvyCBcybMjHVyqt1WQKT
lKSUa2EPx1Rv9d0szOgYRcjofv3kPz/H6bIKpjDyxsxryz+5UeGML5OhTMvT4poFpq2tYBX89cc8
NXCkeI1GK7KNjC+BQ5B2GE0n3lfzoKaI0XG0eDTVCHzi+96l9Tiu0oOPHGYf1Mufao8unUHzjOkA
PWN7FLNY9ikWu4eujJQWPl1WxAQYOPWl47THMR/GU4mB6A7C8Kq08umyJHEpLddd26nFymgtTkaX
v1uNzFF7pbIgcU1KG29F0RyxD/f2JRZzOJW2atJ5XVYkVt7i9Z4fCRyWtHafraLaWWJRIzfpsh4x
su2iNTJXHNO+SbCQLYs95ulqVMEfrbGNhZRzG/unLKvWtyv25u8zvPouROwToSTLESNrmowBsfLR
aQ3qUbYNhzCNSznCp1qXAtU2DNLVSxCcbI3U+ah9xXTsrVIg+VKU5hwfIwwuPJy9LKzAxxWZbI+r
upKeT5flX0ZRW/Wqt8HJEWWFEDGb3eSZaxSVrxarvpQuEnjCsosXwSnAmTELzJtCV9uJ6bL4CxBX
0y8mTZc2y992MV+pKWN1WfmFgUIaJV4TnNYNfZRPhr23E39S2xDIyq9MLzAcW2obM/foqmrFS0zX
1ca5LPvSHdQtVlnaBxfBT1Zpz+wqfaU0En+QfIERSlqrsg+mO5RGaIuCuutkKod3au1vwfVg61sJ
o8mKofZOdm3MMM7tzr7ZSvUu8QS3TMKPJ11dFhbheSawz41cXKS17qrHWa183nl6HB+pU/Wi67hc
p+SuX6P/4HB9JoD87EOl8PUWM6rGrCk4ts64Pe+NIsWX+JjnRF1xSqLNELmpS/xkNhdm1vY5W9rK
u64L4SbliYN1lpe7Ys3H5TqJFi36bFkTsrtKR1ud76wMG8tpxyZHNM9y1/DF3dhFk+Fez5rtNfmu
XYtYS3e6FaRWvGt7T7ARql1eHXacTR1/Fm1SDsbOzr20vLbWHNzzYeFA78WHpRmndp8vFn54IOSm
Md05OR48YL6XdO6qnYFlqWvvggV2e35liNyFTV+SVOwxlkvbYuABO6+u3gmz5CCTeZn/vRQl/7kd
Gns8uOjOrd1AD+X7cZzMNMS4dsZ1KcfKsPpck1X1ht3cchrAx9Z34+RTldp58LWMB5x4KORc67bc
QfvKlo+bWuxKrOUy7yqgUd1+mtLOyA8ehZPRceXKxjxquCt3+8hnpAX70Z0WpzyY4+rotwaefcEp
dYa1pLaqqZcrMP7V3nPF6N5l+pD6Bz21/h9n39YcN44m+1c2+p2zIEiQQMTOPJCsUlXpbsmyrReG
LzJJkCBBACQI/vqTmpk9se2zPXOio/tFllUusXD5vsz8Mn1Stnk2owrjildcwQC32OYmm0foN+XU
NpUT6PfzEgjJ1iAG3cyjyQsEnOeYG1m7qzrNUTbiLMnUcsGnNbVdYTgqu0LESLOvkE9HX2enkB8Y
9i3/vnTI1TtqM7H+bjcw4HxpZ5rnd4mrk+Rmr1u+NNWwY0YlPQq/xHBE2LN8GW4xocHxeemu03hz
SGQWzXIkcDVGNabItPengABR/23mqpuaclqB1p5zDDuK53jLNxvKYUyRJNbw6N0GcliG0UeYYtkh
U4SDTo6g70PAZzlNZ8oApNFz1o+8LfqsF8esb8dyyjavDNCUENn1vbJc7TVZbH/wBmfUXTY1i3ze
NtqMHMthostRJsxu5dS0KYVLbBuGCn1Ny78g4XCcrsW2o/FrGVk2U3jtgLYXgiOHGxWUc0mSlEiB
S+QjArdNdoTBSr9dj9THgJ2Jg7faDprZrQ3mn0iwmYOkMIPJGhmWb3SIMDNj1jzVTzlTMa/a2jL5
Db0PH7BpVDqtlZVssnf9QprsGfKsWR1lyDEmJCYyscvOItrfxK3v9x/dOExLWqUGcd13MzZtexh1
G+hZq1jOn9pIcUJxvCEHnRW5QvzuHXGuj7+lsq55KOpGqObK+3VlF2K6dPosfRZYCc97gmn0xiOs
HNbOLBu+1843fVP0c8+/MSQB60+YLt9bRJJ3uLugd5/CLXSsluOHpyj9Pkmz7mdFdQjP/U7iuNQt
dtJ3mWKZn5qe7ndOkOZI6MzlPTdLnh0I73T7Ye7bbX/wELrTCEw0fAN49e5EnJ2td+P4swe10l7L
bE7C1TTJob6aqYjN9TKLnJYyTVL6hWdIs/0R+76+wwh5dAHPs3+HxF8hjZw1VQODoKjaup37C0Ie
1v0E86Dk8yC6VFR6wLTgYx4QGHwXN3UXn/2ExOJDNLdyO4lgkJGcZ1tPPpGs7usP7SwaXergIngi
SoKE10KozK6XdbfM3FqyO3JOdKaHj0jWqKf7BdGm7ZG0/ZRXbpMrzk7PuGmP0E/H5nYWa/Z9gCfA
WNaADP19uxGDo6SdNn/I2ORMUxHQSet1L2FwfKybRWPMIMrX5rnlVqRnpbXOCldHJvvWtkLqshmR
OysLPsY1QThQmmxnOyhkpTpPSVQ5O9K4GIfd6y+JE3gHFSNNDDtDZGSWXdRYU8gtsuNhfLfkKWBo
t/d3s8dg2oFp418pCT5D/lmDLMYSURDZLcql5g0hpTAvlkNLVYnIYDZ9CnPCGAyOlILlWZH0+96d
vcOk6XNAPp2pi3Z2+Ybzftd+mgrpcE37Aoj3ar/3sXPNB4RwimuEvRncCj0sa8SHAS/1/mlqt5gD
Exn4yMPoqWJIfNUjuxpELPrDujbJEIomdny/9pttAF1syH8SJ1IHFIoYZ2vbs0UWWlTspuuip4z1
hlZtmi1RZckaiyoP+y5fDNkTeVrd7sXVoqaormZP63CTIGLrgcRWdk+Aj2joi24YnDjCOr5xF9Gj
jbkLwMX4Me07XHqurtkM1XHabjeqIbIvp93Erky1ySMMLxhbdx4jdLuNPzjSK4wGjalzD91GcgSQ
g9iVdxPs7rq5WEOKmBuYixezNyI+x4mw7p7ZORq/0m7jw002JBYLbWzV0P5IBr5jOSj4ttnD1PBu
PeI32+SBqT61H7N+beuLbTqZnDGNmg23i6FIxjrgTBqyCoFGSf22wy8Zxua2lexkp65poLTFOAoW
CoeZ0qWVLuiTliqBgpVC0UoOViP6sFhdGOnTGAl+WdUgXjjtAfjCJp3Vz2ncDtFPSO2f3mXeJ1ip
0HB0weRPkH9uPyc7E1/FES7AcpVj/1NjyusFacyBnRA9jCW8irkPp9iPn3qTygp2yN0HdDXwSNpJ
hEDCwewqL8VGsfQVQWDDHVLs11JbFGsPPQWvd2xcRCsvu4rC1fMxy8fV3w47DWnVddKyJyVmHh3b
KdJlu03ID4aaG8tA+aEkC9vtq5EUbRlHXvtSOvSCt9Jh7vOhTeGmWEHmVF97/MHt3gxNhez6FNgC
7ZOtkqkJn3tjGlcqjPiEG1gCJl9bY7Yildltq3pyXq2NkiuM9OvkPY+bnkTO06c9VjCDaQV2/TOJ
sRcLQaMV62FgJaW494mQ3Vjh1LHz3R4t/LByMZYLqW+0jNRHePau9znSfhHDO6ik6ubp+07auQiq
7l6RrSJvUh/gdu4tKJFTj+DZFBWH26ZQEcMS92mOG4yPotDaGewLHRwH4dXXYx0Uk4/SZ4qsGFp1
Xsfjd74mOO8jzDBda2mhnZYQDTfXInHb+hP6GtcVAjToXpGIruya527ffuSj8sdmdZAuFy0M+u/5
7LK2nLeo1Y/tgMPwNZlUXRgbIQO9VH1Y4KhSN+kwFb3JdXPZaexMBc2RW668zdStVygGf44uf0jc
ruJqlHGj8KhajKUPIprrB6p1vR0hjBzHD9CsOfkEA4LspiVdvV6pOYRwl8MBQVdmA3N+TmGVsxZq
oZ4WyTbP7edlNA157dpkvZcJnR+0MXtbeFiw2xUkxL5l36e4m+Mnh8TE6HMCKiz6lGY4SWHb5BzD
FG06ZCyUeWdWWjYaCbSXtttNOc9LDrw7W5a6zHe2HrlbpLxCc7LrWw/RyoPAZZubYvUKUquG3VGh
xjLkiDQ0NWR5OL+XIpJLDflxu5TU7Plhy0R3Dqoraz9+UYj8KvKt82cPHZ2cxk9Q44UyJFNa0jbt
M5ibeMQlmEkMuL4w0MVlTWDStoSqGVKNyh5J7MW2ivimG10UKmRSkxPz0N+GGqRoOmbugNTrqBwG
MxddwmC+YLLxI6re16xn90uMYIbYYYum4V2JreiG+jP73HTidk1EOc0xdkYck6u2H9ax3KUEexSR
9ClWfj4jBKw3RSyR892nWpQLRv0eLBn4JZL5aErSTHfoM9x6RYecZSs+M6LmO93OLZwyYljBHrWQ
w3SbKO0j3BVwKbgWWZNUcprddmRxl6738UgMDJ3BrIvnlI++Pa4DopceZtomn7lFbFBl0xrYEu8i
l92FUdf5kRjp6T0IzWT8YF2237N0GOIrPUxTtBX2Hb4YU5y4kP5DA8mv1lijN9nHRlzXODI1krjT
tHkIkD5F5ZZh936wu5/h7YG5aupL2GTWfZmLuNP3vQWGiYfXDPMhCZjbHo6YxY0PvE7GsTKkprqM
u3aIb1MkqCMpOLPvxTWHdLdtSsFXRiu1zCRe8CKYGR+Vyw+SD7DmKnaFEcFnjVHe5KWx2XRjxgVl
fdk2MipjCetBLF2+rUXuMxwSdIE/xanJvEZRmW8EvWDjwOTCksR4ZCwlKSLjO7wZ8rhM2JglItTn
qg/tMl71G+6TL4wYvx4pIttjZOAYmOvFaZfwKuRD+12srClsEu/HhS/b53GsW4qWh9XS3i1Q6+HE
Myjpu0vSaQ/uvw73PLwH7+5mT64t5z05cCQnbSjfUOpWZk8T9uKHNWrOfTYy97wMdbx+GA3izcHN
zfQ1DLVfS4aQ80r37UexLUux6ugt9BgnmsD0FGaT7al1GuYoKeb6Uewl5b47oYscDfkM2W//5Ayh
J9pTf4VUb3HwKk+u+0SITwMKqnIL8lsDI+v7GJDWQxvTrEFMgXtifr1ME26GC/dN+BFrGb/MI+Pt
iXYtxgt2aXdxO0fUPBAP/2HY37NbOIcuBc8CnEgWsl+hbJlfGkBO5mGNNATmbsvLJYLkoo7YC+ej
LcLEb0FDwmMAobiJKSxprnHEredgOP2I07059FRmfaHU5iCOQdgJRXx82XgkQFQ9tg6ez+JxZtTd
qVvy5oCFgcCwrAmXPeM/OG/cY0rT9JKRHgsuGUzZkexxYEZ9jPdhu+eZlo8N0RZKp2Xo+7nYSCe8
LRr0b+EYEFgYTtlKm5cs3vTFycBFJcc5K9W+7NtxNJJdAgS56Ucf8fypGXyCoAHqxjw61Spf/VDU
2Cscxg+hJT86Vwf3kbEsC8XaqY1DnByvPlTdu5nOeQjbDiMgbuKgkRU9zxarbOuSSVZNtsbRZY1T
zFljYt+Ti2njWtzZaLPuuMK5grzs2UCzUoR0dddLqlnzil5MzQjNoBE96U536Y3c1gH5ws244miN
teEvyTJocj8nS6IPMO8II/x8bNaep2gVw5cIOxMhbCx0rKuIla0rFtahuRJuybvSDKi6fVEnUZIM
RWBh6b5vnCXzzbpN6/4NMWseBX7rOMPtPWAjM11IzGLJA3yhanpl+NDJxy0GmnWYxjRRR5fj4KvQ
ozf5eX4XlB7mXNHkHvNKkl1DEZ7EVSw2Js4xJtK2nx1uUXW/WMc1KYNo1vZiZ5uQrIDNDEf9t0s6
hEeAPTkFrgMR8n5t7WBxErVjjhpKK2z9px7wi//Ss16cUyS9A/JRPv8S26SPXhUkAwB+tokhdxO0
SltidaDyL+pl7ZEAY5atWlVj+KcMLhXuhfuW8M/WzoLKiuVzhGKlHlm0PmV+l1tTRJTmCaqc2qhS
1MlA7+zOt/AzhYHF8MN0GBQ8cInwyg9haDcBCw02mQeklrN+O4wr/IqvRBfR6SHD/sQZTBLzXiAg
HikH/N2OcIw4yYS0/pT0bU9Ule5mM1MxZFnWINhgQkeN9kXOZUCRisIadY/zj9KhRPRXom968zLY
aFqPk4ycOFsrFoZPbBfeVDMdtvW1FwzzpFnbC/vqfD+vR90QFZWiX+Lrbm7qrJwh7XA3Qcq0wUeS
dxhvteCNSqPXGR3WnMFk6GXZU8HhPTHXN1ND5ytfb/zDnNDgbOHYvuv7MAxDYZAQW2DerlkSJOZx
OR2D5yhfGoTqLuc9sYAcWrHkhXUe9XPhFuftYx77vP25IqyHH/aekLbKPOy8pqKxSE057Zli3wKy
GTtZJFMk6gsCxtMsLe2wywjNVSDR1bZjBV/llMX5xeFmkV/F3rVVGGF8cj9Raw5dNO8LVAJRHZ3R
rCWuJEDGcSpyN9clDMOSj8nqIHlcfdvos2jfryc8LRfDr3iauhJ3oFYvDKQUOcq2HV2lI9b5w7ph
NAcwRoTRxT1v4+6OS08AAXWhv8Nkw3Ie6i4bsSPr5TIRQHe3gjaOnlFvD69ctpO/G3tvL27Ox6Gt
eAhbyRgODoCLTf0KIxc0I43CadpJ0986RwSGI2Di5c9DzttS7wFJO5hnIqcuN8lwO7vEDremXuz1
ovUkv1Kz8f4w8d48A0ZJDipKUIXh/WT8HPY8NeWwpf6FwV7nzdCMkKKFoUyHRYxCpxh8ro4Jgs6X
ckavOpUcVP2KsEe+ga/AuWlRjpqtHBZgICWsl8RWYoYrNEXcYvHOoadDqSH9gugcjjn0dhKjA2Do
ol2oS+5X1n7e/DrvN3uKy+4jjGsmeqOybuls6ZJVd9cThzAMpoDbVpFMTgvSytN7iuT3ap3yTcKS
o0Zg84iiIn+M2wRwTG3R5xcZwhwvu6yjDYrWedirHiQ6qoTaYSzuez0ibOZMe0CIRQ3bE/42OcBq
uMrQuCBsciPQUOwOx9ttxMXknkC3UXPjYWSAutcjpfQuXeDRVHJutL9XYEO/pTs629exYa791E4N
puV6p/UAIaBKnxUV6G6Q2YsmoEdICjAghEHi7Fv1p7YD6gGM2R57u4S4wBmx1V2xA4tmVZ9nbTtc
B58DOCkwYBa/GqvHpJwAraz3QTe7fyR6jvLPvp7H5X5ZO9FdeCvQ0hzUUvfdeW3aLW5x3lL2s/eo
aV/70Hi1HnahYZPdT/P+EcyBgvptBcSktmLDFW9Om7QeO5vOLzRpkyNInvga7gq4SDiDx3kx+mzJ
P2I/+OEgWteiaeHxuN14voz9F6+AxhToYZf0No5oNr5pKURf9VNt6HNEd7XeBcLleldPiHh75IBU
6d+BpOVO2yQZf7LRivy0xc1AyjSFU/YNLrIGl3WzMeqrOss3rkuEZEGYW+4x1C9PK2yNyCWDRRO5
xsLK+8uSJalGZh/ZxluhAbAWmU48jM51a94IS7r2ju71CEFRTfrxBMf5iD5g4DHPphLxTbsHcTMG
fUTwojdHSNS0KkGHsOXb6JWNkGy4O36OBkAgn8mgZjQQGSrHKjZCS/QuqGfV3QLgry8xueDsUsDN
J6bXJKMMVTtz0XjqIJBYv3kahMVvldXuyjcd95VhWveHIUn4XFFEybi+mI0K7RGF1ICOIIX3GFST
w3uuF2LOpkq2ndgutQPXWGLAoxGsgoUCsTBErxWIaHCYU3PJ1i3ZcTQ7nZ5wTk6g2WdcYQUA1Lgv
MOm5y2pW4zIc022J57e8Y/0QoUSKU5cgqBY2OD91rwYMYvWgtpwtV4XrMC2jwYirjGoatnMf84S/
LAYRLDfva27T+MW7VKaljLdkumd5N2yfIvw2IipaNHvTcny3oUZ9v/J9Te+W99bkuo6mfsMdA6Hr
XshQN819ULFFTWaWJCMrOCXgTHkJkoR5VxCrxPi9CziyIcoLuSJvxq3RfFzgLoG6ENscvT9iZiZz
sWJa+D1r5drgRuRy/9G3oBFepfRTf0ybdIzQB886GZFynJnuMUVVg6sBWYUpO2oc7fNbq1PmeeFi
AZtln6cLf46BqXXIbQFw774J+LD2LzpapuhhasDUPK5CzhYz74EPtMzXGYbEmHfTZji3CoQVFkmq
k6PJUd9lBwQgLvM1Rvca5ssd5M+k4ORo8i6vCMscv/YaFNANigie3fRLmtqncZC9ueRN4qdztCCF
/DUhBO15Nm4ZxmUmFS3FkFMf3UwE9jqP0WKX7nO0I1CwFCgAxkNYFDd3nXUYIVGM5OvzPkCLWHJi
wc50yTDCpMg0kfvOM6vr5wTYUElHBBPIdb9EO4KxTZXA1G84e90koUCZIfcyzje3nMI0iuRkAI/7
q6HPdvISt46xS9eDwis1UWDuDxgEJga93QiEHri93Vh0nA2lS5lkSkYF9txtpu07FDUyGCwcSQxN
9HzsohhETTaCmwnFgGw0XoR506wybc7Sk9sWsZ90ukVkhBcb9Yso+qRByBmar1jesNhY+8Is7NDf
8iZd1A0BqJ0fB9Yu4sl7cCrV0ADew1ghlGQP3TgO2XXdDGP/5DkezHWgvLcXsiALB0AFpOXICg87
e5BLrprLJo3oP6KeBYoExDAL3QxEgStAzSnM1TpSLtjMOirhHpEFXYHAy7k49tDxvXsP519g30ds
XAoB90d1UOBw7HLOlTd4sC6X2jxsBg8NZCdWAuLCaS7CU4LHjrElwdp+/wjaA8DWip18FPue36BX
yKJrGtVAEIuMwHaOvvNvnF4RmWX6qpf5zG72YcLIdEzD5L74bhGA7voF5hNHh4Tp0BaxBwYLcpJC
LUVmy1e42xllX9WacvowwSHE0uO7R2uM1m1jiE3nZherLIXyvq+CMu9RcM5md8zU6XhOMYLrT/Oo
l6Rq1qDHG2phMFNsdU/ic7prltxENo6jI2hF11UDbwTqaj1bDWQsUV3ydcuRzH5d743cPgBQTh2Q
8rY2+49kZEnzTfcTGc4kwXTimXQ+zLcY9DfueYCLdPtxGlm63cRpZMPPMDOpb7p1UflhXxgH9iFA
Txfg6BbQIZ210OfNLr1diLK+dAFZn2eDtyCrZae0LyFnz0Bzp+m7InblRwEx8t2wIsz3I/F9Y2+N
2+PxkiOpDhUBEO8a4wnCBaSt2zyV3wCaRECeGI+0BTqIEqy0I9a5OoBH6gE04Ah972P8eyUiIrMm
ZYii2GCb8NlgwkGz92cnNNr0pgBoK+5tvg4RHAK6vPuxvN+MP/IFOBvGv1lznieBIoTgpBueEmOo
W8q0AXJvimVI4cHgE0Q75YBCSZVQFkEQkzRzfUfb3Pkjzk+4F67D2K1vTm56u5n2XLFPqAKydCvk
LJdLABa5feK50us9rusmOVnUKYWCT8pcIL6n2aoxATaPyxaU4wOqYpFfbIvZgDuwGgoj6ggs2NG6
zz26coaoyZS5r8sSzbzArA71gDN1D8DCzO0HCBviplpXxCh/kNAi4kJEKgbcFsXKa/GSayKgDR8J
GCggXLWZJ1d0GKFLi4mD+U9KsNVmeUOj3AAOQ0NK3Fd0Y3sXFZmD9kEWDMer24tmmDCfUcBWXvvm
uGGgE3E+45Zm7RfMRAOULhaP2Jn5SqHX6GTpZzh++wsa4Y3FlUlaiC+qP6dx+UUWmYV0VNNohwMR
n2X6nK1/SpROfnWEYUOybha9+SHpPnD0PB37c6Mn5Fc/mAlub6Lu8vyIW4qgVRUrubU4LP9dpPwf
GD2RXz1h0HBTByUX6u4Im2Bup85dKx9N8FCzULUADlsl7PRzMdOHzQIgKhGDG5ESqCx6jn/9sWT/
uzTo11y3ZgPG1kUmP05IAR2qDsMgtxDdzSXKJTB2YNv4v5nQ/wMRUvb+Dv6HyMnMNtg0SbIjBunn
/MmFqV4q3aDMxNQ1OjEg4G00oCjcwvhvpov/QJz4q4+VhK4Khzllx4wjy8LBruUwA9H6N7/QH736
L6otjSQ8m7eCQXGhvvUmfvFc139OzParkRWq5FnppmZH0Fyo1004d8uQ/MkX/0WZ5eLYjdOSsSOQ
rgMEj4BXY+Ab/3pB/dFT+WWf1xs4DCa67NiQyOJKXWv03bh8/9yr/6KppL1OoKrBc0GnBk9bJ5DO
uE9P//rF/2CF/mrpkxkQNXqTWC5tLugPO3bKlyQLFHk8nCpd6AUq5hOGg5j+U7F25Fd7n5Y3PofX
CTsiRpR9Smdj72QMdOZf/0J/n8L7XzR4v5r75DIk2Rqa9Ki4aIFziTF4QLj47y3ELntJUfjiT8Y0
HrOrTstnuXfPMVYaO9W2W1q0Ck17QKrhj21NWk0Ll6Mi+se7+8/fDWzav/0Xvv4+6WC6pnW/fPm3
50nh//96/5n/+3d+/xN/u3qb7r6qN/vrX/rdz+B1//nvVl/d1999cUBZ7MLj8mbChze7DO7vr9+8
Te9/8//3m//x9vdXeQ767a+/fQem695fDR5y42///Nb5x19/+/to+H/+z9f/5zfff4G//nYdTAO6
0X39f3/o7at1f/2Nk79QKliegS3kiQB79tt/+Lf372TiL8iZFCkTaFR5lr8PuY4IC23/+lua4FsZ
FwI/89/fstPy/q1E/CXOgQ7nkEwzTgnm4v/7zT38Y5n84/PAw/jn1/8xLuphAhFq8dN4wd/dFpng
ecJzgsM64zymEG39/iwP0diD3E/bkzVm3Iq8A4/b1UMElzBKT4m2AO4z9Gd3m9uXE8oef87RsB9A
VUYnVBz6Gh65w49B0+h+aGz3AKX3U9bGoJJ1Gs0HJ+f47AbqkwI57O4WVKr5CS4sHsDJxnXFxiF9
W9fBKgS1q+i4LICz+jHkuoQCZG1Ktc3mSm3Jy8wDlGNwKe4eoOMZEfWEOscVoh7Tz00q6u+4IqKL
XAGZFZ1NweawNarvRxXHhc0Y+PGVwIRvak5Q0vDjMgx3+dRiz0yO0U+6k+lb3HXNlfXtCNRVQRS4
ie08b7kZygz2Lofd5tmjaoHdi46+ezznFujaas9oc/hnnnlgzdosRbcO+kQYTV2F/g/R3Ijta58Z
QNgLQdI4BA5+/m4VBJIGg/ygh9v70O5Qj6SBApDdxxPEON+Ap0mUfXqvsABblHCyO0J4WaQ2k8cl
lzckCQFjuusBpNwKsUP2yUXf7azuOd9QnbNheY2gN6jgS5MVqOtdufjm1cLr5a7bb+P01JjszQP1
LWcZfwi1foWNzmftIP2MqAJfq2yRtRS159IBlhhzWW48O+wjTD7hprMBlDbfvIBaZckKSOTmQstp
+NKhrwDzyaMr3na3TCeQTgH270d1bTJgnXk/h5fULfDbZIeRvmsF91OmEjxFf0hJOA3Q/JVQ7F3Q
2KSXcWx+eO+qVQKc7peawcQHqdXy0Ib+yg48uplhDlFGweN2nfaxHIC2BgUgwTwu1E4nkE9fF9D0
8ZwCt7WCwa8HBnJJUotiUeHU+/azyMkLRmaRcT5HWIYgpPmpJskha+u4lFL5MxyHEJ8Xx3Q5ISUp
OkDNmBebQTxN2YNi+q45AaWERjcUKiNYAo9g5WHr4ZMrSdFGCwECLcXsabqgo5wGs1QqxOYAdgoL
IkWTdVUzxZ+hI+gO+0rRaKb9h51CPx3bFQ9s9vL70ILXYtCNwjddRsjFgeA0YghOxyB4l1wDNfzQ
wWKuICHhByRCrEfwNzjre9WuhxEsrTcpSCgaPkMrt11tfjt3YixYmOyxBiV+ZnXn7jjFFgPMUr8s
TaI+OfaBgay7yo2TV82QiacVYt0ig2w1VIp3BuoTJw+6hzQiSXtEFgDIAOEarebjjlhQid62Ssk4
lrGKh6PL9HIxMo5/5vXanCWpIRfKl9OEDOV70pKtAogG5YBD6wtAWj5qMusLxUx6yb1Ivka5HKtI
b9cbjW/owsZTb9UH38RDOQOPONd2zm4FqRvMV+rTMOIIwbDlLZsGAaNPRz6CZY8KqWb7lTWykFAy
YWgSqiKRVzRZyn0Rd4YEd2JrforQLEOEedeHqMEuGacD77UotuF+GNVPG7VTge50x+pnOG3g+N4Q
/1GGjZR6rnDkhDPe6XbrxfSpcwOUhFCkDnL+0mBgpVRmvVjfPcULHmSz0krqFYrl7dIGfoYzwWEY
bva8foT35h244Ytd8kPStC9AK1kxK1/fhXgrO9m+dlsjSqSiT4Ua9Esn1yrJhosDJh4BqpYF4ln7
W2iP9xMI26tuwOGMmBm8a/Ily+bmWi6d/JB0ZQofRGz33EFkYWSFjJfbWsn4ZhUjvX7XUFcu5Qco
NK7qHdiJIrstsVux4hX0OI3C4IE+TFFXBQoRG6gFdRWlceV5D0AR1kwF5eNJDWwsHdEF2bf2RMhz
5Gx3gkffjtMAGgrzf0g6r93IlSuKfhEBFjNfmTq31K04eiFmpJlizvnrvfragA37wpiRusmqE9be
e/tsVKUNKnTnuxaTUK9fzU81HT8s/GwAMprAMpjbCfAgp2CppwA9npTK2kCk+l952/8igb5liqGt
QWHiyeVos6ev0+LrqdHv51nedVLq96PRtU+bLU91nodJ0oGYu47zSgbBR4kr8Nk2u9uifir140DE
NrkfmslTnfUIJblDKxUKx7koWenrncI141pPrFtMn6EJtp2wwCt/SdQQ2XQ1pnE4lsRX0HN+acWc
8s61IYvQlb1RM3ytGsmFhiP+wZHqX4siLA8g+2C1Zu5DdH26IsYhLje/HKKjHSVWWXBW6mdjnTBp
VZ4Wq1x5gJPmbord7FZHa/jXu0v/ztvBQZha63Vh6xsAB8G7ZP3B7k25M/t5J1U35m5rr7DNz9ua
BVXZxG+1q7/Zbp4d+sZcAs3M+yCbdPsjVufT1uerJ1L5kczKyVqqMDYgACZkFkHcjtMxH5s56ptW
80E3zbeyWwwwOKN8BkDFop/9SKyQX2sMBDysjK+6fPhs1Zg9OneegZ2tfZgsK0yMYnh8eRcZ29Cr
LgkVhK7OrIAgaBGs9/u0tQWucMmwY5nv5yluIUka58xLstEHuMu9vrZ3TtN8FK42n6usuOszm95u
1U+WhklMv9Z/8qb9Gt05IOJNMsAjyWVhjBklsrtWduHpgAc4SsBf5AW4aJzsMrs3/NoU/4bcOeg1
w8mkgY23rcng73KCDN86+GiovzgXtxZVjF8JiMk2a98ake2FHEavYh1+qRtbe7GYOkf1IlM/6Yox
qLtJPQtOW9/KhK8slXaXaludY/BXiKYB/WlsVfttUZv3Vm+3XUK6h9Ws3iBZTiD22mtl5+HesYbs
xV3o0yzSZyOUtZPiZZoaQWNt7hN5kwFyHbzv3OloGWXoqn3tuUq+7WvMnDUFe7NiNqMtgbxG1sCi
NqEcaGFsc5C5XS/j3dJVUS4hqFmc9IExqB+sEbJAsMPXcFNCcCOiBQsaXvnmahjpa8yqn5UJG0+y
QBFIsIvQDdBOFQoqUGtUjYhXOMKXzu+3eNhX8HuDYzlMq4fbY1fjDQ10g2iLwMhxg3YqpEdGXIS1
eIqBncIxo36w3fhQ5GnsgwQMHrEKIIFb7hu9+tIpyxnw2vYUIa4aiI8nqtY905tTZsHcI9gqmKjZ
i4dWp9jP+lqFknrkIi2qptG+phgBOqm7d+JFHuyZYmEeV8dr2GDEFVdWOZdfE9X+oVcmdmFTcmeH
Gtobg2Kk50Cvio2mSEukekC33PkGst2gKnrxIWXb+UvdvfPO7IVg+Qxzwopvzv6yOBsisCt7b4Lz
QPmOPHKp9me06/q+Je2tJ8wWj4XZDnsqLOJtMu5fDl8byY7yQkE6+4+FvbfpKcssa4dNyr9aGcVN
YWnMqV1dhqI9bNV/RgfMD5r+v7IH5hi0MmJh0kVicSaWZ8sBHOivtY0D7sHuniyYr3LQnFNsxl24
0C9Eurskv2fbwoVxskSEhgTuXmusaW9ptSq9Rt2+gJoINUqWeJdKfTilAzwyeyiWzzOP1YaQ4M1t
rW891vpdaw6qR9SyTQVZpSCg6sIjosjhRe1iPfF0uuCndup+mW25zJByhfgyzNr2zDSWnmPkzXP6
iD3LrG1HAXYYRPti2+sZ7y9S4pG0veDUOIVEo5k/I7yE39VmdVZyd/MR2WRBjv4JuFxCkRf9tjdX
wdAVxJrZM9lhOEF1/dG06uM6iX+9o3+LrR6DtpGnvsiDOG6/zLSOn2tEhiHCG3tXunq9L8x/+syt
kRj6s+OsH4NUHTakpbGHBnln+Ygiv7JQIfUV/Oc4MKg2tD9JX+5JRNsuFIk7m5razhi0SSwsvTi3
TpWiirA33TJsizbzNFud/Cm9gilw3JR453cWRfvQ7xcj7Q6qoxjPymh6SfE8uXpyUZoS/MsusluW
Dw8Ml+ffXO8snV5HPu6L6ar8u/ly1N9uOqCaGH9E3IjnYjRr5uTrO0zgn87J7r3Ur6Ilt1GxxfIc
223luZbG5dV0aQDyTtFhzMhPVkmc2Jxry2kVJmNqqpjnzRm3J9C0LRSDTE6mZJOX2dT2DRvhoHNK
9TrOImrn9h9ct1+I6lJuKdasuNKALFGpcZ/LcZsDo4M85u/QQ1kk9WUe4/lTjx2A4ESZXukbYaZq
gCQa2fFfCp/+il5S3M2pmn9gOAtWYM581RpVI4NWWMUf2cXaOYlJXA8ra4zDtU1HKq+p+UzYoBIH
punfKeEfp0JfbC/JKF+gNW9NAY2zpXlUd4UboRXzwOz+WY3i9WzQvNzkK4BheU8eHmD5xAisnJpf
hthAJeMtMGFPvLoD3yBRJA4mKCx0S9l20CXMVKJvQMhA2ERIpX7VZOgZ8mLvjNp0zrPmME5Z5vPW
jddJlU1kzFYTyHZB8cTpWeE2uUdU9T0YW+bhkBxoLn/eaMFut9nblgp2TbretN7Yz+plm8S1qGG4
wYl2jVJaR1PKxtNi6WtuT2niTqG02yEwu6S/NO540YotcmYN7HJew1Zuv6qt79lmKFb75Ma5e4RG
D5tZNz6cOXsxDbc8sMrW6ftmZFHl+qdMeA8htaqfPO5ezHaJMI/isibBCdA3dCVwpKLkxhWAkMbg
kI17RVv9Oj9YSnFJq+awmpb2e3Y1M4R5+gDu3+vJdKVF3bD86v52pYsenZNy0B6N5WN4tglvWexA
umINZ9Sj59yOrVMNmRbQgrYB2L3uV3kfJvWY+Em7mSejTBa/VyswWE11InMs/WJtnuqhigo+zZfG
YoBSahbkh4GecCsPlVWeVJMqZt5MYArSHvxOUeMPE70UVP2C6tNuSxHWupmjaRn0Z5b5ui8m6RyR
UNFcquC32UinmdeEUwKV3npbn5lyZlbQ2mYdLI0rXiB7KQzwwFp8S+IiHc1a3YWygW0XSBReXLfB
/CzGSzBkejWdl1ZrXkvIubO6dgkcr5yBd3CEvsPyWmGOLCeimyTTwM2rg1MY8x4BcByMk4CZAU0b
v/tkY7lusN1t8t+FgmVM0EuDd1cAY8FGTS9NtzknKYj6MtWBIkUvIi1J6lCOJuvtNf/QsSIZGlyg
ClilC2xa99LazZmZJUUv77DndkAk5aLmTgio5p7MqT1OI2lfjWpuh3ypG9JC6slnnpZF6uK0iA1F
+h6vdNyQj8puBOv4MTJqmrApCF1a9C/cGhOOeD5vigA6V5FoH1ZRUG62Vt6g23OxX0mJO4vlzmV3
R7bgQhE6Hm0LlN6cU0HLPgJBAE2CgiCdaA1FHstlcQOEFgQHb6XzvrbrR7JQqBWFVe9nKrHA1Hm5
ESB/LQ03Tdlor/U6nAYtr3YYPQC0Ivy0EDVctI03UxXWEQcBJagW4n/ijh0rTaoSrY2VvvUcak7X
alyrFbIq+QOPx2Ukpwr8wKkOatbKAMCs8USuvaljg3JfaoUnHXOBOTHXgyrcy9xzEST6ovlKoxX8
f8GbvCFzdyJmKe2w+jvXov7sE4mwK8lUuo5R9WzR6siem7PGdaNl7sQcGt+70XKvtaWyUE7LPwsR
bBHQzxCyu0y8DHZK6V3dA6MATzPTC0D3t4yrW6z0f6GxI6DtV7vJkvfONfNAtIrwTaR+Xryl2g2H
zedCNRF5TRbX/VygUkoh2FZFM4N6SZSfWijZznHMN9IyhVeXth7Wqh3JzDnpJaurFdUdFf3K6jw/
oX0AxYWCjISUL2LSnsp6uaRFkoRjL+7UqYnXCKCvxnLe25455ZLSFuvyHINQltJIg7RxnvGh/Gz7
5Z5Bc3PzX+Gx0LFZkdnWAdrIPSs4nXUcUJWj+QB6e9uaX+OiyxIP3WcbCU29A0Q8HikmYFaV9d7E
RcErTjAvUIY3S3Ac8n+T37GxMDocWHJESNHkL4kGllCZZPUYrcio1yFTl4GM4M1CFVlsd9FL5Xdc
ZMllW6sg4b8c21m1kQkr74L56N+m5t4ZxvJoskD2ugZ9ZqvrSRTnP+VSoZDORSDRVMttiizErmE3
Fu9jNu0ZyFR/jWTgx4tly06zkBHC6whtTvUKyTP5S+bYj+IzDVN35BbR9OG6mCgC2lQXu9JeXhsi
UumLuumDX7E+1LrxyYyXn65CFoMpX+ErM2Ewse1akdY5yV/WH/eKIYSfL1xgxPdEj08kaBkYeL3G
QGHYpte5YVCF/DjmfLenoB4XbAYmRptNymdEMvGTzvfNhGq9a5D7SLT6aaejTM6r7odJDIkExUoS
ojlAwNHa+GYlGAPP+fTVchx6nDavZmccULbcM7u5FcAk+22125uW8y3D4n8g5X9WYmY1U4rYM5n1
eNctaA3H2SjvWC5p93R+HJ9VujPm+FfdyMvI84veRrmP6ExOdr8lN3Y1RwQtLsKq9TBv1eQTegfr
X2OQIxdv7VOFmVdZhYmYjt00hCav9ZuCXOtPM5vIYWXBnA+smvEj0Yvq3D0Rl9gxy+32jdL8GbfY
Z5G4E/VoR1vM/am5x7nYNq8p0y/mx2+VvvzjiM89Oqz2WldT4NioixujO7P9sANyM5dbpRWs7WXc
+oT2ogmlBmp9ciW7sMvcZY/P17BXmAWnbjfQYa7zc1vWp6nPhmCBGKWTmDEULpv6MM/HMk+PZmKC
4NXK6uHRWHgClVkArTZ7MmbYlMfnxNFxRzCRKCj9Fkyi/VLaqg1hbg+UtIqPQso48htCgdI9m0iW
/E6LH60QWB2/oKRTqe/FsA0e1hYKFXo7vymYHZ7cejvKKc5BhAk3olDsGS/nb8nMGDHBJDJA9WW/
9h2PjZIr5zwfugiMf59O7hf0iHzWCJqIW/Pausbkw4ifwJV/Q7E8a+v6z6XKRSXuhlUZH1s2NKgR
GGNYjJ//VbG49QRaDow0XbVJfILFo7aUOqqEf8YINhcrfK7066jtevU+GNpTvc0qG+YhjVSMb8Is
pxabtAew2MUnA9/XJ9tkJd+3evVTOmwxtPU+oAGyLFBHkCEq9nUAAGrAuJCjGBdrRs+9guSH6HkT
Xt7KCeu2OyN5NHZmPnDAzQonRF8j6o+1vZSqb8f19pRXfOxcqmlUz6o/2L8Ir2zOFSmNflbPfrws
UYHFk2dRh75YUEfPwAJ62MY0MGWZjE9Fl55Uo3kMuuhksuox9SIQUZbjS6HZ15hSc6kZklNHjexg
CkKtyU5r4v5Y4ajNfc7kLudkUsebbT0lAlWT6JGsYD5KdnqdIe2T+rMC6XpyAfYiK2UC0mITkVIX
a0qPzGjWtqOBDwU5NrYVKfz5wQA/bejjpXeVAz0qUxZz/Vvp2V8dmQlmAvmN+7JAIC/RSnZBWtjt
3pkGxGTvDo5wWIbEOW0DtDzNX/rXGZVfMWUQEJEwDhh3qn4fi9HvJyqGPN3NhXJTzEdwY9Ye8FVY
vWabit3U2Icle8pse6+P9RlA0gpMZuzDoArYZpsGQhCT0yRAhINIL4jyKsQ9vP7YkaDfMqf4DIAo
96KSqbrDcqBn6PRJKK08jgxxeAwX/a2hg/cSPTtZtbX5RbtFmYNXBCL59kx78Y3i+wX+KHlItl4m
yyGk9UVUCYbgEMmsjIc7wC18WSrTsAM0jB04sSRJ+mCmsEGWQEk1ZvHvclitcAUxDZHKtKEmtGEv
3JRTbl6693FBfs9BYrQv6jqOr6xQERWPTxrM5F/ay3tbbuIyDnNaXs126CnlgG1/p5p5qCmdlsc2
c63luZJWfF+b2gqpNJGdEd3MIbXArG3p2u3ix6qgLQvlPsn22e7Vb+R0RbhkZcmwf9qzKai9qTVe
GvxwGU9uHJ/jznQHDtTaNn8rhnq1Y0J9xdlBuWSUjnJY2oLupKtYAE256tInLX9wz9jCeNk+ta1a
d0NX3hnOchaMzHDTiVlY0t6FpvdRU5bPblGj3WFWOuu275C9E4JL7KE706wJmIzdORMVv2+h+Hop
X/FYCMslI5w0F9MUas7wg+hsoNfT83fTMmhYpyyaxjxQB0TzvVbeaPv8mHw9VrySbYKSPeeZCcWD
Sml6yOb1UYYEwkbLVO+VRri+6iIHoAei9dVQB+QAw6Rge6bcvh3KtqMsvtFBy4hz0GyQfcwsT9Tm
uva5slOwcruuA3zNll7aanH3xswywVAwS/YYlo1eNk7OIe8gEa14u6bq1O3qxeCfJ0PspbHrgrLz
PZSccqXZXmOn/4CLyzyxmqav9M4rnkuoyg2r8OwsXW9pb+W7tIxnSInOPCYbyhFhuO+qjvVLwoXm
5zryJvu5GbvjVGu3gY2vx5WjQVGCcIltcvx1tAX9f3nJkdo1jvaUj8y1kykLNhqiZpIBzhJxMOuk
fCbqhjuAPgTQ9xWxB3Hvb8gavC3ZmCQouuKxOtFfYlWzgmVwj4lcedntEiG2mgaYsVzo7r0OW6O9
RQ/DeYPi05GrOOuV/q/sNUYWCxVKUbETweUnHuvYCFxnSw5gkgUl0Ehk+DSPyQ5xiDSgDGct6pzc
2LvdIg5I1qXH+ilevZWiXgaiLPLnIWuUwGkz7Y0F7AnvlMhahN/b2TNX5r534PwRqUFZjnJF95va
deGl4MEvclXUHb0Ivy5Id1mpzS/NHLUXU5afU7PNz6aKbUZQGk4fAsNn0h+kMHepO6HunhonC50V
HVLmGgQmZelTouHtXxnaEAD6a8/x3KxfnUX/DgGunhylfGdi2wSUqIqfKHZ6QliRsHuak2Dakntu
LFmwWPFvTTGuguJkrj75Zn0X4fZsVkmYzVPJj8CGNh3fkJND5GWhaq9MZEpzT6V53trHSmA8KpbJ
HggVU9xXzEfn5amJi/vaL829JUcKpph2aVh2dc4QojABDhAOqNkvi3tJLabnYlue3DXPc38ciAxa
Z/k96r9Hq2WtTIiN9HCWYLv5bRrXhXJqMu0IEPTmNEwHskw/Aitve1f0KYYl08WxHv5HD3w9SvT+
Ait8WkbYbDwSg5QJ1z2ttR+soOaLsmR58N+PnK8/LgAg3sdBgaLvof3hRBrn5zguEo5yXCm2xpuU
5BsnlA9p7at12uFHw+1P51oK7Rfe/wkez/MBgzcMumwxu1HBx8D6gSxLeCPPcCcWFKoyEFyhHFw0
PrtK5xiTes52tnB/ERF071pMHFvjWizLF9k6zLEhabomP6ZDFc5bfc/m2DmSSOp6xqYfzYbPY15j
/YRD236r26dmY9X436i1bCCjIfSejdZk3TSCJ1eqqQQ2orLAJUWcvAJUEWXqjO9rNbuBNbsG/zuu
3mc1HfzYVBARCPuUmsNlwQHEwXloNvWbskIyD9xQF11XDzjmQyoslsA6oIksvWV0U3OSAxMHjpK+
o06ledOm/NL2+tGGfwYtUZp/ZmWzvZxczFXwwhAPOeHnoOFcaedx6WHoQDSYjiuHjYxE8ZRi+6ly
Mmr6TnaRDrrwimtbCWiD58Ghb2s989xldg5p1+ofhgbc7K3WJHdSaMpl+m9HUZgFAbQdvjGNhyCy
/JUJKJZl3CQ3cG1dOwP0Y5cKmNS2VN6NIrVvK5Egl6xn0BhlFg03kTk8y7U2XNGgJ2eJC+8z3kj9
ryKzTfwXFvcnnrLG8bZlzs+MILAE2hwWGWs75pUH5M7P1SblgZVkHGK+pZ/6FO90tiix8dpPBPKK
abHZCNt5aKMl80uzIJxpXq3dqpr5D8bts6/H0N4exlDVrs50h2bVTebdmE7zddSLZafyMBJJn1pP
BcK0T6k9trnq3FzRXFDv2J35vSzpedHF9M0oN/fXOIkKlkal2uzbRVzNus3OfFrNGVhS/1LFqj5v
0zBGg9DrsE4nip1C0kgppR9PmsT2Od926zoMHnbk5l13RvFTWqYaEhKI5eYar5SA/c6xAAmRDLXn
uLA+XHN4hyPQWK7GkZHObYRpifGnMeqDrV5Ud7msBs8CT1D2lZkrtYX9bC4lfjXLx4QU01vMxN4t
Da2AazSPtat1jwsGkRn/yr2BaJV/lZzlU5W1/JLTEp/dbsofGrfQLlyX0ekCgxPFqCXPlfrWNxCJ
Qb8oaeq1AOGgXNjJKeRKrlk7sTtJ2EW0WIgapUV/UpTLKRPrSdUc6bMvctET9YFZc6HpShISvfp4
2Xo2wRBdP4bWFj4TAagZDfyA6wFtWFd8pRpN7rRMM91dP4Ranuk3B/tDROtb6adDth9TOTGzQ6PL
KtE6MMR3QgAIQUPg2OI1qYsJkQKWbx6nNDsCLcUjppFO+jdpMR5akWUM+7mpmX0jv2ec8/9i2wz6
IjF+TeYywYo0bBRM43vCkQd1QLl3HgOYZJvQptlKFbByo0tWneI4D6zH7I5Jb4lA8wiwphymfHU+
2g5vuMpsWV7bq3LMc7u8qTreRr5RKuu1W1D1sCPAG6ToVm/rqaPlZmESvNL5eOPQVatnjVr1LfOm
DNEOTCd77reo0UjzKyrdOKFcTkOnX9WPbTN/uKy+bN09tOlsnplJcPmTBW/9XlPpnLoCQ42Jsc2F
kR/5wLzMZzhz8zJO7fJSM6Tm63UV5g+GeFNmrY0DRrbTeRqb+ock6X5PLHT5UJxjjFJW3UluI6dN
pWT1pdHt0pviePzJhiR/Ma1x/Fy01kwCoxnXzWfkyRRfm7d4CiQWI6+LZs3YLXTpniFWFthyuFfF
3N2EZYhTy4t/WMRaHwYO6xN6hu6M9RkIkmnGeaT3JUy6Wik/SQ/B1eWj/KOmDvJirZnZ9KmLzqU8
kDe7oiO6V4nWYpiEkjMs+iV+SoxKi0oFUUSVOwWOeD2XGxDJw8vtSaR880Nz0SipQ1pu+33COoja
0E4PaGKzsLTi5tY1mDgPFhSMYbfihaz25GAO5cDiiq7HWywU5xXjlP1YrBu02DTrnqbL3wUAup+K
CoYun5uDmRnFB1Re6xtD5/Izmz+9kna+2bTNRRV4xglFT96MYpxtnDgwr7TH5AlcS31UhLimeqYt
p0Mlh/mPPVbNqwC+vKDLn31ZX0DZ+L6FqvjxphfPm5tOv7phLf4OtWtjRUQ6xQA1yHPjKWoyfeKN
V22+Rdi8L0TCkLka/yWYMVzjYlNDxrpLmHUgdGZpZXfN0HGkKUqwkWXKblNh0lwOeZnts1EwAZBY
2920mWOoV3mt1awSZ96tPtgc1fbyjSnY6lrGQR8H/aGOLfi2+sXhp3flL2Ww10vl2oBiTE28zurS
g5p0W5QOeudvSzVGmmmMJ2fuFErEJAmSKeZ3LnokoYq93Bq0a+9Km5Y3/qT8RK9n/TEt3BbZHKHu
9IquFG9wAxlzSEzGnhLHek7s/sPAz81P4G+DwsKWaiOQap+MwrmrzM+6naJq+RP+BdOlxGz0i0gI
lsD5Vv5CJZazPNTdq4UTyx5v+yHoUQ/eiHdXIz3vymtT1xbDsU76yDQfGaVDfS7pNLjRS4INsjqG
ncuTZ90pEAu5TbLfYg2pSTqWtxiB+G6WZRZlomKnsNX2VRR9ekKYix9LS75D1uuoNQ0ouHFNzr1w
eKaWyXxI3BIOrpzVXm9on25uyCckD/OXNBdmhWuLUr7rB/fPFC/xSym17m0mfyuo29b9lqmJFrso
ptuir/FTby7tHLIPK/bsGbCI4WnHnS5rHyWS4xQ3xMQJ9unkU/+U25S+K6ztwkR5MIZul1+VpH/P
XNX1lbywf2fj8pDqI8FAz+TIIBb1ctZFWzII35ibmgWuDXqd+33Z8c/UxopmhbMed1DtFUupVPUy
LCFRLFFo4Z9hwV/R6TbOJd1qY19r+hxILBP+AbMb0apizznUTO44AvkRbEwU9iWpJ0jRFyuA7EfU
rBWMTbGZpUtM1Sda2iTdK8ymsGnSRvsRhIv5ZakNUTa4NkO3tTO9tGbOOCV11Rwni6BVwFpdMBSo
h5/BmVrdw+lRnBqDTejEbPywYT6C4RXQ3uaSfuBOrUqXPNrHxjabaEDBdVjdbTwbU5zBw47mxApv
MEJlbtTPuHHXkF0aC7n+pneS8T6NLW4JWEYiTm+dF7Hq8snEc/51tcz+3GOUkPg4dT3ovKq8rYUB
zTlV4oS+twyHBkbPUJjYp6JQolrO/UlgMPFcpboeYCqyeJOKH68VV+0+L7pm8MRiyhPBONOeJbMS
gMg9hKb1/JESt+k1GD4+Vn5wUKla/eiZ5dxQ0pXfy8Py0bfxECUVjPFKX6o/mTlrjPFKZ905Xd1F
CuaZ64xzNfo6HBgop9z6W5ss5WF/ogeGpUOumFPx2adt9byaY/uHkQD8DJChbDQkkt/1jHpah5Ra
lzz7J4a6DJAor5e1tdreqy23vdkAg49niigXUUzWNYuf+1TOTGn15sXFcoQuXMnVN6zX+83TB8V9
ZdcHcYvsN1yx2tyjfTdVj/sy/YuqG2eaQpjbCx6PCQ7B5fLT6KAKws7UP0yEkzsLIcbFW13BXtXK
Rzpy4BZYoYKcFBP8aU+t6ejWNS8lSwJtRfA/a9qbLOcxkm3hnNdypKiw6u1kwhzs1b5nr1Z38D0q
qx5vrjhGWI6Tu7BkdX7Dum47Wts6/BGKs92l4ljRiHnYg/3C1sLt6EI0RZqBdIizKFZylEQZL+EM
wmaxiUM9j/be4EZRCLpQs9uy6IGiq+2dDGHrgYFm/LawdsGW4hY1LciAT3OS0Xa18ybrQNYYD+M8
MSceI8HxRUuZjWK015s3fPX0sO/W8U3RBuvNIB1xN20Y8aJeHpgpLE2xeWu17CHa+yNGk9X3aFBs
WutQ0jv2467StpzLoHXfunK0fpSYujdu151SJyIs+AMDOS79iYoOzB/5rfQshfHQwy7sruamEuIc
wejdTjHBc1ee3dIxP2GY5Jn2o76LYisZgWaPEnMpN+xXFvcmnVy51XhuhjO2q9AgdXFXh/bL6UFu
141CjpC0IuR1x/UtrhdWKkN6zjZhv9TGY8XZqY+Fft9Y4Fqw8HRPiIr0Ys4+sSU7irmmb0wttN1E
gv6amiYLpnxI/wJ6LQZkmBwO64JvRNYJDGfMQRAmIZmEPmcV7BPAgHIuirhgYK732Z4kp/rKDH/7
3ZZJ+mYOjXjijKw2nn9L/BGu5n6bhdP/AaZZD9tkW7uRjdK32SvdZ47V6o68mvjFGrYtOcUdytC6
QI+kNtrFnpCDo7IaxueSe/6jzM3hvuDdChlKygIbffMJ6mdDzpsggVYylUNQ/Fn0sXztUbLPgY1D
7uotfHJ+4zi6CXubmE/YQkwnjAlgp/HZ4xF1rNcNL417iXVx5+kPs5FQNEydlFSwPUArjG7AdYun
LMbswqs6dioOc+xXK+dgC0ZGmvQr2gMIw4lVGS5V3vVqlMeDPAkbnBKCUYkvWqmgcX1kfu3XbumV
a5VwnGFWquJZVNsXtMvjGBmdzD8VI87PMUTxrcTb8HlJC/A4V6Gt9JS6FK+Wu+FDYrFy8NQmJs2X
djrUR1u+qDGGloPWGUd8P/q3GEDnhD4Gi422GD6ZLefAXiPcsQ6yiUkMfp898pUXPc2FR+By5S8j
1iE25ke7di5fHG140kxsOsc51cPFibeTbavlR7OZMX4aNf9hMzfsM80OZkm/SZeaQ7VVze8xw1fd
H1bnsdLXsn2nkiIkljSL/sfcmSzHjW1Z9lfqAx7S0Fx0U3jvdJKgxFYTGClR6PseX58LEWllFFJO
WvmoJi8sFHpwOBy3O2fvtfMMsVZMGeg+0UVAkrE+AfkIivWAue5WaaTwgP24uxpDLj2CcN62E+Ls
oDa9FVQhDoUTmtaUKpM03PvsoK8KRZKctNbUB2EXAj+FlLq+BaGpLez8O4b19FfeYU5yUrkLr4WO
B9GpERRtwBQac0dKIIGa4FNqKJZu08obUXywVBiyrt9FimgproTyj6juu5MQKavf2Mq3lk8yTF1J
6a1GVKEL9yd60iK/2dZobU52loa3PZuKI918itBqBTFE46jGokGT3bfkcENlwNpksW7e2r0J9RRO
8H3JruqpKCho45/zTp1fjNuohA4H/Dl6gT2qvvcZ7CwfQc7KmLSMk5NIt3aCBcmBbmHcgDY0fxiQ
zpxBxDFemTG04R1DW9pbkRk8hCD34dB4lImlHsHuqNeAjVVdO1Ag9l4ApCZ3vmYNu6KKwufJiNN1
lpvTm19qORoH0VxFUm/u62zWXonJH6k0d7LTStQV5ZAbl3Qp+pmiXr3XraQ9dYVSHcdcK45hNrH8
Y5d3pUHCcmMqYo2tA3s7iPQV577mvQ+G6KoXbfSz78i0HcBgss/RdXvFTiVkaq/tIN4AHeak3TKr
vKUVrkxHqAo2AZsCYsFi9qqArwZLFn9j5zfs614HPE6H4ica9foqbqP4gLnaqFH6Mf5YXi25dBq7
C16tMu92AcAsx66tfEvFrjla1JFWzKo0rBmU1zUumFXWoHKMjUE79JhWfrCPD95tRI4PKmLYYCel
NhRxyzdHBwovSh8sSjb6vtS/9yOyruCjSPZeMwcBr5FP1Exh0Sfshx2n8/x6UPHeDBV8k7XZGvhs
DDPnLKQfpBEMM4vWRMqa15vfIerT0sN55mu98lqrtngsFKPZD62irXwjDO6VMOfcP9Q6VcuYqkyZ
BwjQCr/jgbZicM3cNH4NohyrdcYru+uHsefE4B2Z5FV66ap3GyKA/C1ZJTWRBigxHcces1FZhrzQ
Ch5u0PZWF/wK9UzstRygg4ocmp6Mne2VyC9WGLl7tta2MZBwaNFkD9o0PlTzqYoyynjUq7L76dmq
9+AHeqZTqaVrN5hW+QuqurnVYdNtVWhwa10elW9gEKmMqHNNuBqq2/9oaaDgMlXtnfB9+si6MZ5y
gfiRNpb6Jhul/AIoYdx3IMNvp1aNngp4jM95E+MnqWRUHKdBbYtDP47Rpm/CYWPYqYajAPy5WSJS
xmszOnSDcwcpfL7RWSfhCGaF9kYAWHLKsEMcIqpNvvMfmth2lcuBv289u9qnhdb8jibkOAidmSrT
HE4IPX60J0pPCJ+soNxqvWnTlgOoF9BAO0Cj9aFGt70uajWnrDW9V/T7bww7Q7/Zpz39nTYz2Aha
ikafVaTJfUtjNNnEtCewDWa0jNNGFHSC6QOpYPwi9STrbbIfY0mcqn4+Rsdxf0x8rO5Ro4WctH26
MRaA26fJLGhm8h7SwmJ/dMeW4tpqwvZNGXv1mw5k9TFsEChvCpOu+6AhbYy0sj2lJcJ7C0HZussY
HXXjh9/TQXo2EvaPMOHUo2nLwZF0ivphmIIB90Yq7oASWsesEvnalKHIRtEY3P1HazpO48IM9/VE
cphWSva20E1rqxnUqcICvW+kPLA40ZkHWzl7F0IEXZU+ccaQyuanD6d+TVYYzgmtSCcw5xlvmmmq
1Q+mhmzDgWXa4hXW1mCB1cL5T4i0Zsjl3thF7Gl2AO2QetQccv/T1IFhBVoS7Od4ZDfyUBdLxhhD
z4r6HRTbctfiG7rAk3wd/sSclP9ulo7jP0zKt8V7BhL1/b25fi2Wf/P/S28yjvzz3uSb2Uz8f67y
6v31T0cz/69/zcmYm//LsA0c8IbMgmTPIZP/mpMVVcw+Y8vC+GgLmij8F0oc/2NOlgnRwz2oMvva
iuByLMH/mJPN/zJwOlu2ULmiyf/+v5iT/4YdYB+5jFyGnEyVgxbmN9ukKFX6vrIjhU2+wKY/X137
0+9sGp4s114p3WWR/pLySjojSuUPz/kvtupzd77wUtdKi7+aI/03polbZEzWutZN/cKL89g/Qjc0
TvxlqnbeHQSuH4WhqlQP8aBdducLGIPW1RROPO68nkN8KOxe4UHT/h2Jf8ABPrrN/xY0yCOfje4f
79zWJ0G1IvG/Ua/wNi1YlNckk9G50Pa4AOAxf8Tscv9AJOn5BGkiJeibMrbDVd7HWzORvQsSfOeL
z5CJDxe3ChsfSGR5d1OCcQr21ePQyIy5/zs0//LKnHs2jLOP14bYFE1jGNp3ZpezdarYYIL/DlZW
8FXA2J9Gf0lVBLse7n7+5A933+QDfG+DNrtvFtN10hfFvtKhfA162LB2zWpmpX2TZDPeff6VzowC
Zf7zDx+YWHQVG2pDd1Hb3pBFgHTDE+MX79K5iy+Grw7YPMt0w7wjwgZ3e5es8kp/+vzG/3khl4yN
+VEtxi+AyKI167a7q0tlo5YUDabcsbyD2jxa00Ne4fNlXx3fxmW0wW+KqnKftD8972A2W/43t38i
Jvrii6rzG/C3m1mM9zJXoOXSgLhrwVb1mCon/0rC6BxdG5w7de0N8qozSJPTqYfOejapimUM2aQs
j558SiFh/s8/yk6f/w65PQ7cdPonBM7kv2f3+xeP7dydLiYP2aogXgVdd0ej8KBpbyMlbIMnog1X
mASVHkc8bkwJ4t5UbqW2WAFGcMxkWJGMSGet/AIowyrz1ye2jJJGwh1JlTrSqEtn44ONHLl0iGTf
KQZPCEuXyvGCSuwdgi9K1g7PJwcjr8BOQJ/mCc8ZGgRoxiGOtxh6HPZBnz8h88woX+ZQo9aIUf8W
4V1JpIijVuahx1hslQIVUgStGABpX5H4ERTFdyK0ICjWHUJ4PXqEZnGq5fJ3WNinsEifgRV/U0fp
urXDZ5JmHqQaSgr+elwex57dYRWMV5YiXZukUOJlrQ9kbD3QP3mLU3ndUxfAjjr8QIuyCZJyTS7N
VSvRtfS8fWURrTKRadUM39kXHJFX7ahuX0nA+gNJPs5PLATYQQnhpu7g6QnlLgJnGWblNbF31MLV
cm+j2wrC5C40bBqYEn6YBDN4kjz2Ur9NhnhT6RFVbZrjUKSPelgc8SXv6q68gmNxoykZkTsFcRwx
iRKt51L8/WL1PDMLyos5XOlTHzNhXLpqxwIXDNArZivlrk3U9FquM0F3SKshekdf/OZnJqp5a/Vx
FqyHiaV/5GxOM3urhhVVh3Tz+et07tKLGZ2EhxC7lFq4oueFmBoDi2Xxctm1F5O3yFNQn4VWuiVu
ICcwvBvLCr99fu1zo2Axd3dSjY3N1EsXSg1shxHBw12E+eGWgoydXvjc1T+fO2K50RT+WLtjb9+1
IjlGcux+fv/nnvtiRjarWrFxbpdoh4GcAq381qJfW39+8XMPZzGJSkCipUjza/yYVr+S9JhqQB3L
uxhh4kXvjVhGeA+6ZReloVQuxl53kiS0PwbYxc/v/+8PB2j7n8+9tfG5dbT/3N5kvbF1v9r3VRxc
tKcQ9mL40l6OaksktZsMyYtJPQmQ/ftlN74YqKkdjCHRPJWroMmnqDS5QqaxfdnF51/7w17ItKSk
6cDju+R7iJXNna+y1LxorIKS+vPikSZl+VzdcePB/jkllBryUP5iL3Tu51yM1UStxkhAMXTT2tpl
FYrtmgbvF5PxuYv/rzE6zuRNLg6VcUtlZsLNUl9Cp7Q0YS9GqacPFT5Si1mmpIGOCU5fRx4Ep89/
0PnM8r93ZcJeDNO0o3EClLVxKfe1DlwjUnni73A6r+g//e5FeMwaRKA6BdULsof5Pssk79owRlJB
5odVxL95n1ZahlLz829z5odYBnnbuenHPQoWV60KZnsbZkAuxP7zi5/Zj4llkDe2WssPCwweXWNm
r1mqSy+TSTACcFryGMqBrg6vGcSbUr2xTBtUQInVcRXryje2DOVtRnDbdjJpOQ6Tod0kBD87WQFK
RjJgjSPQ6U/0I3/FBn0k8lGM9ef3fe6hLCYEpDDmAMK5cWlzvfsDxgqCCb+49t+3IcJazAdem3qV
jdzIJWlI2qc6uaqtZj7KQAigulenFgPMhkCW+qJzsbDm7/hh/pmaHl45ZTwX96WjVKTLKA0oj8se
1GKOMFXMVVUrsdSOhreSKrNxaou5+fOrz4/kLyPNWkwSioZlCg9w4+K9DBHX6emV6Jt0XbeKctGC
Dl/nz6fTRnotLCOu3EDKOTEMhgDkgpLq8y9w7j1aTBVeqRXUv63aNUmspMFU/zJG7JGfX1yZ7/Ev
j2eZGw7hjTw19MEuQTTiIDc5frE+/GmqWJW1spjIq+lwKllBfD3SyaCpqJWbJKBv8vkNnPl2y3Dx
3CQYWTOqyp3S+lteVFdtZv++7NKLxT6XyCusUuIoc1P8LGTxi/blr88vbcxvz98e22JwoyrUWm9m
lkX50B6UcjQouROiZjQSjh0fs+q6wIGwBkz+RDIGQNtSKcmmHeSjBAARVhIGDHvCy4X3vP1uppl0
jejc2/ZYBjjdjBKoKI8uddqwHHtxtZtUIyE7V7Z39Mvvy85L18rUl2sgaeqmk6bSCaxAd5jVEZgp
TbpvqJavkX9rWwtSF5SYskRDqxeHAF+S04DxuZFmRDr9zHqdqpP1HNsS6JIA2bOGx/A7Io7m2Yv7
8aiUerGmtj9uRkv+2Y51tJJ7M1qPcV04U6+QYWAaeCEM+9nsUoQkOIdA93UAFIfuDZowISspaaqf
P/xzr8xiQNRk3ZFAk5cu4gio7COJC1KTfjHTnVmYl4hnGt6W6OKucIEpkaAR2uasY3rHmkrNAVYQ
Lt/CAyUfcfKYCLn+YmN6Zpb658T/YYLtqkDUvmwULlM5Ga9ehp/JTsvDoHZffMK5pzb/+YdPUOFU
xoYlF65XeSeJYGcnV6uv4uTn1/5vw2ExhZMMl3sdygeX2mGLfrJC62YTqzIE0nhQRin+4tc59yUW
k/kwxWkhm0rtQga7bSvvh5zl95+/Ved+gcUkPoQxMrSyL10cFNqLVWnpt0yewPaQ1LL+/CPO3P2S
7j1OZZyZ4Vi44AlPOJN+RbH1xT77zN0bi7muKkY16n32SFUSqldNi1J6RLR2rXM4/mLYnfuIxZTX
ampM5mtjuGoog7sCTkWrvJpzpRHtXvaA5o/+8I6S62eO1agarkG/HJ3E+BDZ/emya88/yodrT4R2
hl3BtUl/aZ02qq6L+rLKPjLEP68do1n0DbpfbpSQ4LgLLjwM/7P6fLhnM7akUYd34CZdc0jt/tXX
7Mv2LMbidVeHwQAtLRuuGdrIxjw/dqIeNMdlD3sxRVe2NHmEHOpuGSj4qrBgrkYlOF508SWUW+uH
Dihtari6RKRhlTQ33ih9BSufB8xfZrIlfrsaykZt0em55B4UNz1JHrj4MCmQvALKxhbYDk0sLJ9/
kzNDagnjxghSmXWn6a41lGgGIyxiJHVJN6gvs+3nH3FmztEXo1YiygqlvKK7fRGueqN8lFT7/bJL
L0arH6J6KqqRH7mUYoilNaQ+HVHVZVdfjFfLwEYC8pUbH73OUazse4ei8LJrL8drgNMPuWXlZhH6
EQU5dVCI58+vrc7v+N/eoMUaZaCKCCJC0dwhOpERu5MtUr2HrZrdewEco+J6CPW1rOyG9F3V3hLt
SRbTlWbg90J2zr+Vx3CKgWd8Me/907v82/0sRjrZ7fkYR6npWriYjYFoXvgmZF+DnUMx7Z1oVIj2
1iyjQ9zdZOQOk8LgtKXYAZKJyrmJUX6Jnz/3Ni7mhT6K8skwktxlc7BFVEoKYxV9FVxx5uJi3tJ9
mC0JzwkLjpK561n6Nai3Y69KX83EZ9poQizqkgFwPAygVupakAJ+AghoZ0bDK8X5cFtMs/+xBH2E
V/kt8Dpi4otHqFjWN4LQtVWhg4VC0gSpLQZl0Bn0rfKOPECtUPtb0lj9u7zm79WNZe7zvHgJaxLD
0kH9QbPhmuiN5LJpWSx2CQPNf7K0qszF7vOb3HU4FhbywM9f/DN7QLGYaaY0R9WlKKlbDsk1+CkU
ERzsgNekr6rfXzZyxWLO6ekgYejsE9f0B7J0fGKHHj+//XNvz2K+QbwKBE3qUtcjKTW1I3RFxVfP
XT0z0YvFhBM2wUTs6ZC4LT3LQwC2/ntBHu+1KgGMKeAuQaupC+TEVlmtG18abtB1J9/gEkEx7Ytk
26MGX0O4M96CMO9OlpbJWz+kdNhwEkQLodzr6qBuvaZ/HyoNvEKPEYJYNE4taXhZR16IxczmJ/BU
WyJ/qUTAM1CDORltfdnTX0xSqKEzLUFl7TKKdvAdH/Um+WJCPvfDLuYc09I5uSZN7MZW9m4X9rNi
fDG1nrmytphwZAKkTbnNI9evdH8jaqPC61TvLnoi2mLC0c3KEiTchy7ej3Sj+KWyBhH51WCdVVZ/
W6W0xVSgZZJeTAi/3dTcduA/2NVQHLvL2gMt93R2t0RwCPJXbV7aQ1S08LUEVjN8yZTmYmUC/aWv
MbtSP3i0RLBFgen4doABK1jlynfG6WoK7mfbulU8IWxgj+zEmvrd68pNTXWST2qs554/BUz778cS
jbm67OEt5qJellQE4knikoT9Bt1wVcvSV4P53K++mILoRiuRFuexW3U5vfJhm4fqhb/5/JEfVrCQ
yGRDirPY9Ur/lKv1bdFeNm9qiwkIQ1YEkDqd501KPhZgZn9IHi572ItpIWGCCfAEpq5uHDzhlheu
50SU/PE08jTJlN4YYpcsVxUvWuofUOOa28vuejEtxB5BEhw4uXpeQgdvn6nLPV10aXUxL2R5mcZp
BatcnmIgIG0MShIjwPqyqy8mhkDPLWPo1Bg/L+rrOifj11PtCy++mBaKXDUgq7aROyb+k2IEuEhm
ushld74Yld5EanaPedclKjHe+qilyWi97Of8Z+X9MHRiIaN/Y1frKhEJn10PaDG14YlddueLgTlR
dfINJUzBhgig/tkbmNyvWoHKP/Wfv+zQl1pSzy/iuDWy0JVVgnrN/sSw141H5lq9tA5yUjlheqiJ
kGGORtm/CZoncGsbdVRXoz8BnuSInUp3Piw4rdV2FfzKvv6lxfdcIaEwrCX6SeUqBpZKzSCDc3aI
pONBU064TsiW4SXNn4gQdwgMdLQYQmoDUWxymcDJd9/n7aGTt/NUXZu9U8jRjj+ZeC2kXj6wfpRa
AI32x5Dn5qpqrvmPaizYIEAKsMY3y/slWw+KpzhC3HLYPbEYaJP1qxoOJDusmf0lfiwLc3QZBfOy
kLdzCIHY8eml2YACKp2BLxIW36L0EPN9pODdGwt+3591C+uIz+GSCrVgnEpOF13z1yxZgCs96EBq
rZQSbvrvY6xx+1farhHsXyD7YVpKO7DG28h7b7tiywNhNevk4uglYt0SHZnik8+q8tjIW9vz+dft
vMaN6P3TLrnNFahbQ/nk2SgtiydVP8S9f2o51iikWvuq8cQ9+NRX/CTdq8pzVeOkzfQX3JBXXgZD
oczA0gebyccj0FyrxsmkgRRAWDKooLZE7vrQ7IaJvOmq3c+PUCEShENZK2/bysD+uW2aF9B2jtyP
V9iz1kmAfLBYxwUmBLJ22mcrNiDl27B+5XV5YVHhn07th8EW9LR7bWiJbh3Ngaue/gMX4xdL9zzT
/G0wLGZ9H3QmVm+OEWbT38NU7ulAQYrXIOo6YRU0oDFwtV82rBdrgJUDFujQhLhx4J/AzDwI37i6
6NJLsXIZl/jt2jp2jTYQB4vsD0cMZn/ZjS91ykU72AawNM7RUv6c9sAwmvSLGqwybwn+8gMsZcol
TWtd77XQzXj3gyFYkR9wZIAFrY7zfDvveOr4DoBa0wX7YFJulObx82d25qdXFutDMjRZMkRe5Fpa
8puel+R6dl3cp4YV/9ZC3b6x8IZ8sRad/ZqLbVw1esIoJiN0LWGXV72NpzCrPZhDGFectpWG68yK
wpUflQTLgpaC4lEp9qEgEAKKg9IeQtNXvlhezn3xxfJiGlqSVEmauTKm5Wv8EMkNHMLkOZQFSCsx
+oRSJPWF7878u38YvDiZwSWNUQY1qH/FXf6cjv7r5z/gvAX526uz3Ak22pRWiFhcxQc6mNqm79hQ
olazoekgx5W9l+xkXANozC87gv3T1v7wZTBxjp41xImrZlG3QuBCtzG5sNGoLKcHU1cBTY2JG/f5
S4Z7NpXVH58/qfmX/cuTWmqMtaCqJUu0iTuHHihG94N65xcv07lLzz/Oh0cytlLcREKN3MaUH706
gkGkf1UGO3ftxfYwj+qqkXMlAe8lP0Hf3yZl88UG7p/dzt8eyWL0K56Vt4ktQrcy1fQ4jDI+ap0Q
vxp8xCaI1NB3pMyiu5xLpTpTf++wi2OhtfU0WgdEy+3yPFDJNZDStTSW3QYEPqBo3y7XFBWUfQVe
2xGdb2xjvsS6V5Ushlpdel98gXNHank5o9QjsVeFHbgtMPZYj7eYA0mFjyD9W86Q3bGfGRFU8A+Z
lMK4o5/AVqs3nnSQCJHuzjuqCSMRq3o9uWoMzPoYkcCXRCAS8KMr3xsj3cRmSg4PMQRiM28diIde
zbutUPuRxt/aultrGNCnmhj57pfcPnftF+vCuZ9+/vMPr5WRmnKhR3w7Nr7huCMi/fORoJIJf2Yw
LGakys6rnupo5CZKEXwfw6LdUjydHoTRW/sO5MSGjMtqEysp6DSQyLtMAl8xY3q0nWLJWA6hwLLD
IXnLhnGsrpBZpI+xGlCvkGpBYEmtpOuw7qubvgopeoNBcDozwuHbBqR92X13M+R6DHzGUvBm6KQG
dWqOl91olC1or/iqb7J6VfmpepSrgp0IfJJuG6A55BcS0oOV29/kRF7rg3IbNGQyaAPMTpAWutNM
YwL2pKgcMyhmWGpm5k6WdfBXw5B8+MDW2MmPeLhbDK6iF9N2VDPwvokU/pbaPnq1oHK8d3lXvAdF
VN9OuNchQNrxxgbgvUXCDXeVsIAnsvv8DSPEdMiazCguA4cPo0E+eYj4t0YxJActkqx1rgFTU/S3
KNDGjYdJfwXQp8J1GgxHdHZmucrUiGwb29/FZfkaktgL1qUT15ZI34Wm+o/BFLzYxNE8kTajX5FG
6O16IeqtLpP6LqfkmTiZ1ne3mZw0u74Z2v1otMY6QaCymmN4jgIj5xptBTvVHhJnmoePSVgVN5EE
+UJKvPKRM5FJpIFVGK8CtPFt1FR3LNerRgrEfiyFv+HamaPIBIDFY6vwF+hKQ4PtyYjJ401imv6t
F9fhbUg6BIfwRnJIp/vRD3DUxphpZEwBZHbpqK4rSelWMVSV71JkMk4L8RvhEEFcqp/dclmUHpX0
0CYIqmN/QCXYQRg5hh3wjHEKPUz2kSG9gQRS11rWko5Sh81eU0rJ8Set3Yapqa5rP+j2fpwph0go
/Do4p4HSNaN/kLPE3BlaOrzIgCTXdikIISFffNfYaLAIcoOrRsjMRgYR7kpWm73NMHvsvAiCtnlb
REfPiHwHfTe7MnMc75MsgaksSwH1fQgnWP8Tw6qdirkV+RgQnraxUSDBfALzoGBld6D+9ckK+ut0
sllD76pG+O+N4eX42RPtTfiiSjkXegSdgczc2hIkdoL25F3uqdZ6tCVI7tYAOXCStadUrzWM5ZLX
vEaJZh6yvvA39ZiMqyiQSQRQ267+LQudNzSX46OF3+4VZHa3EiOny3ZmMYyKFO9AeKjbzvAj2ASw
VajgYmbWC9L6unZo9hM0lUMFbP7V0yHzFr0JeyBPioER0YhjbwJlqjoOvC1HKq0k9kt91qHV2Gpw
qCp4r+kAgK4MzQmrjG0DRgqyY2ZP2ksth9q1MrVzNuBoh8eWgcnWM4HLJI3NXVAX9sZnNdnJvVWX
m6gx00ely7STLglww3Ag6ZjB+wfhmWjvemylxirS5JbI5bG+qlrKNRROQ+UmCOzY23ckLYPllof4
atJ0GBB4eZQDfOzs1irl2N6otop2VNfTxz7To12Ko+ahqWcsq66VOcbwwBqIFUjjwMnLEAfNlGOg
mgKVsxl08uk7OCljNYDm+VXrE44VKylGY93ogzzOlBNMCJaVKohfLYnlRxU5aCmj8Ft04EPzM5Lg
HHEhvX1s7ZiiVlz1vwsQyyAl2znmpFO19s6aamPTqWo6bRI7AcAiyh4gagkeeyD7kVTJCeug1xY3
pZp2u6nJtY1etLirhFmn68lXs2NEGi49C75NFpDrW9UawSGEPm4qQopOKfG1V2WtSJs0ryhi5hbJ
LxMAa/KgBn9jZ317J1MgXA+RIW/qBlVb3PX2Ksw04vx8omhASuTvUdNMrzXaOEcfJw8SdLhqy3Ll
5fjYp+xUkG6TE6mDqCzjhR8Il5LMfVS36tqUAGGOhg0AINR74XgdiVSAlOTgDfAPTqZe1l3NV4zJ
YaoQa7wFeOmKhjwzHcQToD5w4CqRW63egvMyCBRKlGBakcjD/rUGj1gEDVmUoQ3SVUR1Y9woda7O
pIbmR9M37VNPKNXJR4q7L812IGnLs+LvMIe8u6AJO6omFeR1nTSadavaAfAVD1eWIzJ5IPmJng0x
CqD+7ASIV2gor9qoN28jNLEVJPrypoHNwlbdT49iIKhDCwYqCEpGukbOOKr1sgC/oRm3EIDqwYmN
nO3NSF8+86C+B1UHNkjtxEa20+wBLH62D4Qe3hSwEX9HgYFNbxhurdpj3xLW2i3fSgO+MPTvnjeO
dx2K9VVDkOBbGglrO42d9CTgcRz6ttBeWhJfebvgCILFZG4Dp+/4kfxDCaOfcmreBhFJvFGtaHdJ
LiZHjB0ZG0rbk2nife9VFoBUAAS16oxwB1uP1qRYF7x5Q0umsv46iVE4KqialaUOCaEj9DCsQJrI
OQDHgkyuua3TviZYnm1l12nwCzVSCEMFtnuiqRBksE44RRAQZqKxtytjCapNgkQT7Li+ak2CP9m1
OmPKn/vaa5FFICbSFVmx6YpoteKO/cxPOTMg2ukzDDe1pWuc89UhRR27TgrdYtM6oHVRt3aZHMag
CndpNX8jv/G3VaCQiekT+SXLVkY6ZmPeVJLXbe24kL/1RqJsaNzFm1h4GqpeOdZ2IZQ1Pr+CmJcB
3b4nwlHTtnmtJOyzWgkop2aqwZokTvngTXKGkHOstm1r9CtyeYztqFkvoE1/5sS6gbhVvU0CP3Rn
sHffaGkorRNot7z8Q3qE+MGIYIx6G1Udmq0Zt+DzvVw0m1zV7W2X+e/ECwJiNMNEgH7KunAVppBk
cU6G1b0xWmDMOQmsA4WUUTCA8a6283HHZEQNj0jGXQXacBXN3sxQkaajpnQAx4se12hR+fahS0rt
hHbtmwgJahKhXjqTkAjMxsCM0qF8n3e2Nxh1WwcCPwBR0jV8wFSCk0Su+pAcg4o0RJmgvFAv9J2k
QSctsgDka86YTtsIgAgryTHNVXjf4PqvEsl+DqbIOGShkE5p0T/4cgfcH7XvoSsV7cWwiVaIRPy7
GskHjpv80SxIXBZs5CidxuhDqkmXHiBoSa9UQOVVVejZNmM7RxQMuCa9skHljttAt9qXmhtc1ULJ
bkJJV/ZWXnoPRgszdWL5XM/+TgIOvzOZ9OtGGrqHcpKDnxZ4YrLNhumgln65BTtZrxmxuQPkZWBw
1Ha405La3mWw+laY7CWo54OmnrK+y7dlZsIB0jqcwnbVEM+mfIdoxUbRxhtb1KZxIirJvyoiI6b+
mGnHiL0JoYdVZkEiqoZ3m2hKc9XXI9nHXgY0wJEEgBOFCcIpRNKb7GhszlCSNa7aXk9uSuJ4TkY5
sPv1la4l5m+w7vOqAnHrAw37STqGsjW6yr+CJ3fLnlG9j7rukVQYb9Uj+4fT5strgp3Sb1Gcs9NA
LwLPXbNvK69q32WyL4++Hf427ELeaEWokjoNOtDB2k7Klq8q+wCqK8r+yLxOcjCuRI1QeYcqNZ68
kiPFKkuCcl6zSydvu9FhrvR4MICC5b6UJajPZvYSZwQKrQy47sR4hzFzIRjaILIJkg/rm7H0zStg
6eEPaH/RDpOz4UxpmqzNMBj3g5X+pobP+aatg6uYefeqxWGyHRrg5Z6XvSe62ayQYQxrHlhwM2rk
OXgKO75C7SpUp8q4rSJ9Io1MszFAxJUjSCXcK5rGtCgCQde2J3e2baefgTeNQLGsaFiNUmiHG0Bv
TKOBrVZbu5JFswoEwTM0vIE4BcVzKnvWCcYru0M2MVhz45952QEqHnMSOUh45Y2Sgf86nZhwlmcy
u4vKVsEG+qkTWaSF+bO3NzfHYSOF8buA/HKnadW4aSnQbgdSVxoyBKX0HpZYigUipbLOff9qi7Q7
ENNJFrcamduhKowdpIj0UCamzX63zSDXzaFFTV+8lAbg7iIkLlYzJ0LrqI6D3AqHPd66ei11fbsj
YKU+9cBn9hD5s+t2UPJ91XQgcb2RGC008avIINu77TTxUJE3e9KbCmAbUgDHbnilfAwVZEkyvUEI
TDgMEP6V5yw3EYx4ZqmcGHCA5KzznrWi62AeDK3IHi1Cptg3GPJJ5hZA3YQG8nN2xMZYBaSQJNWN
EvgNJ1h6Z6WAii2GPFgD6iFyzmzj79HIHVA5Nw9YaIKQ306yYQvDpnNIZ31J60ZoGyv3rceyMZvI
GUYw3ZYuN9eV10+3CZuPVVKY4vdEXWEiXxaUMOdYr77vRvIKLHkwfvmkEQNWNatVDOgOJZkJyNYP
hm2oG89521urToY/IWzpt9BkeQsQRoMS5YHzwhUGcw7X9L3ts+pBSk+vfNEaV2MuK+sitwGMJfD6
+XrTFtTt3CRqjKOcKchaikx9ywG5VRmWr4oTA8ebSLntJ2J0HF1k/83cmezIrWRb9lcKNecDaWyM
BKpy4E4Pb8OjbydEKCSRxr41Nl9fy5WvKq/iJp7wZgXcQSrVhDsbMzv77LMXmYiqu0SHfriZqyti
n/Nk0yzB9zFK1KYAab3KhTXsuo4du68JhjSHzjxTCZOJSOTFOmsb92rOWKH8oZtvNLF9EGXIpx3T
eL6nlAruZ2GAkUmTaTMYowpLkxvE1APRsYR80oVawGREkgkMx6+uy0tN4ooh2IDdNPeG6Xsbm2Tn
Q+XLZQUX0n3IfUp6ViGKvNnQ5drn6buvuyrZRAw44PjRkjfBsx9KEq3MFSUnwaptxcQaoYVrH1Pe
VW8RbKtBEq6hbjbP6TTh22AhB0Gtfsbx3K91D4s6GX0rZEopvyL6sdym5aC3lfaszZgyGVyKCXCx
nuqzFq0i272rfyZVpF7hH8dHNkr5VDV9tjdccSnXG4fUVPBmSxxFJMe2VI/LUO3J/prPVZBDTM4X
Z2sDAjxH/KvbydTgoDPZhJaPDTK6JJPVAyADRo3GO3q0XPwqMXadFsv3ubG9kEhFmrd1sNyqmfaP
LovPIlfGnZdrY1O3lffkL0W0qzl+HxvU35W/UExMBeGQ/kSqYmn76spJmZFiWNZ9LGpCfZfcie50
W7ahdpl/KDiecMrPEwUlzbLvIQYRto+/aR83C/GSs6ufmGmmqqDS2GtHtxuvGV9Hx2OsjoxCuojS
p1Epu13PBgW5Sw3HiJbCSs1Sgsulwzo0pX/dmUN56idYE70XzEANi1jvZgvLQVk4Hc9FWW4toLCg
NbV6FQWXqZQuOJlMOmQbDO+RIgWRbaB4gwDaXZXwflrt3Ag9B9tpTvKQILD03DGOt5LVKG6BsN9C
GjM9gq4n52BWydAR9WhCtSGhM7nqG//Zq6RFWqN69cmCFGbag/NZflCBveZJ9JZ1efGT1G3i1AYZ
KjmZ4TANIN88UupApUzvZgRU3mcMfJORYri2BcH8PfvcI91oeFEIOVedqrNNlUyaoSCtTrNrMIZk
8CrHXt9seNk/ZpFkKzQLl3cq+BGRBIZUBn7R6qljB7tTB4SuuwwX3iVzr9yALgGWJXooVTmnos2Q
EGWRD7n72IpWHKqS1copx908NcO9tUzGVa6+kdi7sObB8syc+ZbySO4ovPVaXuKJhrx6SZP4xik0
T3LbjVRn3vTSd6b8DjRZ8FYMtX+f0Xk+itQQ94mjmK+0h+IZHIpzG/UtyEq7ISKZTMYNsHdc7hls
TYQTC9IbBXJlko7ZmcFrNyxnO3GOkUMf34/yCia0AHJUkZwbJZkKR2JangrkhmuTo+n3dADQBEgi
3el+DlY9NNysSp+4ZqSoOfX3vLca5KRg2IwFjOe56p/n3n/gQHZLlgBlsyU+VJA/9kWZ7jHzyjUg
lRJ2qgsYY4nYaqYRFWK2z9Qq/YqX5RoW6joa0xIu4ZLviQSvrJU0ZXo9KKM7Gcz0oDeU022f+/M7
YLbLIaO11j2YJGhsbdhULmCW4BQMqbPKSkOCtIkG/g5BkMswwxvwSJEnURuxOxiSZytISIX3T30u
7A1IgVfPdZ8cx52ebR7XnbKq9uQVifeI1K+Ihk76rdcT2tsWkc/tdMNoGLZV5xffh3gAcNzKkWRT
26wOiZcTFV725s6pbG9NMQC8dfZI/R1L7Ccrt8CSPdZAW8ApmaXvb+xSEe5OQMrBAHi5G6nnw6pQ
8CeJcQzNJHB2BZH/IJAK94p4Umi/ROtucs5BoWcYkqhMZ15bzVS8NEngHQZBv3dIoEmkZXpeRDev
JPF5e2wkB7O+sNK6hH3UGq9IXZ1PRF8adyTip092ylXnTgdHX8AfHIKeU4AhbqRvUSm6Lq+XX5AH
VlJBchr4dHsCrlXldOsLwpx1C3Ivm+d1szjHIapO0lIW2IsGc0WpW5BNBA1G9vyh5yxZFzWHFFeC
+K6mIt8aTqY5ASyf3kWFwu33INshWNc9eYLSJ22avpIibqP9tNrm1UgutkRTnfWE1Y92x4JKat1N
eXEUdkQ+QWw/L4UktqUOCOKVp2ZkWEh0w6ltW4gzPCYrcqxPXUUcP9xn+E7a+rTZ2pqpJrC8gChi
aoPaYHjXqCk2Z1Briu4cN6BoX4p5ZxategHEYeCIKJObmoKCvMhKHAmVcyEG+t7aC4JL6npykIs4
eB09XWFtG4CKFqqntJqnpBH+LRAWuDqkKB+aAEy4IajzJqC4dBk027JvhpnnDRARg71KyCFOgJVA
5LkwEVxi2DGYpp/WAMyoNp94ItgCDaVABfVyZQlzN/akZJFZw1lv55FNuZjxR2eDa8yrMwyudFUY
E3nAd93iEbk4bVWiGtoTI24P14hD3/XaK8y4O9KMi7U0gtXSlJdz3yv2YDKCyyAkr/hgzsW9XqKD
7xvwYBPC+RuOmXd5tmwaOzj2bHB971/NeIPjctGEtZagoYr2Jq3tU2uUhEEWwxPN01uydY5WNN11
HXe/dMA1WZnrrIt8GXdaj7cxVqhVlaohnF1V3mZZUF2N06If/NhDEVfLa1yK+koZH22dfiw2ur5D
2sGFRICOmBGfSkdPXfmyhclQLIdq1nqXJFDYVMqjknBMA9EW5PXzMKSPOT2vtpdPuVOGTUc0/2SU
bzJrfsRdjpOazSIqc+sylXlSbPQwvaxro4zvabGsl2K5E6SJ7oWAINALmmlLQzK9XyTPkzH8TLW9
I7uc0NJgogBq75ELsm3qjX7oL2Wyiid9oqY75aPZg8uzdhM+2HWWRcladkF2nUymcZYJH98al42T
mscGJzNLT5GBeE2Ch6U3E3xEXDMClBFCye1YeidfN41LoOnw4A5zuR5URGxUUIQBCCl7TOqdymLc
saIAZZuV+arMh/6lgfGycZKIdIMuOWWNuSPl/ZWpKnMzWhyTOOMNBGJ2wVrnEerTPF3XNeZda/rW
Ov2Og6RBBnoBaCb99NoA+kCfDOhg7c6fym1Zq7e0USfq86M7s/dHfVI/RpZ9bOR31xUvldkebDMO
2+mGo0GYKcQQL8jUMU17XMFI89Q1oznCDyk79VJ65WcHoJKjbnbV2up1jHp5dCZfH/wezU/EjX0N
E+seLdddYVl/zFDYV+24HLq+7XGoMgZtWKOxFnJ8U4LVpbH76wzkPciLW2euDl0Vv6F9VoDkPoKy
QgAjjRrbfLMiYvVkNpTUrbKsfdKKCz4T+F5LsrdiuEUP4oaAUPJ5WwCcrE3pvhmY1QiWlyIwCfof
6+2MsaUk12o90EtbS6dueM6Ec1hAvYJ2JtQENMutNVLXTv47y/11ZP8YO1DX2Ko57Q1Lfz1J0p6d
fPoRO8EAr5IlYnaMn5lt7CzhNXtmVPaUPOUep1dKq2XIv41RlRsHbc2+u2U8JkXIXmLZhvjCcjra
oMU5yNvDijL9qTaCmX3Ft2OWTDkFeNlk+94JCO4GrSm6nPZdIvQTaGluNEHLNBEk5ZtVOxxWDI2z
pw4QaDUYg4wBdqMZznNLiV40nCAo97NH9P0fRm7UO4Op0obg+jDPaqDZlL/AAleZYkwzMU13Y2vv
DWncC0Vt/ezy4N7DPmiVhMPFSd6vETWbjR1VxbaJvik9UfEMVWhMbYf8mL3MlvLXTl6AfDnhHzfX
JvTJrOOdhTMVryTwLIMWl87rHwPnP1OQcSYjq+EkW+KRm006P6ZzZWBZhxwDk871jjkc9SqmuAKJ
ljOiUxw1l0jPw1qairRpE5ASf5TpXticuflw2c5EMx0Hsy1vJm+6Z1Rmk9j9VjrDiwyUXJWyD76T
9Lk1PTa8iEKInvhnXFikrI/zjzTrViZcjE/Th1nSdgyszUShGfmt38b3ZkPJXdulpCkJIcuLrrRf
pZs5SndkD0NNLsrk2lUi3Qaifx67Vq5nr7ymxwlafaJNYmuCTSIO1Kgz36ocM9zA3rpcKFExwFll
pW9IXWhjXpKRjEejbRiasDNgOVSw2z0vmVl7igdjyh5N1+b6dGfbxSAR1e89z+e6a/pHHyzBJimH
hWnT5b2xgm9ged5F0H2jx7hsDF/Ua6ucypANxlvDfXoYFnEi5N9yWolM6qY7B1f1aRizfLXEPdyk
MnCeJg7rG7tLDhbpeGHp09RIDbu5JwPeDeu+2hWqp3RKAP+VAl08AmuwMqwm/66m1l3XuflSa6MP
wQk4BKcXxdpdMKc1NhuUFGV9PyQUTjFx3tSSc/tCFXgfkSK1hXaKxVNOGavS7Oz8yGjXSup6bTpW
tvMG/exWRnc2IxVtFt/CiuqW4AWnbHrInSZ7htGJMOwk3YMvkeKSJB6v6fx5G2PyvQc5aHlXV8Nb
kzgz5w/fIvAgqZbbqepBC7BpPhSGMh/ZCex7GcMBDkATwVKdSPxpic8WA0cUL5Gv5qKbrSy6kmvN
Wh6Zo33f1OVIrjVHVcLKoZcz6TOcarbAE2he3ITdXD3ac+VsXDe9r3yQiwaBtCuqkjJcrCG4G73F
P4qmZCUhiWqlHPXBKGu5LTgkk1E/EmVg0cbCgSC2dBbgNzcQfZemeITNCoDQsvVd3rqQ2KcyWwUD
eX1JhfgNBNjoje5aczQ4erVU4HygP1ZGlIWZNYAxAie/W8bqarF4euckNTZea8evrNhgK4fuHfK4
C/cIhg3jYQYR4m4lNqYXN0crq529MQmxAXs0rwliOOaF6NbkZQfnPA4ESmA0MHTC6NxjYjnlSYhF
kU9CKqXM5jsoPbgAMpOBO9tKSWl0UzbKiMy8PLVvMCZMd0ljXNw35k+7534BrLAfHbvMQ9foaTy2
wxJOhfHSTPQGxj5vqSZo0o9B9CA9B9lOs3DWa14PoI5qSOcQfcF4IjUDYWlixpkHCM617FyA0mJo
dpZGM0Bd9NxQ+f5ynBIuop7ddh9HI08yNplYhBC+LsAoRz2WWTcfKteow3x0x9tRXiQHZ5RwnfOS
gxT0yHEgGXOZuwC+1viIukDQNm10h/U8GnZwl4LztPjxSfQwU6Ipx08wju1WqwY+KFBquAcuOVm1
raLrqZ/SvTcp+6NRzhIuJL6fFBjnFs4snSyIB2wKbpJse0UpktFj29L1tblndeEclRMpZNjIB/zi
Fd+jziEaSBcWB0R8JAKH+GJG3+BTZXsvcMW+b7plP4rBOREnDQUn8dLic+S1uuEP1846aczl2dM9
6U15D8DM68x7WfX5u5MJ+wBZneo0ieoXxx/tbzTJPDwwwIVTOnlr7F3sFSimTqiWOblG+YzXUxyL
c+m3wcq1zQIF2UNMVUzAnkQ5gdQaYLrWSjI+l3Xdvh1y5LxZ+1u60PZLW5jWream7EVf9seW081j
xkn+PmjS9nusxQwXkPTx0CzM/tJsw49vYXFRPdYZa2yMcDGG5HZCNPvpGEmxtRbkVlB41ajXIOER
vvMoKMMqzXLiYhoDJb8HBKzAMF1jr4b2NWBLWFlAiQ+LztIzWMflu72UPe9IS5qnroeP1myoL6oy
2GWzycoIw2NL2rrzg6cezEMMhgL/on+/6L5bg7m/ZPmTDzWjR7vuWwzM+rpt/fIq0wslvlURt7ui
Q+swplX1U7KdZcJnGBOvCwHatafRnpLbvoytk+xiIyyUrDYpUFbgtbTsEEP9bcP3xJtjS/xvzeR/
DI5X7KwO4VoNwyVuAOK2gUAtxLvnTTCl/LKaf0Q53lC6hTRL4zL+0IYc96Zpy0fZ5GlHxIwzhkJ0
E/0aFl4a0mh8qAGeCdDKCZABK7/5mfLkWmnZnVPJzcQW5/gfLr3WO5qi5YdQ3vizCrS/StMIgU34
7m3fShb6Zop/Tp6T3au+kKEcbNp+UTQeYIjKNfQHOjmWnV4VDsfcmO3+lDsdEzjzeMw9u93nnoN1
Ysq85mWp2HyC/FsSy7i7KDf5zhDNuB6blnjWwIl2GRjTEZc7GO+5QlUymBuoRp9Jdz850xd7zmp2
TkhtPCVm9JAHaf20tDMUwhhVo9oUXeF9OvGItGTwrwNOyA+BYB1OgWZfCSuzToBYzTX0vR7rGTae
CLX7wzSC+FxLTZspgzFI21feDLZDxEnTQtxrmxZW5qJYE5PF/QHDQDPehs6SpmA+Ax/w62hxRovH
uM9WNV2T2wpb3tXQieSh62osAsrALACwA4WuZKm/GLevOiBKV7bm4xhDXO1r5lXDxHfFxsgaSnVZ
2cfSj5KPNKMJaSb5S1yVxgoMD9hCQsFcFTZW2bzL2KteRq7JRroTuwPzxQSrYQGaNbaalTLKbNsk
3ceYAdjrnPZd+XLaMjvd3WbN2IHHDsROkFx5zh3PfpZZ3+0cNRd04WykqanmpN+5M/VNa12ZFUA9
qXOcHm4+roulxq0Gb4mPwmG2qeZ34f5iz47RFV0cn9LZlxuZQi8oUyvDjU+/eAHYcBX4Bv3iMeiv
uyXzaJjQG4ojIpit0e5XDY2b7/DgNVI05KgB489K5cy0LJBLtnY0IXSZcXYdSxfqc2/b8VbYDg+l
Kt3Q64JnV/m8CezP+Vtit+1NNfmfXm+2JzHGLArdBSQP1PKJNV9vEg/Ns380CYF6cOYaqaCt7H00
QGtwEpkdZzSyUynomvelNtYIPT+LwisIouqL0zimDcfblEzOcewfRvyZ9NXd8dmdopQGp0l/g4hw
BpIzhBq7rLrrRWRzaEXAS8kzyq68nBg+QTLVjeu00D9MuYf7NYVUbMVuKjrzLfMjfZiTkXayxLsE
r8J8SlsDJ2dW33Mcq6FgQ1ePo8S4Gd0Otq30ZYhDzaLwyzPajJhhVdSrFYGW1NVxx9dPsXRCLHkf
4nHBEOTZvBZtuZFJVW16v6Veq+vgjOk/veolp2mD7vY68vLviV/7Wx0gWiWJWexsIEU7NuPu6LEN
VXTaRnHU1QhVFtL4vRIzxNJqira2Eb1GUS+2U5IZpykZxEfUtPyy6edTJrW7TxjT3oJrT/YZ1Ltt
Xen4PpvQBVZ6dI2zavS4drStP3sokxXfzXkIYKmSN6wX/DWJqrcyWmjjt/rTtwdMxFT7t+BC5prO
sm+d3Fim69mlI9XYlnNwMPvAUO+G9iOroolbOFBHwPr9zAarPMLP8m7J6cSYnxmvENrzU9/QlhSO
KDZNhOBkSN0DzrHHLarffF5SYwjjoizX/dIvr3acyDAppL22nbl7ADzePjZj0V6Nre3sieQU4cje
8KbG8grHG1D7SiOdJGtH4bIwzOEeIR0ZvLOdFcS55iaarGyjhCfiFQ1t/u2qatd9kbAcWgKeNH1I
+nUbRyt9VcPrwka0pxEejv6cgD7qygNgcq7WaOpHnc/NxtCzelQLpjEZi+HTR6NCdFvaQzPX7kbO
0LoQNehAcIaoVu7kPPNXu4PLngvAVXwmuCi5nr3eepHKPxZy8Z5GJ+uvWBiiUzvo5Fhi/yRwwg42
3sLYw2xl/YeFr+LdcDrf483porDQ5vPAt9pydZ37KK7ah8Dzm2RVt4PaNNXShNEEAHgyms0Mm+Zo
aaLGRC/mBwYlZzLkHDuUc17etVaNFSqr8cSLxk9v4sB3d8ShcfZureGAcWG6Xy6w4nSa+1CLJrju
aEq9UCpTYSZwXj6NCbz3Oqqpg+pUIm0Poj+llp5vqKCfpF3MW8JUoYxb8dCcYmt8qhfqWtEszVrb
/odWrji25GFfwMermcZjRisSVyTThvdk6Ly7afXpR3GKFKDQVwlrQLbw6vGnKRZaPxnsVBbVsg+p
VYEIJ9QYpPWZ34SM7G1RueneqYOa0TZahtFKxLENObcT0OCKgv87zytjN7txtvNtT4IWLd+NccYD
upBRt/MCBV1VzfiifCYdZQ0Wry3rkv6re2dnnrq1oooOl1Tt3dwt06OShNTVdOsYuaNjnhTZuM1S
4z2f/HSNE8vduTWtk+ySHbklNTE+5j5wY5qidmjHLA6EjurmjH/5aTYAlrdOne9LcjPXGowkBHr3
zcW6clSFtl9dHztKmujkKpiiZy+fvinC+8KsKJwNhgiGASseqTayo/sq83emex4hRieeqt8Nr1Dn
xm/Le7f12Cj9NsS8Yi3KYG4wWciox/Ue07tYeblxs+Q1aHPH/lazIK/Z3X+msCB7dxs3d6bd9WcB
EfXsMZ24DF68iWBlbfw4Ca7NfP4GIrsMrVoj9napz941lOy26HZ5ISlxysL2P4OGJDZg5LipkgUI
5Wyb3dWkGnL50Ck2vYsJtAtw4zFp9arhCK45/RO6Y0bSCDH9eg+w6tsbEJjJbYMD4g1m0/JTzFX5
KEyMGLIfrHuMHRkL0VCitxtyZcQ6fXGNjrFPfH+wKzE5hpjucWkaYhcNRn0wAipAuNsiv+vzCS8R
mm1D2y+SzbdAMB+LXafe1JiwdhYtWHzairBsuErYg3NrjQ+W7WOsnO3MbCotLqO+TZDm9lMg1G6G
8Ehzx+pO5IJzpARIEHVjcczzUQAlHCLa7nE8PgwY77aYvdixxjyCJT3rx8as8pBT/byrozReW2jt
p0SZ8RrbBIqPpsDx6KesfoXURgayRBxkARKt/c3vI4Q2aRnIiNliBDfjxEF8jNNgG2C2+97QY6Uc
XzA6CZ1tOq3K58ZzKvyHLVrIegAhF7peI7ZMEZj+MfEz2nc5tcV1NncAIBi4VLhtPPdOyZ69koyH
nmriZ4eMfx6cVAFZ9bT/U5Y+FrUB305ER3QbFYt3NpnE4TylyofxwqBnXg5Vsk/nbwHO1ENlME5Y
Z8iH2mUcJ0p1+qQxTiFI6fHYtzVGiCiovCsYiePKAg7EF8EBbMxBe93hXEWKT7EbxLm8l2aBpcTQ
YpVOuPk4qZjbWjSviI8g2Spgt0uMhXxJ9HcyRYpvgTn1Z2rw6KlA19oGzVIdqiWb2M8URUnNA9oq
b95REYm1ZRftIRhKFQ4URs+LWsA3dLpnH7II00w8yO9V1h10OzIMIFO8HJNw9dYH3XouozL40BpV
r/W6aCOLqd0lGaeZSlcT8Ao6HIdl1GLHyIbm8Opxngko0ZIZD+WUxUuKPOw3b63rLJuJtXDlpWo6
ScWgIiciL9m5HB8AJtDdtC1YpIDZ+h+9MCa1drqqekWuLu6nDttHpaBDNsQfbaRNr3exIH/15TCe
pgEzJaGizMwU1CQXrBc9sNy7l1bykJhNtDXLlH5cYb1hpBnSdcZm6NtttMMxW23LMbL2fS1xcDmx
na6q2HMebPBxpxnHHM9+m60b3iO0HdiAI4g+Jqw8lHwDNPBIhPALL3l6jhzMpxTJxXMfkDiwEqM3
o9/4XbIJBnu8gTwfv8f8/jr1NVVxyuZZ1RExHrMaDlYBWLMjInhTBzEk25E6P3dRNWKS2Ui0Ys1F
r39wsbaH5GfSR4xV860DmUE9kI67GOP22jLm4agtSHaNGrN9GfjdlVqC6ad0I96FgB10y/ZTryu2
cpqrIzQNo9PMpHTpEm8Yx2Fd7lSOVBPPL1AJ5Rp9+HMxh2GjbZyVph3PyZrcdmPneM07CHralhiM
Nhh3QCJgShmZEYG/gU7KiIdspu+ju9SrOKP9OUidhOmokm3DG3g204Vpo8HsX2kZ55sqYyJ0oVjd
m7PvHfLaT3ESROV7luVv2jIROhPWEEcy1BFV85thVAujMY6LN7wz1jV+3vuMCQZG6HNe5dmVboZ7
BFiNFw+8Dg5QwV/DXReYWfyjuv3n+F73j//1Vw7al1/+47Eq+O8rD+2vf+Mf2x/V+aP40X39Q/9f
QtMYgPt/ZKbwo//4Hz9KNLD58gX+9/98uJDM/h00jb/1L2haIEw4Z2AqbIjy/M6/oGl0qEnZxq6N
/HdhfvwnNM32/wOUuY1WZksb58RlRPr/QtPs/xCoIcgjrs0EUUBy7a/78fX+/OvXf2VsfUmLo2nE
Rwv4dI60AyYRzC+zry4+lhi2Q3wLm2W+TdwpX2u3aFfuMBpnAIgVvUbWxdYHFg08u6ZbXvf5DipQ
f/K6PIFvlTv+iinu8brm4Q85LoNwigIJh1OQM/2H8cFfw7j/Ghv99YGhojmONF3Tk+ZX6FJbJwDq
+ja+ZYjEuMNCgtAmsuEqb0W89obitZkclN4yYOrJQEzYNmTt/GHY//f57ctnwLEvuGL8x+37FQn4
lxnJHoNU70hih4zUc26iRYqPQlvNHqMvfcrOzLrQafrk5S9P1n++W7/dq8tg6e9fnRskAotvfvkf
lyfpr6OZiZo6YL5ddZt0pfJuekah3tzCE+dZVGpLipQ8LXUdPxJxexme0JUlVkG9+D5G9yhTV8VU
+neiHyNI6llcbvB3Wn/A5P0+EX65MgSGW76QpucELlrL7x+xiOxuHuoyv+2DuTyNDsMqSdB1ZJLg
ZGt2ZiOtPYOC7tnWyfSnpKZf9/7LBQp8KYXn8K5JJ/gyYNqZbWrLoCtvE9WeU7NOHkHwcqYhru7a
oO19IJMQWRSWADxQx2r3HZaJMMhVesjmxAr/cL8u9+O3j2Ob0jEJgpTSEzajbr9fjCWV1DV9pW6p
EXildG2PnwvO/7MZTF1xlYBm/1g4g4I7bQQdLabzVsKt51NsVGV8nZWiwFWg5/7J/POd+vuLhCSA
/9s2BVu69L5m/UMJdhWJG/5NU5sVrYFqOfuj6N4sS6vtLyndH9DSGIDpj3maGofKqrI/XKLLrPfv
V4gfL3zbcgPfs3EK/36FChyu1J5Rd4PYWL/NQU56F67dao9+XL85Zef+4c39FRTw5Sdevi/LHQRL
55+zyX99daVVDLnhjjcsZrwkGRnWhxxKBBMl4LAqMG2hqxQDJqbUmHb9Jpxw0xvYgf+5Vf62U/72
Nv/96bB5W0iYdC3JyMJXRk2EYE6Qsz/dJCBrT73fQVodGADRUZzYq9Y11TVyeLQZsyI79eWoaAUr
Ou+6goqbMrCwLKl+9dWfwCF/e4Vt9hXPBcrJNsPt+ZIrQPp7XLPCmTfSG9XWmnR7cISdoLpV3ptV
4fJygtlaxdWidn94Yf62wPGjPdfGjA5K1BJfH0nLHWKfeSGH8bFaPtVa5xwwy6pcteRDfyJvWGeH
s9mtjf1jHZPds1ogH40c2BDvs8Ssw7kcx92UzNXOj2U//WHz+X1wndWNzych3Vq255mCwNjfH9fG
BH89NsK5Me2xfxp6m8NgMwzvFC7tKbkAEuWSJRpnsuXSs8+9b3+4QJfl88vTe7k2trRQq23ODb9/
ANMjiRETBXtOFRgv3VwglcDGCi0Rk0/X9morG0tdx62RYMFK5/gZpnhK2IkVjE+M3//3Es5/XZDf
Ps+XEB/6k4XOxsS5QUB+xfJ5sIL05x++8795KFxOTlx502Jt//pQ+JZOWz/28Ua2szLX/tIP0BOn
al8y0XEa4jw+pRkxs6VJoipambuL6bLvpS6zfYItY1jDpO2/V4w3baxgCP77D63DOu/7LsxnlzPU
l3uC38Ov8OVaN4RY5Y/sTd+BmmBbGhG6tOWWh7Yy/S06aXGvEv2iNeRrSxi+vVZBGf3457Lf8L5v
c2+Mbv/rq/f3l9lhhTE5RDoefTjvyxY0ADdCG8qWG0a2KfK4S5miSCdsJhFIVhUgooHeKKNLdRMF
fwhr+ft+bPucVB2Lxd3nrba/nAai3C29UTbEgcUKJYmyq36zyBA8OstMxIPKmmsi8p9HELVgCvra
vrXrKvmRmXl1nctCXf3XF+PfPUmsKib7Hjuy+TWXH6TJEmgPfwDrWf/Ujm2znRkXLVZFOxHN8V//
sC9U0H++Gxz4BQd5jxPR193fcPtJlD4efoYM2NZU3eln5JLk6Bfd9Fm4Qc9sPsN5K9tA3GSb1xtG
pPWJ7fjJRyckMDN2m6uYYdaQpiyZ7VbcMhNqxt32Miu2M+dEl39Y4X5lL31ZYahUHMsOyK37+6lg
cQN3dEXH0zxAVV6lCPXrFsfGiaYPH6kMPKZI6tbujxK72aN0nO9BzTlzwCzwsx+98SCq4ZJTl5Ur
rzPyR211/dMfLu3lHPf1QwrXdyhXcPbyaX9fBhd/sTjQ8iG7xtTMnNNPO5cyK68cKx+2cV4H+zkI
okd4r9YZj8yI20KFRUW2kqvVDxd+0p9iTf7thXNclgLTxXFs/fr9vxws+JmM0DT0LbrFdY9dZ/VP
xMbWYaQq+UActjoCq5r2uUgXzL159a57zQHEwITgm6n9YPSDfUqrvn9y0Zw+nf9D3Zkst61s2/Zf
Xh8nUGQmgMbrsBRJiRRlS7bcQciyjbqu8fV3gD7nhk37SrFvvM5r7m2HAQKJzFXMORZz0P83j+2S
cFrCtLnTq5MdDgAzNxHRkjn0xpHmRnIvI++T2xfI4eoaaUVUJDfY9POD7uqIZAsO3Uk5O6OYmpPm
B+8gZv5Ioywq9hZ3RO91Thyutgcf/S1sod44uUXPnpCFxXPnFUTKSYC8ZLTNipoTD/Od1TNvyNer
x3Zg4RObK5f98ffV47ZGm8xC6JOfuf5Xs8UbKFsmA3Pi12vNnPpzhG7pULmFfbbMCc/TJZ/6X9wF
Q4OVyzMQgnGHV3cR94OvDZjbYsR2CSZSp6YProJ1pAx/Qbn2q15O3gtODCzP8//P2uY95vBfcgBK
CIZBJEEZwjXkHJ//smiZ+tra1mBOJ5Oy4yHPpxwghiNe41AYR9vrc5qeyXHqmcqKKYFshQFY27cf
xCWe/P11cA/C5GAkrhLiehKP3RsFkg2hnwaiP/xdSi+egS4aR5+ab7Lw0AzCZIljtcnGKTiKoDQ+
DFmZf8/bMJhWSsjimbEWTQlBu2oeY4RnO60T5tmG8HOQcw7hh12+qwxVUxvu0SYkI+Vn5M9JuMFw
oZucPaHroDwh87hkxgCZ2dPe/qE81vmdXv1UfiZv3GDpWX+ECknWofBr+3/vEQklx6Owi3CLDsM+
YygzGICsyVXuly8R7foHFJjOmemW8gDBluzEl2Ib6uZ4W2XmBz9UYj1o4AZyF8xNIuWECVX033E4
WUcKs58rq5OHYJh6hMfMBcDeUz9xMM62ZMqYP5PSYbCsUwmxdVx1Lq4gJEEltedAQK4wh/EBb3EJ
xcTELRxN+PuNOX8dYkkNQcsteXDHMMZQ2FHunLRD10Tlvq3x4bhxI9ex3mefy9S3qYIH2Ro/XA62
sorPUgw+C99gbcXoyRrDNdBB8vQ1XtVOoe3fQwooP45u0f6YGjhgNCVpf3emfxdw7mzdxJyQnGjY
6TtN+0qlW2e4w5zCWfw3aQNGgGpR5LLDUp1Z2wjh6J2XOMOWwJmlQmjsnLs+y3cOlZxz6WK0Tgts
01Ps7YVvf9IxImLIFVtf93Gia0UbvuYKG9OUuem6mxrjGBmFs4fMEu2Z7hFuJTn8kEbBJqaXvcf2
NuBgNcut6XXDYepN2oTEJUw573pkNuX4PbOD+BhGZNtp5g10BZP+UFplzXQBoX1ysv57NsXukekb
zHzWRg+ejQfqKbDSlzRu3T2BsbZpmxg6RGQEJ8dFkJvSRKXJ2oYjnih5byRRt6JXdBvGGnijvjXy
HSK/5jEtre4BVggnEPW/J9tIShqdtTEwFwwP+uLyl4SeAEoJKvmhMmK83C0ODTtiSITocYxWg5v8
PKtATpmIUhv2zAY5vYbi6DmISrlLI5XfMwpB31qSjuqilOhiAxm36cKdI/gwMHPQF7ClyrbkMVxe
Gloec+lRE/0axbG4IyW2t1lNY6Xt3Ixu0OiXN2OPsbGvD03h518sr7tLOsNG2OIgQZeZt+SAUxtR
S1pXABVXie75WynG5mMBFwf1oZS3oaydfRUzVrzBa7qIzbKmPyjS+HA5jbBShcgiywk+jJZZHxMh
ijtjjAHiCkfbF0meMNJNiGNohvlyFMw/6/Myv88gde58qXWrcKC91GUGnK+wL1Z25zdbZFA2wAMX
g6uV1u5dmbkPHTyL28wth5sKrcEq1Bh06bGSkb/7SFQKERjPKNnw1Ogj5vU2RfSwarDMLIXQAzr4
NgneGGrByqD7tTSLSnyqy5AOB10SjUkZEBld2oCqwPpKo3CJAv7JqG2TrdR7Sf0kfmgG237p2+Cz
V/vG2slEuvWhVd0ndIyWRYXb8rIrBnxmjxxDGwpX3FiYtSskaemSj/FlYnM+ljp7aV13X6wqoN0z
ZHn3Wjk1olBh5buowcmFDLnDYtZ01guy1/qRsLd5FJXOh9HDAlkMZcIi1IVAmj7mwUtcsftpEZ0+
fiflMUx+W6NE+j55YG7HsfJvPST6W9V502MJW3Ptom/aDLPXs271+j7qoWeMovFPWtr4Ozo7GKBl
lh40g+IyikQNj7IjaJ0tbNKSNa3BCGa1U35yIt07eoUKyJxttpcwksPabsYHMNwMHdFV8YwqhY2w
GXy2lIJ1jadSUfK0JKdMXUXlc1DSaVxc0tXL00tGpQAAojaOpvTVK8McmQNTRra4ruAgzuMXgZQl
r/jA5GdwQv231B/yu0ELnZNKc+0DUuOR3NKUm2qorZ1u1/3OEBOKF6+p11OYFhvsylBzGMYGFygq
sIZX5VJFSfNoO2OPcHMiZJ4CkuXLVjYOZvOINAqXGNgU8yZggu/ZjDAwlO0g9xw55pNK2dVdK/9o
hvrdNHDKThnjRRaF1siFGWLLanOoepox7dOxzLfYhePb2oF9EfojVxtHo3gSGj6FAZFEz+/MIaW1
DcbPwf2cNqL4XjB4vl/YBbovHF36c67Ch6w3R0R1aJvRUBwc3/JvVJyITZVMzl1jOdZOGKa8ccA/
Lc0O8c1MbsvDovkwmrjP3MqRa5Mu4l0apPdK9dGhaxt5duZo021t3tylzAjc2CiWRIT2FvF536fd
B1O3mMY4uWuC0uk7ALvprhuT/GfdJ5qDoyjUBCqpyF6GvKpt0llUWSxf65dI7LBD+YhSlRbot9Qh
EhqCbg3bMcfmVEY+Z5sWfIZMdKs0GQFB8PuD3iObSftc/5hSGd86TTm+ZsR9KzEkvr2KJgA3i8lp
6kfcGBT7W7cMV4VnfBP6UH8SeaGhkY2QV1meYS4htVEfqaNxb7qCQX2VnaJFrxgW55XxXRXC1ppw
54CKi4/G0Fp4nmJo04Pfb2EQoLBK++85M4TuDCQH+1hZOH9KaRwTW4QfzFhXmPnaGWDYeRvUvd5D
og3NwbSb/JRkI3UW4ZUzWIevHsGV/qhCkZywd4P4Dkaj+wKNpIbpQr3qEu6B6wjPpRWn3yfPooEy
TyfK6thf1JpSq1wKb+HE5HhGz+0szAhtkBhL+2RT8V9kAiVH4/bjUzJq2n4qsnpWhFRH5jWEW9Ka
fGfrmVhaeungKuFBYpQm1FyZVp3vXD7wT14LOcyh1XbXXU7IMprgsIsSCrDFxPNWmNgs6zbiK59a
l9Msn0AuWkWP02D+lk2CNr/MrYfWte1z5uKhA7CzziPV+as44Um1jkOdMiIFtPjMHPfDaPXq0OLc
2xIGGY+6BkIopjHMspMONd7Qpt/WRc458/M5Kp77Nb2v1Bc9GTR+fhw458E0+GbcRDefC8IKkoiq
4uwukZ1H+GJrdh6gDPyfvi/JKOc4Ekdo8YzWkT/CpRjxBSinfYhq/u+E7OTg22P92a99VqDr4HkD
6ST2NHqCfRgZ6tUF7HSs3BiCqUNjfkfXuz6g+jJpmk91+VWIksslwDhQtkx4FmhqfvQLRzs5eag2
pTUNOG2NKdvl3sjua2o2HMUOsgBq7k6N4l4g3dTWY4lt8xh5iCrCMB4e+iw8xZ5VTsuum0VmobS7
D1T56296q3WfG1OGt7ATcUyrkmjC0YfJ3l2qPMCHzG8An7XPOlEvgqTSqs9WW5Tf88rs6fIHQQKq
sSAfx4HYIr2smxBKgxmi6jI3CHAnMBHl8MzOg1+xU5KqIlAJnNcOgw2qQv+C3tG3MHYF/WGYzMfa
KcQDRbf7MZKPdqLcx9EanB37aIcgs+fmDV0j6sr4ynLKXl6gL0wCjfWoIm3FWkeTRLzia0uVMouu
yE3E93gGF5ZdPEhPj3cUz8d1WWOoTDQlnwO76G+N2BGbwOr6jWV76sDI0r2IZEYQEcJ/sIMXOmZE
bgEcjdOIGHtpIihEgkj7NG7GcisCSEYJzHUbkb9VvQ5OMYMWfDWhucq06ivKuhJtWtJ4xwxseLZq
Bkt8Y+157g4mRxvd5UHsVEvFONkbO8UGlKlCHlFTFz8yt1D9RhvDAJKoK6JPyajPJ4AzALUxBqv6
7HRBrd0CCe2gTUVmWt7auHO+4BSzV4VRu/5iGMZtUifO0sPvsUBzf0odaz/2abs3nX449gomkRkl
5V3k6d/LEAQiivYwOSeZw+HNORC/sCNaI27GwU2XKmQzW6tWmrcjVER30Reu/VJ3xPLAL+qg3sdZ
Jp4SH6Y1CNN2OHV17bb3+M2C0kWMlpTxVkhTfzJQavLvOUPzSJufCEhaU7gFTJmtE4gMZzz43hI5
vKBlk5ABTLqVyaV0O+P4M35IVFk7C9D63qkIrfaUVvwRBZx8V2rYjdoO7kqpyGPNcSCKTj2N79tM
Oz4dM835dC5/LdKNcFyBcMl3uh8RSlmBQev3EnsU81YbpWQpl79ae8RbydjyvXe9clYuaIyNqKAc
Bspq7pm94KwqPTWOHJq0gBRFqTQNy+cwqvpX9vMe3SupHMcwV/TmrNlPC4IC8LifdDxxUJcVTqcl
s56KZ8QwzKRwh1D9wCHNmNJLLJlkc0KQ+W10sFQuD0q18SoBCRAhOAzzp2ZOeP20py6bBrJ/9UKH
vU6M1JoXmDQZSt6CyWJvnmt/TSzYdoZCNfP44sJtkFU1DH4HcHbGvFafNGE3j5bECqJcn88w8Myf
t5EXNf+g5heXXVLw1PpgRmMUI4A0JHnOHm85RgEkuEcUsbmHBjKjLmpowVxB45djFRSMZC7LTe1O
w82YBj/azkFOVg7jjuPgvi9hHXRGle3SwPVu2B3sR79n7kMQthxS/MQF4a5/o8Vestc6N8KKTmyl
OYn/oc5T845vloECrtsNy0g0xkPetM0jr53nR7QJNXMI/HUTA+oBkJaeU+FN09KaLH1fBNqmbyXM
j6YGrJYxe7rxk5dLJcToJcl4jaDV1GNv5U5kEY4R+99czZnuRqc08Ob7evA1C1GwL2qsk86imx+O
7cxLLKu7e2rB1mHQLFCKIzq1ny8Wxf6jMRiUDu1Y3aSc6GQnSbeiBiUf4oKB1fOrnSKdhoSIdY9p
14Lcvq+b9KtN4P0BxGq+Dvv0k5YEpKtoLEFiREa6FkakPqZ6bOzI/wCETDrFjxgmaI4Q5Qh1FlEw
EcIHLWw4bNkHWR++F+IljMka0j4ISbdZwVFMUc/HiI7jGHDy4nJQ/DxRLcgoy5L2566cKxbBYA87
KuUjnrT8MdDCr7Yl5CkqMdVzAopx5Zik5Ij92tu+hgVi0Mg6t2NVvWIAch7qoIwttgYemChd7Xtt
U2FdJv2EBN6nPHzuRVwc/REbiqYmvFpTBOEOe7COFLRuYHjqIR3xtBy+GrC/qGvphIlj6yUb5OC4
95kFcyOCRN85mp2se2eIT1MVVT7crPDLpUDjJ1CtFsxRwZk9lfb4xOHM+7QVjg+vS6xHylifRDLD
zGJEaF+0OoY70lgBno65VZP4TvYtGTzv/rLcSx8KaU5sAW17/rrjJHaRd0LkbIbkYzzXr3WVM0LF
NEp8KGjs2EV8qiVlr7EbMY2zfiyVhhJcs4Bf/tyODBPfno2Wf8n3CE2jb8IpXyRT86jmuvFWj8xq
ttMxiwLjKBWQrDqHYiSAl1pfgfxNEtoUE2l3is2kgfVW+ehhB68k2NEB+2waBgqy0j0z/QLprIPI
aQWny+4maGnfmFJ+CKvQOXY1Id/mUiW8pEhUOsoQs2Fi3HtWIR+rOZy8pHecRxQLm56vEBNOccYM
jvmWU9K7BXfsnHvawY/TZSOudH505gWHqMlhqAQDhJqWluxeAGk8QBIpjoMJYQbLIf8LbF4JUu8r
um9vbYWlfq/rVcAUTS1+luFY7cJBoDyV8khxTHtg+AjJy1zpK6ypf22MDIwLay2962VRPSeiQgQJ
7wJzWzs8XCrbLsiSg0p7kpoh3fSlFLsGmsMpm88dgAYQi+eCJMqU/FMioIWr2scQ3DOsvio8f63l
c4mo7vL6IQZ8c0wQN5w7t4OUPLTdsaVlv3UAZziLwpYvlmknB30++BCut8fAxWBEMxJ/QBfplEXQ
nevVIDbSwvGywC7p4Yglgh5SHQgx8JSbtBkDehCW+2pPIzUb1DxdZrcgbXVG/4z50bAmAy9fA5Tc
1T2iIsPZaLVmn20GtDoLWRKVd85YgHwQMjjKcEJcMtQskcbHo17jtiWLb5JwLdmkxhUVMhidsZu0
3wzMh2LfjpAbOXGi/rWVkzzEl1rF5ZwH98sZZU9zIcAuddaashPew9wAyt3QW+autNdICv0z1Nth
S/XIpngBpfSyltBrGZvcFRQNsO/vcbpX24wa7K7NCufGKWWxK+Eq79yyXxeZp98aehd87OLiBYls
cEtAQ1Amo/gWtNcNTkLza12I5jGZm+FOYQt0spip4RkFdwbZAUy3YfwYm+7wEVhffHRdAgMFSW0r
I2jaadeZm1w4R5uk+tbNNfMb6yl8htsqD5cV/3ZN/E/9D+JDh2KGDVAFMc6VYCusQPK3nuacCptD
HhgcxXB9zkN0m1JTLNgR3r7gX1rStusYCpWaBVbdtK8kHMRwXVSkvnYamX8G1LfCojIw6PybYY76
aSxy8aDls2vKd9w7GGIzhYKbW/RlU+1VqNynt2/oIg/4vSfADdGKmnuGSD7Nq26UGQoOmmbCw4GB
6Gx7gftaTRQNdWiNm6aufyRd5259y8HdMg1Qt3v/PDZO8cMVzP5EL6a3ECQKeHKaHq2HuvIOehYQ
RoWh8yhYRTdt34bvNG3+0txmspah24blIIR0xZXoQe/wTzSOaZ1Qm8frqS6aG60MKEbEWBHL3vuC
6rS597MIWB+m4G7tZZl2a0desmxzGokzgH0CgIV/3wfecl/pTXXT+7gTL5uQg2D5/PaDNv7UW3HL
qK10l86x616mUvzS68pFnKGbD+TJju0ETHBtbbpAxNsQZeKGKqU8ND0hm+OP8nmAWLKJ/f6ZQRGk
Wv8uVABnHsfgPZHEn11Q7ottyLARtHJ3V11QtKYFBp9KnPqgjp6YreZtIxG2j7WNWxzUkXlOh2gV
VQDdc0+5e5veAaj/qNHujHZSe2c+XS20YCvPUvVriwRzBc4/W7/z/Oam+u8L1dFJZxT3aEl8EFe9
wlk21/vwYU7xpW1wKayEY1w8h8SOC+4MLylM9Z1VJS9ZGMUrbAGU7+Ym0dt38uem4fCg5m+FJWjZ
1yIoDnJ2Mp0u2qVLqGOW/ObigQO47adHb25DvH29P1VfXM+R0kV+hOLXuVIb4KlFadwl5snKvUin
OvVKjT/b5kUk7qvekYceNPIO6llHZZ+T5u2rG382DR2d3iyrw9RdV6irTy3EbzYlGZ/a4BlgYRtF
mXRUzrF1EyqjTbenbB3fOqkIoY81BYi2sjzLwMX8lKXa65AXHx3se2ckLu89mb+8CQO9Ay9h1u1B
gv29fVzlQS71vlanMEEPd1FQhkOE+gGy0jPos/rx7WfxlzfBnmOjFJjPCzQDv19vJJoSKc3HE9Mr
ohvJXAkUVmH+IU1yegOpheehArmfOI67l0La73Vw/9SdUIszUKPNu4iFuOn362uVAeO8cOQp1mS7
wzri32ROkr2WMzLYiOTKGGdxIH3Dp25ysjtzdD7WLoPForhXNz5jKt6RW/9tcXBDVO6UoRgPoa7e
gIXpoLAKpU4UgtRjFeU+km8r8jcFKhWyY2X/EIIidVDxgXijdtOWcbM1giCDFmzijQMoGn7tdb9/
Haa5h/6PXxhPiUeNXJJN4/pwKzCgar5lOycwPHMhtRL0RdqUFGzu/MVGPLxeIrDLfjUME/Xut2/g
LwoHDld0vtJAZkuNbV5Sv+z6zZALN2Sk3cnpovGh9ucBAFGM22eMD7lsmkPqwy0w4B/fhMOQbGNF
LfCddfOXMx5VusEOIkzBsKJr4Q1a5lxNbOr3rmz3iEUzmjxDswXjR49Nm6bPztCDVqmoJdDhEsPG
DM+xituDlQeA3ZMqBtJh1i+tj1MTe2YIN9RoT0ojRy8Zt8qYIJu609uP7i/nEhGZQLDA54Iw42pp
4fknPQEKeV/PexxlEPvcmiY6nULNoe7cS2rlu8f05Z+9OmaotCtqmLOOH+nc7y8siEipJlAT9wNJ
y1bJtng0sJrtevCb5zozyDyQzjFjJA5YrpznMRyIjhoqAUd+PwYBPkwtSux6EfvJ0yjEB4xpw6KQ
QV0uLr3mS6canyxFpZ4UnDp/sRRsvHChh4/l0FIVtnJbwFqGtOdF5aHXEUCtWsZShYvez9Kn7FK8
Hmfpvq6TpZbTOB1IdZsFjcD2IZjc/Plnmv2zqVlEo7Ga4tC8qfJwPLl+1r++/bL+sjO6hFTKlujo
wdFfvay0U3ElBl6WCHt1KzM9voHb3n0OhGlAdIy7Y5AHxmYaixSiVJ29I4L92+WJCVAJoePhQ7+K
DXw3oaLR9+F9rQXaHlBN/LN4gG+huin6HL4nfLhygy7/tWA6+P3bv178eX13lgLimLLQd1rOlbJt
7DwXRIOf3LP3siouZarSJYZgahxJseGI4vlSvmDcnHEEm579MCoH+nlWJiR2+SzMKFA5MujIkQxP
AJKOeqStDRyljDpcjOZIhii8gMwdC2a508KBsmOph1u/Dfkjg0kA7RKSRz4t2AeqD542jJ8mcnOG
7jBRygDv6VJSCeXATWlpRgcxZ7DZAlk/H302NTgqL3XftvL0YZm1GULAuUSsId1+ZfIVSp7STz8H
elc+NtCQ9oqE/PBTmqbm/jlzxBFOhbMY8+2n++fDpddj8ozULHn/I0nrZG1lfSXjew3TF2hr1ND3
hWH5O7ouBtNqp/FrhsmW83cM1troi3cW1/zyft8RyBFnT5GjsEsgY/59R/BxNKK+SPJ7f/DMWxFT
L1kEIbB3HI1zeSzRXcgwSMicPcGB9U7092eMQ31PJ/yDJssKk+bvV1dNUk4J5iFCPUUhLQkUZf7E
0Y82s4KWdmPhgXv7eV9NRkQ5TBUCaaTDeeWa7IVXqzmIGQyaOm10lmFSLdvAFxZu1Byydk5P4RJm
YS8rGIdnNOikm2qZlLK5r7JWW9tF+u/GvlnZ+iauXXi1A7jKwEbcd4lP2TiHQw9v2/PD6eliAiMR
0z++/Suc67gVMaxt444jVGcr/2Mjt2FlFnBP2xNj0opbtzLLgxQliNtafBip2C2ofMRMD+mg6sMO
il/buHysDEozKHx80NZE8jsax9EK3hCS9dwbghXtCvBJbnqXR9nniEmj1KSNePpC4Snf4qWm4Gs5
5UcnsPrvsWuM95fPh0YsnV4VTg8Dm/g36PXlBnQ68zPiQQ5f0sk0P8V4ccEzefRIQwZF6E7FHTql
dWOOJRxPwAKbsu/UKu3Bm0DgdE8eVFCIlz0jtkbprOlbFgYL0023eY82xUEa90IHQqBnHZOGKQpA
vbeX+DiL9P7esaE4TlPxpOEjuSWdq9adbNsPqWDXmuTJFFMEaWNyF8gAtZcUFOK5RqC0VikVKKdp
jHYbV3oATJjCdmE28Y/A1bLHS+PIbwoTntDQ5Y9mVuiHCGLHbYOE79UJTOM5TD17h766ZNo1O11W
SjN8ZxVffzektMI2aA1bCoXpHxUC6fbZGBmVfgJMyC42tJy0ct72hEzXbhcNP0/A/9fW47vwtcrr
/Edz7T3+/9egTOD2PxuUDy/TSxzUzUuGIfliXN59+7//h4ztP/5kx/4XbiTiLfI4Jg5gu/qPP1mo
f6FVNRHnKofPl5f53/5kKf9F0Q4nEpULNUfV/HP/9icL/V9S4fdgmRHH8f2Lf+JPvgpCZ1+gKVHL
0jglBqVe9/vumwVgRpuG+TI5g92ADw9e/N0o4NNDLNTMA/hweSTkCcN3zryrzevndeebt3F72bhZ
f79uiM3L6z0djakClKujotsAl6JR0Cdq/8v7uP95kP1qBLz6UC6XYjINVkAEC5hTrgLedEIK1jaM
6OuK3t4nVvvkglvamNOEkczU3gmVrg7Tn1fjQHMVXl1c5FfHWV9SFY2aAUuj3VHPsg1YyRTnVxDR
w03R9/0SiAIho8o//OOfSemIcgGFVyJnOT/xXxKxsDeseQYhb9JhMGpQK/1Hq9JxHUaTsa6TOn8n
avjLYwUFQto5x4Mmhu3fr1ehtAu8GOlNGiTpAFeEmZ8rv5q6s4JH427g3jXvDRmfo+xfIhUeLnVF
nD4mC5YP5zrZrFWDQriX1aYDoQ9fHE2dkxvvKeavr6IouegCzyiCeb6Na/cLpUIAhpXdb6Qzj8wt
muCmjCK1fPt9XX8BXMU2+UFYDRWVneuoKxC1luHeGmbYU0Y/ORnCT1EBBXZBfqbv/vnFcNNTUcYs
9mcNtAno7ngKD6Pu0QFQwfDomyA7rNB8fvtCf3l2WLIFTdn5WHIu9ZRfVmFhRVkWQmzZaK59witY
ARN0h3eW3l8vIuS8b+F5Y9v6femxorEL1g1DcCzxagk40P7kOe9sG397P5SzeVrsirgJri5iBV6i
fMZkbwxHddtimkDTufltgi1g8/Yzm7+UX1Y1Wse5skTtXMFboA5wtQcrc+yhGyY08dboid7ZaK/+
cYuaNyeLjnmSIg3v/uof76neMqwijTfEpzV+3lD3qgdLRUZzzlOGY90MDf2XZTZ5kcRBzyilJzqh
3vDw9m+8Omfm26B2cXEf8wtR/v7+yjQoU84Ejm7T6H1MPSb3SqgJIbAFRkTETnFjZ4H1ZeigT/yz
pX+5Mtu+CX7DAMNxXdOU02gl1dQmGxQuyXZEcLYZI2bhVSyuj//8R7JtcMrPqZRxyaJ/WfxIvDIL
cSJjxQKGPWl+Xb1StWp3SJOm7WSm7UNcOu07Jcq/Pdn5k1bswyTn4iqZ8SJTh8RdMcI4NKBetXbT
fOpg6O4y1TBNZvDNlhEWXW59/4c/lv1XURPRZ6sXvIyrN+qZep7FepFu4As1HzRl01INsuy5Tvpy
29ctUn0zEZ/evujVl29JFJeU6anGWha1YGv+81+fcG8KO3ONdFOOBhKAxumTldWHVvfOV3P18f+8
DlEWZiK+fEKt368ThJ7b1wzJY5i4793JuBP3hWlLOuwMGH/7J12/PxA0irYP6T/PkhU6n7O//qSA
SVCYlpiv0CybL+Hp7X99btrwD/yyvTAhjCofmzFabYUTzJ1/6y8XsFrBkFr6otuuCeiU6+OU7bsg
1rGcgYOAnRx3kIPpYEMUs/PIRCaWOSg12WCNbNEbPnOREvj3VO0EkzTtYgzdxRD57mfRSIH0Kqin
eWpQTRLcOdL3GT3MWCemJ5f2M6WFdp8Ak/eXljMMAPasmhlqVhc+FUAG7GWhZelN1DMFc1nHlbVv
p6qWd7iPNEqQ6BTxZ4R0z1NN9Z9s3wbHHxZm8JDFLlbrWmrP3jCKoxE18pXxBvY3vdOzM/WEFsIj
UpfnMJZ+QwnDggsLGkxWyJqYUrIMah/Qd4FNJ1ypJh9vmiCvmYXkY8pZp3TnPvARe8e2rqZ6VUun
6dCqxhAj1WTNLMJOuMva6vydbGqJettoQqA0BkMJbsALwp/VYtfGIEsRYz045aCW0vB5/OQIg7jJ
LpBr29XGrwiBzM9BYgH1GTMjTRZYe5kEJXyz3Eds7fNo+UbiZW7bvGB8kw+W1aZK+tkPvTplxp2e
nEtbFSh5S8aM+JK5RXQv5eTdeI3yrUXpzNDDionP9ILps7U3dLDgOxLn5Ixx6+36oxdT/clCDPgr
d8TQtkgqhtuCwFbRcOPxB3Tl3MbdJhZUe+KTNNnZvgaGrlSNFm/6xCm+eSTQJ5QfOmOaR/zLOy0u
krsCgJp1D0u4v0fFCa6799Ew3bbhlA3s/IjnFv1YZdmNcFrj2xSqvAZ6C4Z3GE3ri2mEPVDrgP4a
zDoEJ/hasgAIMcl8sQJuxjAnuOzAlGPJlCm0g13PiCrHYrCqQmPy0MVxxQw7hlX9ICUuHKTTDrjV
gPjx2bPD3NzZuV9E9yj7h0MpElfbIqch1jPlkD4T9BnWNmc4cr3BG6LVN4kvoL2NfZBi0lI1dzhY
fbUeLYaXziRUz96mVoNw229LZtA0E5OM81gl5arKS01nDqE0URmmZfsK3taAY033MVsOVmceCmUG
9qYw2tigPNnqZ24nQmql1y2lKK+l+9bXpQEqXU2M46hKpC2ArAvaKYOt+tOU0QNaUj4ev0DCL+jD
+PZQr4WXNfVt7I1NsdXCkrkUGrNOt7gc7XqVGrLO1z6KjXRjIcX1dkDKmwY171T7Z2aLeGI10sPY
8yTGaB0TpR6YUTaP7s5bRrc6gUweDc+VsKCyWs/2njGy5GYRv1xOOUUXwHluz5ZiBTYgVMb6wARl
Llq30FDiUM5p6hLxMQpvjxxCWNQuRI3kB8dXwRyaSW/8r1UFzneVlokUG+q7JnNbE8b7bBk832Qf
XZG3CPqLuHHWYurQxuqNY/SroAI7vwgSu/9MpcSeltIK2k8G/gT52MvCfgpDrIeb2IrHb5rbSJNZ
xnojdjW9hprK1JDXC6aC1PuhtKVkKDZ0Fg8ybLPz9QS5V26r6hNTspN41cFH+RZ6MrNWo0wUk+fD
WLXsXPgllnbZCpiQbYHcxEmm6ZMg8r/NSp2RrDIzAwf6Hh4EeLu6Lza9nubNMlNlsq3GUQvWsstH
dOhKE/7GLYL2R98NmrEEWxgfPVNiR5J1Mn0vyoy/JsxWPhVGarRLJ89YAkVtMe7DtpvgpXOD/KGz
Q3jWBrR8imY5DZNDrGb+S86AsRGnh6oYuVOAIthiy4Kw7Huu1mGOCFNyZcaFugtlMOR3MRXUQfc1
TOCb1BkMb02TDX8EUig9WcamynZNf1lqdVqid5rQZ/px25krE1w8eEgw++0qCVLPXJuB8O6VqJPX
Lh6YNjDa/LVSj1A7lFMMUQAjUGNxSjXye6srzb71pfwvys5sOVJkzbpPxDFnhtuAGBQKzcqUUjdY
plJidHBwJufpe0X/9VtbH7M267a6OFWnVMoYAP+GvdfmyocjHsd7gtiDGEz6puY930XB/2/aktTx
YSaxrlmmALxjOcNqtjkHgpPdx7V/xAlg43btkOji5dTERW2G55EcISUvGgpqLStQueHqZ/i52vZd
Df4AFAgnWeJPo8WaIWbHOI/lH6Cwf+kVFuJQMvEgMZ3vWuyIR3driNTqqDCAAfbPiM8IIuwaQVYU
pQuYjuuQhaTjDOJrSFPLJ8ss+U5TKvCaCF+8RfI7q2MMbvo6v53PGUrsy0Q5xoOh209+/Lsl0A4P
ZrxvpfyLixKjaod2n6/8rz/p7WVx6m8nCg+FADNVRi9NP3VIbMQ7rr4UBMA7XOwTGrBnP++6RPRa
k0NfVXdk+uIj2kgRjBpGqKjiebb1l74YzK25pi51JbeW4ZRLQt+CHrSMZ+9qEA6ILofg0iVAP4bL
QIzST+SiRerV8hFrar5HU5vtaj3gbpxLdFXklcAOJqKOpAJ9rgzf09TmB0tt5sZGU/cADnu+LEZt
eq8LHnyJrq7ho8Lnnif/pv9ye1v9DbSc1n0Fh/11YH9zlqGJdlrS3WHvaMxRBzaeK9Abn3rrnI33
zrW2gyrtvGxwzp896VLHlrF5LQkRhSSpGHhVvJEjZmJxtOO2evB6fLyetj/iOgsvSFXmBzjEZZ4w
Xynfc5WjM7dRKzz0wJot6qlFlskyjt7fPpAMSOBiZeJ1wAjNxN2rsa0ss/md+ZDjjf8cTEzp6xlF
q0VeCsF4L2MkSO/Qq/MMPcuHTZWZ/iaY3fA5LBcXDbwOUhQ5Zi+gfYIxFem2cioB4uhYlNnkFe5R
8Qx/MkrZKmG7nZkkqq9+lG0exN6vXXy8Lf9jpYiynQ9Xu+KCF4bQSdY08tSHmruhW/QjyjoHXPbY
36Ohdv9ULGKXn6M0i7tnzk24azZ1TZUoged6c/R6Nuv21fnhtO8Wa7zLmABguJL+25yL8i8eGP9L
z9FI0GVNYTEV3c8V4cXTGjEOud4iXG6VAHQy55Du2Nq72K/EPN3Eiye+o7z8WMlBf3II3mPPYU6U
R83etmzr24KFfenirL/Gh74XUT+8gTghlXEaz3aPBmNX4wLkMZVvw/1StzcV4WYJjqz+qR8XWObR
BO5+yWMJCzv6nlf0L70hUT3DMrOvx3DbIzDXKbLgjcRh3JOvdewR5osxce96YN1LaEWJQNf9xRie
QERFAKQteoc/2G6fg3I5xWJ7iCzC43b40sJz73dgj/MsCL50YVqOURBprEbBKv2GI9jM16jiZU9V
KnYBKNuDCeZ4vywC6ZrjHpYMEY7nlA4B7LIhBWsg5yECknXDxs8l7tpf1TnbJLesrdZDTxxHOk9B
nNZT5uN90sLBU5YFSVysP7MpqF9UpzHY5io2517gvIgzgWNoydpfLpD71xHx5yWqiFJlmR88VhPW
7Zbslmck5ERP0spDWi9Hm5xvqtuHcoPyCv2Bi0pGS33xONN24aCms0KCcIRrv6TBRlDKalweKf7I
LcdWwz9ZcHdr4kb20TybhPdcHFayh0l10Jp6ZQQlq0OZ4PowBHTJqT2D7dEPFIFD4kupAbL7AV+c
hE1JcW3pxBBx+1hhxPnpKb26O7cue5KNgwbascJ/hiIeQoWZjdrLhgP9sG1O/sA0dyPtzDUy3MXV
jCXM6QxPDWq888K3dChiu7ASikDFfWTCwzgznN0NbQOLdtmcokn8wMo2KMZLQR+yIDesfAryE5QF
/1Pa3VzeSpJY3Rs34Di9w8A4jkS09fNycWUUYLJi9UbFYrfunvFvr/dR31F/RDVHXtlZ9qtXWIRR
RRS2uz4s8jzBrbMt2ADFJg9b2ePNxgPtmCtYGLIm72Gqgmp8IEako3aVAcHaCyqqqweKbI04GorX
AIvG9NQLT8GKs76UEgDXDGRbV8ci0ZNvHVy3k7yMfPwRU+N89V08EUuHH/A5p6rbd6UWD4tX/Zpc
2yMOpH4oMShjCytsDmnKsiTMI9LZFqJkpt0QKVJGMIdMmMoKrLj5RMG1M3m8/trqCfG+YEt+XBdT
H1YO2SbBA9LSbxJBLnv617a0LGgA1wdtwMCjyO3wpi3su3ar3nILiXmRYxJr3WofUPycm0KFd6Ho
88tstdMLTuKoPXrbNiHmkAVoY1wKcz20ZFMFqkyQrpf6Ea6JupSTV++5eZxHtqGkkQcKS+RhEDkm
EMRrl9LTwT0qBAXTfjjNFqXdVuUCbniZ5490VKCJia3dMZ7pTyR0GWzpS1M9VIRlDUp3Rzc09ie0
c/PTd+uCrsShO/Lx3Fx5/fiPeT6FKXMgdeAT+MmuQfSQ89kRw/BGCnLY4lp6uwU2jrvLG1iCe+6F
9obSMDy6Q09KbOd3KH+q4jJU0aez5TEZmfGd1xrp7NZmzmtyP8r5FJbWW2vwnZW2Nd9HWSQeMa+3
e40TA/PI+idYe/mgbF8+oH5b/3Jl/WTShl2O9KYOr3lYXOaFFF9gGDCYivmZ7chNuJTkv5su57Ml
S0Tc2G1ukrLtfqHOup6bJLfaTYRNubDt7SkLGS+hidjYseZRfHLzKUgwUHZJ20rnjeKhfB2bCYL/
gN1k3RXWmKt9NWTNcoz1mr9GkoDQ642dk3uWIWa6VvYfnIzkV7X42SKepVRSkgIjBJ/e2PnDKtrs
JhqC/n1RvSiSah3bHyClBB8rKRIJ2pHshWSoGQ9+kOGJCGUY7JUNZLxwSTvENGb9sFsj1h3+q6hM
ZimHdJnE+9WP9dJ0wbAmSzP/Nhpn8kTZn9dEZ2BervA2glQpW4AgSFcWdYjQUpczeXQs8jNqyy5c
+6sRn/MnkOIV1sryVc5lecIh+KavVGGo+xmhu0LNHKR1iNGipeb4UvFwJScUMOrvBrmq9YcYBtJZ
fLAVzIHbX8Rjem9jHmPHdPFkosouoj/hajLC3AJi53bbKOwRNplvDvks0DuGrRSkIPNMTqOy+woq
wmaUnVt3hAlH8ow523rqm2vvgH/L/CKsSFKNU0TcZ+TVz0fmaq3cy8X4P8rC0rQVVHcfIsq9tJKm
+XI0ZnqS6c3PxZ/Fi2ura4S7RZwfysK4IZAR+TYOsW4+CssGCLBVbUR4c0XkrBpdAsFdUvSKYiO2
LGwdmONThCBeVZuVqtYC5hFvRUjxyceBlUqPBnzGqp0YSyTffiJL8P4YQJz14Pmb66T1PIO3NVMw
/pyinFIf8W9w1joM3ryiJjiqmPpg5okdTcMeOobP95mvbZvOG3icENNkfuACaRaYuFLeOYRmWjuU
BS05l9CWfk8uFWVSqqF7zCCSr2yFHFtQPNl2lcrNmDld7E18lpqHegrtL8BwgsJpwVk8ydcqFg1F
qBLOBAiClLU0wFOU73l6gB0JSb59XtYKyYuDF5AwVjXDKEQnaH9bkQCTv+kRSoevwz7YgfAtCPit
G4FhdJ0rTX1H/ZX2vdcdGSnU1yDKKhD7JgzVd8aeeEmzWTaEwTJvusPjEl0qY2iDqyrkqR4BInmM
3a22U8S89qOFEZP4RgLMCW3qB1oJarl1vMRrDu6fMEF2Ysx66QqdiuakyGaPDJqaFgXX2eYmA+Ym
8ve8aXtnYDMT+rfoEWenO5EDl/nrfAhrtIv8nE8oHgf4duxW1Gt0MmtB5T7EIdlly1aw+sArdo1E
aNgmYnqbEg/GMuS4sXevEHeTtze4oGGXbWQnTFSPtn/p4E3GzKHC6SnnqLIYxKw0eB6P2pWA07Cp
qUGb0LrtGxNW+3AYldoNRTe8No0mejVYLSZVIZmCf+YrLnA3eSWNB6O/mYm225R+GneBehCV4NBE
Cs8TKXBjElX6kmlFWqMOITw5nuVH6YIsYZY2yzlZ58n/dlXuv/exR76kVjGhkXbjzyG0jG7yE9cV
5s6DUGAjtHN7gKohadjETeZ/+I3Bd1c4lJrZrPNfvjNG39pdt2vsTrseXItA26QC+WaOJq4LGj+j
Aw/4KQtBPKhOr/ZdsDCzxdY6EjIAfK48AAJx34FYYeFXgSX8U9C3AzUi/iAQIsJj7lCLyVz8sbfH
6xCM6UamtnzeM9maH3Jj1iixonglnz22rCjt0Z8wr/bliomaqojbvgXHcURNGPc37dTnRMtTKz4V
xNO4Nwi7m22Xz0V79LEXgGZZe0SDdmfV4WPoV+6QWAy3mj3mQXZSYD+ugRFOEYhd4wbmIwxL/wfv
OX4pIwN0sXfcPEjWMh6GczvNvC0cLYaDM1S1d0teUw2EsB69d9EXdPUjbew7KEIL03MWOAT7rlPw
ElWO4VflSCswidqjgZVXke7SxM70sxQDPssgHlvvj4kQUNxHFviNO6pet99VSBC/VnuySwIIZsSI
C/I87zIqRuTQT/wuWncuoy8vJd9aaKI8eucWJojLHwGwHGbUBsD9myrV0lEigO5osqazNbT7x7wO
YLbdxnjrJGcmdo2l25PgRFjTbvZZI5J/XfOxBgn+xc7KT13nNxiSZnBNJllq/AqPEYcxKmvG7nTT
qqZldwQq0LRhqUOuTbzVmGknEsrwt1Lbp60gWSNVg3CxyHdayjfs+5Agumvq0zGv+zlMpnhtspSV
obaTgLmeIudNRHNa1/1Exc3Dmnc+QmAA0dKU4VnjWrCTub6G5zVsi6vsVmIt6vdZ3+Tr+6x6eyOL
so4qJo+0mik+ZCbUjrVUxZ4x7gxAa8jUEKeeNwdHxG5u9zZ61UL9gZuq5PKvWgdOhegKYkaWYsNl
CrFg3ytbdb85Ryb3Fp5z93e28544kqikTzOLxdKFkTACBlfntPeroqpFEq8jZIdD7eZvzA6G7L6e
Ikmx25mYJFVXEIDp0/cQfF6zx2dMMOf9V+1p4CYhiZP+Xq3SjX9B4mKRWve2pr7yvZYgJN5RcQ7a
anqrKsYjCT59DzE2x2KZWlY1QmkyZnPPs8w8+GXhtdt62IqrRC7Ks2hkduV7r66v8JcTirF+jbMv
nhWe1243lwYgWtZk65uDKti7xWqIXjezV9KnvYrBDQ+1IjxbvruG+3KewxkhOXLMx6nu8mfmvpht
d8WqLesgVOYQGJZHecw1hUKcTJYudtAeIpl5z7De5RfPn73p0WOmUB+DMLMgVlkegRuqDcxvUE4o
ZLmURMDIDIXA3sur8LtaJpuJM7ONGOhXxHGxw0EbeOnMdSLOaIF74HRBWJP3q2tK7MUO2IaLsYLy
1rltBCold8s2abJ8lSfFLTmSBCtVe4K7u35TdpceZww5PU/lsrrrR9nmirAhZYs1RdfRdvsadI8L
NQb8AAxM4t2avw5sbUOhY4g5Y5ZpXQOvr3wQuBNLm7A/L16i7cq2wR0HHwSc+jDgyu5V8YW+6Bqu
17n6BWkhbgvPhPbL5kEcJHoEgNWWw444dm0AzmAkwE4fnU2GpC2GyNdTu4NdsSPSrCpvgmWsU8LY
4/5W28Te7rTY3EfpKe+FGM6wTmwhp79xjojpdmNzVu4M2aqPyp0Xzl+I1C8ezfBv3ym66s4UW/7t
CpCSOxwDynomzjF4Jk3S5j8bdRz/Mi7y7UfGqcuLiZ0+OKso6LfbGEJjfpoNPeRlsgqvPjSj6OKj
64ZTx7HSbAtBQACM/Ye+LpuXNQ9n+6BdI6DFODiB4utIiGYaVFZcZdNfZmR04NtQbNFxHRiQQHsj
nu8+K6acVp4rbU78ZiPOtWg330s0V/fDprPhnjoM2z18LsKdSY2O8C4KEyyXiaAnK0Er5P8q3dJS
dK60snsb+7vYRbSy3JN9lX1Suky3EgCjgiTV5OYcDUMxH9bcK17yPuZkjltB/WiNkil5b3ldqjeq
033b5/WPXlfk1AALHShSJkF4ztoWDdMcG/pkjbbtr8pXbZK8IGYbvIntl13qBZnV3vJMrZ17umK2
IoJR7ciNbrsHf1zltyC7vUijMfYbLkuinA6DI2aZwg6W9k1tqqY5YAKRRB7i/Vf5jh+X8wl4LS81
UDnxwhe3rSj6q3EOV6xZGKSTteshMYZl2Xcv7WQ3y36AjMj+w2TuhCV7Gbakd9r8XbbRNfRasqQm
ozq051tcc7TZIRMIDyqgXze05ZNuyKTzq4943ZSdDnD7PqScqF0EcSfFHsSa4PpDdiwbbrqsXO5z
qBHUwHAGxO2IswosjLcFX/4mfMKG+OcqzcQwjYSITmu4g9fRCzIfQ3keDTvT1BXu+seTW3XLIq9m
h6ZrcSshFXHLL2v/C8pCSAM9M7emLFyKHzae+vY+Lthbsx+ozZGvhO1NxkUb7G0mh2EaW3o7lWMT
sMrPOt9AQtxiaz9JGeaXgTdCde16utpRDA+4ZfxCFWcSsl153MgdqgBYAYM5riBwADFuNlP/RSg6
aM2ZiB0IMs+Hs0g2wOw+GLMz7WGOworTwqg3NduPDhOIOMeVFy1nL6MBvdmikOowB/497OE3TNFe
R7iXz9f9N6LPivGoF3RM+1YRwroQGlDevhjJ9tj73qLt3Qyf5LQ0S/sltIOasUDOSa5TX1RwXpQi
6QPkWnda/JwKeSCI9JLRPxMgbSa+sRmUUnciCMNjlOpTZB86drfElTN6DaGieabeNyRoWgkPOfGe
9dnV4FG3W36WrLr/mDhf6z0W/46Blh6v9RdTGLnHhhHYdyWHozqgYIXPN3D2PjvB0kZg3qjcUsv0
bQAnwS3iXRnzMOf0V+7y2MyKKxI4Qm//0lRurwOO6WdXENB5CjafnHiNl8bixNr8Lh2rWo7PAxUO
e7NMWl+bCVrvBFXev2na3vlJUVL7acOxLlO8mdkPr3NMnfJZXxvSrebhcE0UmJLRzTyzj2rHZKdp
nWGbNJhc5A1T+o5hYYTzSp9qrre3kO07sdKaIdIeUQcguVE0UDdkYxf1S4mBkxU/6VcL4KTA34bD
tgR+8xvrajY++ZhmLhmB4uoy4bXNE0A1Pv2c5ZTrFcHqf7T1ao/ptZjMbnrlsULoqSHngwPRNHjx
qyF+mAhjW/aN4+lnwHAGkItqFDSHRkHMYt+oXDbXwfJa28Isx0KMvn8eLC/KThbqwBgX5MJLpLwx
UGNdqFMHsA4uDnt7W9RD3YOJOWw5nfz93JC5msb1ArWBBYlbETwLgnM/WavNyBXhfwd4pEXA32RD
eAynTPcfqq9JXUlky0QCnBYDnXckAfpjLeZwSvgcWdhXYXclskw9sXxZ5X3ieaheN749YnFq41je
xQ+4Z/eQOsN70+QAUeLAdEx0cYYglvEzOR1L4h3cG5LqwoDUMZ8J0N41C7YECuzwTx95dcW+FIAg
+CwJ3slvqu53TlRpd2pR/MSJadRUHWdO0v7sNBZj8Y38Xf+85YUnPjK70PbFKvzJN0zsMvIuPAWE
9Ge4OQyJLwiM1zX1FOaCn2EhqURIDc7XsdmR56a9ZAkl/ZftlHK5LTYj490ML3Q6AKgEc6vWzpnP
a02btw+nrVhOAWfaLBHaeM5XBooDmlPh1mrng4OubsgJXgi7jqLq020WFqQYBH2kymswBLcLxdrf
2l+aIS17QMu7ph9gmExE+/kvQDKXZmcIKCXxZQ3qrxmJhMs6gj7sDGTW+RoHy/3LgpMZzAAsrz+h
UpmI3137YQKeuYVBUvr+ch7WwZmeF2def7H6K5o9jENSIvU894zwReF967q2rHtuqeaHXmfxo/CD
5SMcSwLI6b0oa8F2/UHMBHtvcUMwUIvvy6cZEMWVZd0v7Acg4RRpiGnQQO9idbYrHXv9DobqSrEl
P1LfVLnvLPt2ZS9+V9Gv84NdA1uBzYb3QRnGvKGDcSovjDopnJDbQLHhZpbvGNn4W4uuD+n1EJG1
CrlpLVhFDP0kkho+fbm3+cCDiwmtKjqAPrUJZ3QjfCJoxWBIQnthNuquJawQBNE6Twig1zz/+noj
r8CZqgnbv+81e8XUnzwu10GihPFmTKLFzasksBy3paYOeQxj2MzDk8hz0o1pwTjoyqJf4wuq7cBO
8xpc/YmiOXtn0KCpCmogo/sAQeHfwMfdrnm0EEs/Yprbw4/U0FeQdf3W0u5JM8Pk2+8seMQDROHF
782pIf52u9VFVxP8HY2UExbBpCxJzYxBxjgkLrGtD4l83prMY2K/qO42Z8R+DRCfvefYwqufSC9u
b/n2qzixipxzu4ZU+LesNdzKzqamBWPbbippyhjeVci02krakvFgUs5U4cnW9JJXTTXHCGvje7qt
PJu6t3XKDCn+xH99U4BpJVK8ZZmZNM6kHoJRbEESoj+M+PV1Y6d2BegRGHPdh4k1ROzzMdL1lwUb
UJ+KqCk+ofCsknJ6qt9Cbajyh0YTW6ortppJNVTOHTA765OYtP4H2gjwk5lXN9+2h1rmMPYRg7pl
9fnKtG/MPa7x2HlAgsscmpeFmQnIWr1DEaDLneNbweM6UwGmxGYvHxPjCCeJqJyeR7U0/q4LIyKc
Tec6CteU9AHU0fA8znkb3I/sLn9yGaOLWaqFFGgrX/uc3PSCJotRlvvqeUNnsybmkuTRPi602EHX
PrrxuDK4aqJrSdMgGtz1gZjfM7r/DnqWyvV1X6ofCsivK/qwmgvMwdJ3KAPPfMK78J9Ct3Z/9X7D
uqayMoqfmBnrQ72tytvnefubiWZ4Uy8Tfs65iPzfS+DlXyEz0Hbnd6N3ySZB4IVqGudZrGFTPLSq
txgdTtxcacXA7RNoQe2SgruVtJy5DD590MbW4xC7o72rbdRQJ6/Kgu8IXjYx7JChD2A/FCKobe4o
w4xT3gVryaBe82ggBlZadnaeSgxzH4F2yaAXWYWhP1c1puyq02zOZZ3pZWf3sB2f+s0S4cMKQJOf
0bzGXeZn8CEkvjjnwuIk3FK71jCrFS597lUPTj11vPLvotr3BAoVoHc7VMUUGcM2lt8Ot/BMeHII
awSVzKgO6Loi62Yg5ZPvWJeMZ8jYnqMUspg4VbTfc6Ikk607H5IanoK2jBOnCp1LUZHtdDBx4Tx2
0hbfsV2PMQ9UQ3qwk+vuDns/dKcc9s23L+v6BzRuHu+QHfVfjrMJNYWFhWE34j++BhFvdovcYKyG
V2CsXgenys/dv4PXVP1lu06gv8uyEuVnH/VlvZeyqMkc97q1ThoZl39YjxIbPC0TWR1dTgW8C5sZ
8VURr4b8XNOPqZyW6q5H/FQhMxVd+cOZgoLqQBf+dgxVkTufqAvmaV8yn9ve+I2G7AKx0uZkXcjU
k8UIcRPb0iLL6bpIoleBXXUANRz5qdU0oyE1VWrjnXgfzAJnIqkB6cbhyuRfA6w9Sz+n1QC9PPQu
mMSYv3baI2l4bw0FNwTzPfZvbG2KKfEFs3tkClnwhnNfkk8tvD66WG3DKlb0NZUkdLd45ziDvyXS
NhLCaI6M8TVijXi3FuNAviqRzkXSaB6EJ903ERXUPDiHMc/jLiWvCklCzaSnuwen1oxp5pdwqbwA
QOSuUllBfjU2RHkGtVP2b8XgZGigFsN4WjHxZZIGtCun3vvom3DbTnOci+HnLGCfPlDgYMOqOMjk
Z7WB1T3LweZ1WeQ9F+WdacqOBahdd6vKaMy6aEv9fM5Zb9aNcvYRLXt0kVD68xM6va69WFDimaT4
mnxnQDnWSObFNKIapFKK8NKoQFgALONI5PDqqPuuNt+izTkjicrlsXdgTVd5yTwupvQpIqy2Q2MR
8I19Fl5fjWdAbFoDDF4XMIT5sLaflCLzcBhWv/rVk/lRHyZA9MNp5fqA94xSJB3ZQDGwt9bht9ha
nOw230m4X9DqyNuYOC+JIG5ZGP4H3goBqluG5b0EJTvdmdbpphNyP/hl7bJlCE3XshPO0dTCf68I
VP/WXMQy6SFgrinEs+a6k5zJ5uQ706x4BMfhwLPK6ptnxZ0IXRRR7ZKuG17/Cwm31RtX7zocM3Ys
Xw3R5Nkt9twZaabRLZPfhn7vJqsCOHW8xyDijkJRk1QA8gly8Wgyf8s1j7wU6lMYJQX650Jwhgh2
/pZUHB/lTMb7vQe0saKpzcY3dGzo3tyqZhsOxKDMT8D7IqayxIKjIYsqOf3xJ/IWUC5tKkBKUcC3
Zc7RzmfIs0GUJxjbQn3aHHVNE1/JyQ6fEKVIphKb535mjH2rvag8TzDeafmAmWTk5T4rWo0IVrS1
j4K0QdSlUsDaajt44Ry+F6WLQqGSaAEOfQ24jjl0oOaz38StOQR5F3aHkUmJPEMVr9pT5vF2UiXr
hrPeqqsltVejY+ZzU0X4U76aWO9j31jTMRzxC9yiKlQiKbYRxr4MTIs+yJnYXI75sMTHLEZd9Qt8
CAUM7Y8ZTo6RorhFm906aQEVW7E4KYkuZr1EdDJiR0lpZBh47mRBn/4wiTFwcYwrIdB5jYO+8xwf
WSRftahuV2fBqtyjkOUpg81zeeFuqO1X4azX/SScRUGtQfJq5igVXGwrE8R7DVuPDTXiLANZO0z2
LuBAt0j8ijBCAVuPuPVK5lnSbd+zYMj7247mlPkNbNT6STmZKWnkXEZAnaMs+ab1xpge+Xuuf1sV
S8LHWmWd/gk+I7cvsVMZvIuxWoFp2h087b/lQMwTcVUF83CbckwypXYWj4jlfGnb9kkvnT29Tbkb
Oi3uDw8W8Q419LjtbSJC9a+AqSI1Hjt7ctkwxTYkoWzUOFz9C1CE9wXRSUANqLpMpwDP1fTK9S9m
EJyiiccZWODqyHsP80IDab1BD2QVk8nRDDF9nNO4tIbhpgJ/mp9NEyLmMEoNjChY40d/uxI89hsh
HMK6IU3emp+2cTCoV/qsLuyHbSHCCoGI3qZf3Vjbzp0SZUQa/VaGILFRiyOSv0aasAJu6mobzS2B
3Xld33pdrgk6muMGHhHCeCsbUkJFivqoPNIW7hmyDd2FjaVfvgUhKprbsiu0eVh0h2CvlXEXX08+
5yI3AdVeQ0C+KcEF9ruAGSnP9riqyLEDNHii/2VvWFLEIQQZ0CpiakAsuBM0RZ/NqJANQi3smbUx
+gW/79EDjzP/4nYi9jq0whOVYR4iYPJRBmTHEaqttx6zhWJVvcRVyeTpppqq1m9P7EEcOfyORNlx
R9YNokVzGykbZ8Dmz8P0NAsxOYySfAke4efMqMVlQyTrSplPqTuavwOPtkCMZyApRR8dlnVkSrZa
aLjz1LU3ePUHkF+FjeqhNLrZz9IE6ECVymKq2KL3kQOQTZ73PD0d1oEcxvkAubypCml02q1E6Jhj
Mc55XO4X4ergOcuyohp2bDgjV9+gD/PXx8Z1BEfFzGuLX9ygzJbTwF6FJJ+wzxmLQpYewLfr6Dh2
bvWzrye2wKXIxdPibvK7xBRDTly1+F8ca7NHRdpHbyHpDB8xGt1pp1AVv1ZTFB9XYW/DSTpW/WEP
vf9G0FD8TpBwMeOHkeAlDgM8EiZiIxnQe4xENiaWsoN437Lc/n/m0v+TWf9/58R/UF/tyzh8fY13
v9W/e/avf95np8yAmHokh/yfP/+a0v3f/uGK1xzN0/Q1mOcvPTXj/0/Mvv7k//Zf/mOffzWK3O/P
DhHN9bflZfdvznoMbv+zHf/yu9P/3YjPj/8TFC7CfwUkjOJMZV3ruj5WyX+CwoX4F5RM9plEF+LE
vKL3/gkKd5x/+TiqCQ8nBw+tRYzj7B8jvu3+K2Y1jwsN6PjV2x/9X4z4dvCfsK7/MmpZGAavJADv
3x18dQGuaJis5qbf8KYEbpFT8rH+/Gi9YjuWG/aVHUWJdVMu1nTnMrpq0qrd+vlmY8C/Jv6K4gdw
kqm+fe2VDjqxob+bTYyQ1Gs2WSSSsvRpZYeTErTr3RQra/fdnA/juzKNTXpE2bGFBws9I4vsHbPL
5dq0CZDfBnLuEL4JNSxnUVdB6vKou++rPjiR32HThVAj4FlSMbqvrAuiPrHjzf6pOosmy99QJK/e
WpHEgqybNT/5d7m9ON+CXUONp2NhkbYxw2bbB2rFktHztqLoT/q4Wu6wWrI5LNqlfbKk5Wh6PnZT
cV2TLiPnxrd2lUMMww4opr7YVTHcsPxH5FYiOU6jirojkIw6GPRHbyZaVp61UWAFu4VK7BELwPTS
uLr8idSl/6DLX26buNe35GiHzAu26W39T0j37Eqa+aifOP8sUMs3fUGLnsxWF+z5MJwedf5W3CG7
7v64deCQKBwM49Fjptpg9dHBgcGIhw2I1eoc2fI5hDlyxNKpDs0VxIXYuQr6U62B95aMv55btFG0
RblCDlbKCpmRQD0B2tsBYbytvP6wvFUljPrAZrbNaSFumWNM2OLnWb0wYYbaYmNs+einTd6R4God
i6wMPqijq0NcjBVnq64SWONW4jXNB6XC8h/Mndlu63qenV8lDxACnIebAOEkapYsWx5uCA/bnOeZ
T9+fThrpwkGlO5WrABsF1D7eli2R/P+Gtb5FJIJVYwiPygPNJRg0mIt0DYQ0UdpZoeyg36tdbcyS
p4EDNnPMXtIzTt/54bsyJckfROi73TSYpT+oz6ZhHeWYhCYEhBm64MW6FAm7zMiKyfIo9cHWJ7MT
nUhv+mfyPhCn55NFYEtoBqgR1DtcxgjpeTd/pngGjxb1xUUmQ6mDQCPuegrRg9m1W3oKc6+X2Xps
GPfcCQVKvxtOFta3tRS6StcUB0Z3wg9w18YTVHVa0I0RVekrCgLmSBSs3dKzKye+3PzKY7p7e2iJ
w6jjAvhUb8xuRcs0ImOqQ4wrAxpAIyqO+sCpRl4e2/ScRBlbtgQr5WBGcLY2Wrztk1n4TS3d+tE6
kNaDocJjBfXEfGQiFfyVbWVjvcbdAds+NkumxOs1hUfF1czSPt8gpEH+bwHt5f5KCTtOpo+FsvNN
xEl0wLwhnpmUCTdmFQp7XiW5RLnWeCRvZK+hpDTPa2ZQtMDAN8WgjGTFnSurfCJxrb+uRmnehKUW
P02uZJKeRZEMr7Zh9Vrn1i5kL3soiiIiVBeDXVGJ+pnHnzaAoh/6oLDmabeyaHFWVkkv1VTrbgb+
/ISHan4007jUGBrnOOIk3ITQv6RycpN+MuA1dtNxEWXSPHq0Rw+393Uxc4TXyWTVn1JhPARplVpR
IMkWl1iXofZmxLbl1dVTn6vypzRW+n0g6QV5p7o+hZkkeBoeMlcW2ZnTaq2lZ1pxFKBBRwsZSe2l
CY3Re+yqHnJR7Z1dx8T7+wAQpagDdhaiK39SWbePRkHcSiSaN6CHjc+mzfJgRZv3ru7I65tBV+Pg
M3W0YWO2X+V0+rPMoH9ubNGNrVIo67M5FOYLEsaXxjA8K+0B+x2acY2Oq9gatRtPs8CJz6v0MzPk
gV0ZyCvgLLbJw+7S94wBl9FEbKkLP7HRX8JiiW9YqabM7mSyeycCVVYXmTWTrJCsUy8zJunJ6Dvk
kqVCxT+p+3qM5JM89KpriEvjj1HanVPkPtdS7sYd0d/GBtl58gcIy3jBsFYfGZTKAeS05S3tkaEl
+ijXz0hyLExxRZx4qcJKTvSauZUIJVr7zjHxrToxcp7KrqcGVwwz7szpmzLe5glZDEnLeYs2o6nx
/K7v62wYz8CSexUlcDluU8kMPUbA6LHYV4vPRBe329GQer+LhMqLQzEJCKUUDq2YLxeg7bD/dAAC
oJij7oDCaH4W8zDZl2k0fOI8rv2SE+tEFl7kyU3HTT6NEbFv8DuflAbhK66SXT6qikuc3ClBYHdj
PC7ZZZq2Z0UeIEAnBjp5o5rW37KWxwOMAJ68pGbVXiM/LJGkzx4bDUE4A1bBsQbqZCip0ifiWWtb
kp+4ketRfY9pTl7kSe92Uc6FxgJPNJ/jLJsucRN3W0raHlHgIGx48op+22fiqdazaCMhe8GTxBRf
QeLYRXuJFeNmzPI+GGptCR7+IxRjcwts3ExeJaBB3ti0zY0BoPatDrE0cr8l8nOhZrIL0pFh9qM7
OSjrqB7Fplj/jGpnWMD2rerEwKZ3oZcKrjiF43s1K8IGQ4v8YeT9ill4SlS7lwv1jS8p2IwBKSeh
MtOWcyXiX84yoDqoUPIuWCpV9cOCRU+vak61InwX23zw0pXU5Wmu44vUC/mfvsIlwBLEYKKOt9BA
GEcQoTOpOodViuf5idAya8+yhp84HdbttKztRYolcWdOrbxVhDa/TfWsHHW1UndsNg2MHktDN66k
JKJZ/UJOAZEsm1qMVxKGaCGeRKyhX91InalM4NnQrwzkwTWjIF3RZGiaXSdmfE9Z4+6g5zAZAgfG
hBH/mzOrBY97ll4kC5Zy9Jjmtwqo0CaUdzAYm1OKLXQ/pCYDnyJkpTPnCu9Lp7cXI12a0Ta0Kjxr
ZR/v0q7tvyolIc5poIihz8n/lKpIt9unwmvUTSq6TTU8NUPWugREJ0+AMbJfZOspxgiITIsjt8Kw
G+Qtq36U98RFpG60XxmoVaRpLOTsJKMVIibBySPFqnCPitT4jsFEVnYrWsVni7bdM4QFElBYsXJG
skFKkSjs+j7TrzMWS2QEREpv1YjUtAZHUMAKHB3LgDpM8ipTF/fS0FjbnOoNZwyJCkTmjhssHIo3
Zoq5FVo5/urqRUCRLBYIws1C3NfFkhKfhMKfmWyh3GNUBxsEJ0R3RUt0zHMjDIycTTgbAeU4S1a3
7eOxgwQZGakDgH3KMDTnzOhDveb+1TTBBRnCrLyI0+V5CMtmRxC1eVBaaX6qcyqNmsMYITJORY2M
xLPSLfOVo63cLpw4V2aVPFtDcFiEEBT4fNNskHZEGSHnKNV22tStadwkbUrvhZVnftZXXNQYfbrd
JJtC4s35zMldamnuhrXaNxCJERHiNWbbknUfcR6Obr9m0W4eqNdsmURan2bf3KqYKGh9BuMjBtLw
vFZ9f+vomgNFL/tvdYYqw0Zv3tZLKnCL58rnqjW5b2oGsZ7m5K1Mee2MubMrNEqMHxkY303tuykQ
UdztYtgIzOgNZfZ7i5A8g/nkFknLdJzNRWsc3HJjAJYYPzi8FQ+HSE9+RyymPzna0GsmhOH7UhSW
W8mqeUQF0iDOIav1UHEangWhl5hlheol0VsE4UlK4K8dVzVSJUM2w1smAwMgdqzOHEpEZQMGmHFu
sxokZI1Ckqa23AzGBlEZzXg54slnziSi4hgprftmCLdxGk8ntkjVpR5HJBwaO59Zb6SjhY4PxZo6
z8Q7oWmhf9Dl02hEst9AJQT7RyQMhnUcbW41kdpp4YQNUAxoRDk8lFJlqWADjbLI61jFvgnZFPvK
sOgXvOqhO8v5GKzLkJDai5/T01m+svNWlOU+apmxFyweEbT9+YTad7Fcgh4jDBFptYcCnSNMk3na
5+OyODWD/ftay40fZ4TT4e/hPOmpUQUvziTpWlgTlGQQzU5J6lCAmte4iq0aoeNN0MtJZoR9Xhnj
fZ6b2ge2nspR1yT1LEtPj9gFLL+T1GQ7FHLqp6FZnRlO5NuqFPkOyZpUwWho3OnNMHlTgjiXJ6ww
/2gZKSdc5Syr0PeknjwM1sHMO3Fj4pTZ6e1qqQ58VjIc9ckRVm3+0gghQZQqk+YaikEVT+OFoYVx
ImrmAdxiqe9Fmab7LaSC2k2EItuJQMq/FCY/KEXkSgg0bq7nvk+nn9l8qCpR4V0VKBNOnqrWH2NI
uk0/DPp9Rsd4ULKZwFVEd9/kymVPIaKsM64YPm9RzQ96iwgWlUtOBCdHvl+EUvSSC1H/Z4yq6Mo5
gFZwWrvjPJbdF1YHdcddof3mMyQTk9r92khm852jb8JGAlHDFY0HYFkXVeNudQIKgYgNLyZstjOP
1WXHUJy3OJ+08gRBGuNLJKzqXoDqe0Y+QXczCdx/aLFKp1utyB+ozlA0PYJyWBjp36OWlO+aErWY
bHXNGzukKkthCsdF6sdTCuP/DiyFxTlmQMmWVHxugy6LtGADN6AIoIDJ+qNUoFe9NGbFNy/bWd43
FmFtvSEIiBM1k/BcUu9fBA7QzANNMgWEVMY/psYFbvOhJTaqPYtZVY2yVhGq3s+rvnhhA0tctRVa
L2ElG8gG0n5hxou0GebBojsd6j7avl4bfmlb596GtTCc1Swpf/haEvlylIE2GolwHxoSDiMpqsSD
vGqPjhGDJbJ+1PpSp2NJSagAzbno70pBbxUNQtoSchKj9dOWeR9Xa8ZDpiYXq24VwoGFJpqekK8w
JGtFofas0mC0EM2IphUSsk/ou6WjnNFbV6Jg/C7qoB8RMMw7dOrmvm+EbFfHa+HSDU2XHJXBZxOZ
eOOQlEa12e5lPVU9TMoNz00djAb5yoqrrV21q2p1PPdJ0QSDrDefsjYYPtZM4CR0YFiqS8tb10r7
4LUVIgzBSSA3kENya6PmSIKjcUSaRx3HDNDvmGecWdb3BP+R/3mGDcLGtoVdQsK29AK2vt3MLKKh
wgzdjUhC8YCQd0ZeXqWNA/fYOk5yW+5kA70xkXZyTukP0AbAE1dLnm41Gltba2fuI4SLHxjyUTiv
3Roh7ByV59DqOgLqiuwGNQUTgGZhYtGk0V/ZQt0VrPW/8G+4/yIjPi0kKzmgm7hFTa34mEjvARaF
XcgWurrY61KRuiZjcAc7Vn5gm5WCOHhcW9ZqESIzFitQHWL9ZnE1R2eoF8bSeIiyvcyPslFncfCt
xFLutP4EUCaREMzi/My+Yb2ZZaNCqBk6vxzL5lhmqCd0bRpwNaZsiB/d0na0CAyOIuyzlCGjE6F0
OqHZHki4bRcMK2n7bmgQIDwV1dB7zATWTsCsvMl5h5Or7LXens0Z4kJjlG9DF96I7qUOaqTlSAYe
e7Kkkzm9UWkH3GxY58io7TJH75eYxaIkrF+Gkb10YlZ5gjJLsd/rg3CF0CIcq6qrX0dF6v6kQqn+
xNnjh27GDnNVJYa+WE6Lt+BVc0SMCoy1IU4u9bLaRWntZqmLEXwWWEDSv35vXMn1/rGLCmae6QG2
KeGoIQkgxIxhEAcxWs9FrvQPtjAhQgMsgISZkD88tsBw2Wn6EVHt8LL1fJOmw3DsGI+dRmbXs6tM
ImbMkL6YwUSjdoyUJnbaptjUl45lJwKlwux4YuvSbtQUIjyxRBe3Xsmi9zir+t3c9KPLHVE+5VB5
fwxsHOwvUa4ecMmwKmxrEg6MJFPINh9zk3/fyJQF4Wic2QXKm6ygweQobTyxll6jhyQwVMv8y5Sn
ALNPyJtQYdT052UMcU7HonKoF54HgVhS96dAmyZnfjzmfCpUc9sPBmpjeVaanyEuesPFRDqxHVAn
4hoZMqTBOneRK0hSlCCuagXMwKFoBQUNISInYX5KGlTXCBwUPupQwI6SQs602yydsYNXuCQI9mxj
JHMSxCQmJJy0bdS+GbwvEuOsIXfFcIgVJoBKodtmnQCXU8pZL3YQGKTfOsny10kMDadCdWR6SZQJ
vd1Ca/qjGyxpbdrV5jjNuXlRhi6R3ExIBkLRwba/MRpEVqWb0FCXVJ74LTKdtDHGt/yAc6ycUqnp
8Ic2CaJnCI7bhVQ1Nmk8X6lfmnC84MjiQmhH6VmhofW7ctRfopDlpMQKaK9JWbEDehUTihxTuNac
Kae6wRtlJapAvsqaaKNfol6XbbWqpld4YwjREdQvOaJqI9mUTahxaE1K+pzPZYimjonb6A16h38a
sPZBjqQcQAr2ETKQs+majSx7B33qfthOMshKzRVtM0LSX4SGukeAu/4MmkN08JsO51GzOOjHMDYD
0GzSQWcCxYa7H4fniR3PRh7b+FRMVg7PRk94azIrdqylWK+1pI7XOW5GPumqKR20VaWfjh2YkWac
+2sfrTocefSKKM2IoSHlsp03LNhEtxKgpezY5hL00DO77ASNC6JgD07lZ3IC4+SocG6GXBuRZKy3
uO561AbJg1deCsJv11bWWewH8VcM+cJcFvufImP+HCrCghNw4E7nx2EyI9bmCcOhsoUGUKHT7FgM
L5G2fphzXF8KFLw2nEDhZ2K+63XiELOXVuqZh/6UPyHx1N/XRMD8Q6rtO/77mKVeRloFBJqjwmf0
3jC6XGwe8JINeau3HGlazH1U10wPSX6/AIN7WEGHQtmteTzcUwDrGz4Dwo1iLAAiXlIEWjCR0BbA
cbULsuY6G57t4yistUCJof9wSCxfNH2MY+I6Ly742rLvXClVHgYoLj5WxaC5DUF92euYqL46gIZY
pmx+0UFiPwKppnOkkacYqUxlMiX5xcDkr3r/PBxMgQAri7ZK3yijtCPwOxCL9EPuk+THCnGtAOQz
j6keRswFiLi0s6EpSAMNDQQWNLgPI2f62uHUg5pE04X1b0CmyIWSafeGWD9mPH1dvnTyOO8IOsW2
OgtNAbarUB9Sg67ZgkfnrZDaWX9vUVnwDAhzosumKMUkDDHwQJmG9I+15WSXZqe4pBBO2xlD4GGQ
zHhLBydnLMHlYeGzbTD+pXwHhCUYjjVDwTcqiGCDbCbSObAJwsb2QpRT5YHa6P1alfO3NNaSj9aI
1psRldFtIFYcDRrojaXRBZxrkOCWQYSWl8qkCIvWDPEnkxPkRgs4pCGe45wJojE8I78wwGLlxZ7g
MgZEQyuRLZKty0422x67vonZX+t7GAEyMyjLkAEaFHAKwlq4INgvAyvJrJ9UyuuTkiAAo5wjKyRS
CXFsJQAw4TjsGBxUpwpJ610ygcI/UlStQOt0jDLlmN/rRC5fYvTG57leORFx3Vu+jgCMSfsgSJ8m
4vJAVazQH3Etvy0abUovpx3ej78MfCWBLrYU6zIqw/Smcyq4mqF2t4JQ7hMtAZrGaEAjL6uAF6ZC
oxFKMy+GW3SEClF85pqYeMQuypwSbar6LHSK3ag31ZWKGG9DnEUH3UzoYDujwjmEv/ipFrEzOITo
VJBw0MgD9qphITW6TOQy+ZSxu+KDmVzT6spP6gU87v0k8ODLpdF8zkWcRYGp18xPW0FADpxWUoCl
TRdZc2hJ4yi91d0Xw5gO7BdZVgidmrOM0RClvXUlSR9uO6kVcTk04ekmlnjgbmuer1R6tYLovJhF
DnGdqE2/l2IMFW2qSJ+Yaof7zGjAVWZD2cdDWX0jcRx8GfE8SvWhaKjO0W+jEFVHygtDMbFULnFq
mH5vkgeLbaPt6XK7YnLQoFMGxSikBhcdenaz+jZCoS71Ib9nVQKBSToh/NRmXeSt6VeRRq1RJ8tN
kYJTxbQ8e9E4R6dKoVcESCLzFY9c4n47th0Z2YJWZ8+V2oaSowqW9d2HyyjytNHhXrQj+ZEBijAA
GUrJA+yBRMSXaeGLLpxZf2zOwkUxX8cUA6mXd005B+xRw01FZGq0x2ETam9WH/NQrleT7X8qQgvq
HkMAdCzCWgGOwYVCWGmCfyqGfgZPw5O4/ASvTM3iT9bGcfrEzqM6921B5qSKdwD/shiVLIHydP4j
zlWbu4PVd7WXZ+3UUlWgNGEv2/JTx5VkfM+iMOE0mxm1u31iForTVEjLMxLOcrygk/EkCIMIvoWq
1usNqWqQjhgqMnkzaqVNxZKBzRoIUQextxrw9rK6FFmklVZXR9sZSCU6KX2QDyvR8N9Tv3SqW06j
vAUi1+7aZimu9EzM0HXUXQ5levVaGma67tlu1E9tnac/Kw6YDT7Z9mKumC/saA2oEdrZXlq6Q2JZ
oDlO4Ep8ZhIcZybbPEAPyzyclFrN31RxTfugM5WpcIGjsffBLQlruDOLGikse7TVFwrURDa2PzrI
TB8ZogNIs1lmMlND9ZIeJkXvRjtEdLsv4zJ9oq9v4HS1+rZsAW75aihj4lJU5ZNBheIOxGx6CmFC
pwiTwt4Qsbiiy0ED2OoMwptZGHdqnVm/5QCWvI/m5NjXD8CZYcrpBnCL8RoxnuCJkJn57yAWxTuQ
bAP8Wzrwt7k6K96QWUQa9XIjH8XKpH8mBY0Y00oZM4Z9OQclowp5j+hReWJVbNwe+6/LxLgTZ2re
Q34iqv3VLBL1NOvmyo0XlVfGb+luqmp5E8bysEvyWA40U6jZv0nzy8I4Fl/A0u7kzGBra5Sir+pM
PeYoo+pSzIy+JpLzR8TR4lrdqsw2xY1heo22WDfgUBk73IaBTEnsq1VT3SNfrmnzFWgKpHJaQqbg
4S6nO+2u2SMLbNKt3neyIzRa/2LqwANAlzb9lhmRRHpFN+kOtrsH1Fi2ph3uPxhtuZgPPpuuyUPB
uDAlVfSXcCUp1s3EvjjlWFlehkJl3MMPxCJBmNMRHXQOQCWRQtntsbSggZ3Uo1xDZiuRb3NJmKy7
4n5WFteYYSOhtQfoFE6Ui1LUmTupiSNuMHISQf4Uc1mfB8I/NE+WAF+yLs9HwftLOvIvqWieq4I/
fxfG/KMu5n9s/lSnz+JP9/cv+v9RPaOBaf4/q2eOn9+f1X+7/U/g3n/+I8vi8W/+XUKD5kUHMy1a
uiIpqvGAFf+7hIb/QqaOoaOhEcGMK/yb/5DQIG0R2WGKCunxsir/bwkN6hpJRPIiSsTxoMqx5H9J
QvOgMv9dQGM8aAf8/T8QjqNsNmlkmnFvjKoXWqesUl5YFE3RY/R4CblEpvB1YMe778tDZinv//Ae
Xf7XC/xjwMRfCPF/9rp/o0QjvOt61hEjkhF/BXMs3cSpOpXRi0T7AvXNOWt9+xnmtatHOsXFHBjV
DgrsoD41fZDzBYB8HH3986hjBxJFrQXrqn6eIClPqhmwqNuY2TtHJ4XQ/oERXeav//xnl//KVPxn
Pzyfyj++aYY1jEUaxeM+S7az+CfVvvLkg4pOpdNLmV9Ci6u/S+nXmE/jt8Q+KHLX6SKmi23NJ2u5
TFbrGPlJeE+++H+PWUa1ogU+SPLh2Au7prgxOsms0W4LX4Yw8FAoOWUHTG5XfTS/GVufFB/rltFL
UB7Lj46W3FZ9CDN+u4Hq52kuzy1v8GZ3dTGVH5jt2JEHQ9JNHMFJ3cwrz4L9ZdiF3XlhZseH9CAv
KKO9KnwlKtAxZOqeZ3k6zXGQNttQetfrU56/MDFEsmsoL1mzQs/wpvzVmklnR3FoltjYcHMOkArO
CHTMiGrRXfLdBwPNaseYWEtQhtjNE6oLtM86466KP77WwRcITz0bAsiS6EEa5ZotZ7gXVegYepC3
z7zgWNp9i6+o0x2oSynCa9xEqFr7e1PusiVQtECqAz0OJDWYx0sznM2I595GHLfK+KNXiysL9kCH
C8bzQfLEubc8xVOIndapGAcF+BPrr9gdXsBKaBkN4xGWNjgUuyC103K1J2xkAMlqD+FufxfU4+PQ
7RdXbc/WY7HsS7sqZnmMzYcZU/I+6botT/b4qX6L34NiQzcskSnrMEa6lAMOBCVbVUTCT7MBoxg6
FIS3bxaf5pca5+/lpuON7fStQGl2S95mufcbS3qddDRN0akLN0v3zK7JYbMAIrFxQ6A2GR+7cEwG
WAV7XDb45z4JusfI2m5yzeV9ir3ZgIkAoNNWDDdmhWbsYSwp95X/sTwKpoJyfZss94E6RclOur7r
rTulcuPLPm31VvHyXf5iBfJO8y1f80WPkheQl7rJvsrkvwD0P9SD//Sx9DdC/sz0NO5Na9gLt/wS
7pqdFMRn5aQdlV15mk/lrjxKl+K/iFOTHrz/f3Y//y2vgqKfoIyMVysPw705tZf5Vn3AHdhoXnpq
T8X7ciu99mieqv/HVzQe0RP/8NgFIA2bAbfsXjqLO/Ly7uu22cTn7KgfzLO2y0/iQQ/kV/OkPP/n
Dy0G+4/v/U9+S+NvaQcjRF9plpAiKWfUAxjhscRS1Umv1inZzVt9lz/PbCZHu7gvO2nbBLq3+lnA
LbBr/WHH3/k0R9tuVx6sbxB/h/bSn2sfIcklAaqQg0ILmKXgkGKCIkBrgdbnNrCSJl/GsiWz+WJI
7CQiHmLnQdUoPPpGNiZVbstHi4X5F+XfdE1mlxEa4LlmcdlJpp7k4QY3WOw4h1PlX8FyzLhUFvDx
jvZWH+QNUvZmPvQjO0HaeL/uNxq4YlQkJ2vah90BXTJDK9ZGy+9SIkOyuzsm8eV3Lpx1YIRq6786
nKzYZpZxFY90ZOxezc/mqTlZ++dug52JNho/L7Pk7Ei9DsEFScdbi0f0ApWTzZpgJxo2q1205QXO
6CUoIT2WEqZbaxuotZCZmJEUuWugSYl8U940xW5o/lg8fav613rLuu+8fu+Vu1z+RuK2NQIzDeZv
+TjthXfUWBoAEthumwL4RxQMQMz/iF/whrfJbwe9Onfb7+hrfYekO6aMZezia76IV6SAPLT2c/Yx
Dk5UuC2Now7vjiYASo8d5oEIJj0E+eZxQXS/BiC57+SE/zaIgubO2t9SH+eI4vAhWUG3X/ZwBKZX
/Ul8Eq/5Nn5W3gYvszFQcEvmxyoYHEY59979YZrv6j5u/rN14d2XJh6PvoVijgxMrhXZrXn2MqLb
Km7uZ5sy0I6tt9qqs/ry9SFCckwPAr+XnRB6i059gAbiMyr8jS/7yGWm6yQuH5RNQ2injrHN3xoP
9/2dSeVDSOGyG1O96cihtzW80Gf7uuNXrLcoWXEBcvG7nNwQ7V6Xs3SKPrps01vXCHbickd1aEfP
ZQzDN69skRVk+SX+sfbNU/3evnMRNPzJPDXdtKvbdgG2W9Xj8tS8trA1J/oVfeJEkpd8rwPoMcct
nor+mWQHJz5j/rWrF5BG/FO+gV46rGSkJ3G5mYzCr+LFnDhKnzTTV57ErXBtP9OTdm3epOtyxhnn
8YT2lIPsNQ7DUbe3U3e1n3UHntST8Gb42uHxZgpO7IS7j35r8dX0uE7pln7sZ0dCI+x3QFD+8Kz7
/Sb2lqDx32fne/aQZB6yn5Qlx3v/mVzyU3gb3sbWmfmV0KBcsh2u18d3wzW/W3ecWS4+uc5WPxEt
9AmyaqwHLgPrDuHWF7TD0sV8rNuqvidThZ4XFaDC7clmnvICk8YT193MGYwzTKWasy3b8kt/3HO3
qT+sS6s38cEe3Jss16kUHQmsHU2x7ne3+qjjj1s22IoLV9hUB+7EdVPgzPbqGHLjAVL/Kbomwr36
gCt7GHGYgyct3Ol3IhbD2i5c+DIU8k2n+ESaJoo/Wz6uDK1zsg+8tQEyKT+lWtK30qv0qgSq129V
zTY3ebdFr3tat8OpOeFDugv79TJdx29Zs7HNdTEKMJc7sltYjvkya0kMod/0kcwSdBtTNebfMt40
kIvzbSI6zIQTthIIC7L9wG5qcLv5qilB2+3X/iITCMB4H+kT0hkjd+UVuuGJ/n3dzJI3zbv6tbxl
+2jfH7qMXexdlt5r48vKPnTh1XiL1uy9E42AJWWYQOOEj949R8svjMsy9dKX/Iom57ljo4QR3Osh
85tYph9PyilIjzNqlS8rtunAvYXJBLTB3I5/hLfxGR7h65jXhVM1zQfprgeDsWQtY2yUH6w5Pnim
Wn+KP+a78SRfxMtyLlDiD9R7TDW++8/ovX8ar9Fbw7Z56jeiPrKWaoB6wUihJpS9oWmCvHfC5CPK
NxpqQ0YGsGn72MHUqrbbOAMh4iaUUO0Ttjunv5l/+h+8tlTNSetk42E49Wf1Xb9R5AzLmyroW1D+
GB/lrYQS7CG2muGKfSbJeRw30bi1ZCIqfPWp+gF5NpaBzornZt7F8SvrfhZpK7wV9/5NvSI+E0YU
yMz2KW7xE1pfWNEVw8YBMD3CDQqnjmG039fBD0s/IS204T2k+sQEaozzoaYUjvToaHU/qGu0DEiF
W0+4ZzFBbuMXeGFehYSof0WDemTGvi6MfByBh6zmNCSQWU+F5JfhXukvjeTXuOaEDZ1Ru6d6ZrGp
H9DSnZtb6KN6iu9g94cW7Z1TDE75UNq4Y4H4jVKPtQI6CMaBbgTnctwzpwApOqnePL6sBVcYM/F3
Tjd+tfCgutY1/I5+0JCTAxOTQHNZinfmeXY8+PniCMt2VH2wPaB8qDKnaCMyNpFshQeEYhd/2ETF
3UaTnlbrqvV75NU85/hM01/YXdlFPvSomW25DuL2U1H2eXgo1C9LtYmC1TWUnzt6O6l9QR7LMA+E
4RRkvZPPdoEBkt1j5WoSqqL9nH9JeJ91meMZhnWpO3F2L5iW6zMpE88cmwYFTO8L5+XOs/Fq9Iza
PE3YK8NJG07ZFTngU/apnes3pfrIwd3Z1Wtyq84KQ5rIlvo768Bq27nzk/Rx4Znk9U79krhV49XY
rTSY1TH+TBAmyOk4nSIH4yeeK7gu5tQ7lQK3ZyLF4BWz2D6SJFg6oyNuF069DXrkC9PofAmWr6i6
yjcNSzXUE4AQoPaehxsJDTqRLq/SUXxuLjKH2eqw5KfrmAHtLvZ8nb6VhceEzUXXJN6Yb5EfkNLr
c0Fm35WnHVJMuq/Gs+l3lxwhDpnSbkib0NvZrf8wQ+xbviBvrHpvqM9tvU9Uh7QLo/AGN+uCNCjc
5ktlxPeC7cTcD7fymv8RYPEducLZzj6Y7wQ3fCW/6QEICesRgPgv8QFZ/QkkgYA6V3OkKEDtv/40
rxY1GfqO+lHYyDLUfKiR5JPYmDNbX3ziYzZhqojOf08WE05SmI37JEwnG+6eLQ5KoJvpVXgDafyC
Up4TIAOj61oD7LVT2h0RWdrhrqVd6rq7PLvkUdT+JIx4EkvvAaEQH5JFwVaFd6n5HPLcm4biiKLS
o522pDe4cd5c/f5Vfv9LY7H/O3PZ6RPT779Rd2bJcSNbtp3KnQDS0Dng+KwIRMeelEiJ+QOjKAl9
32P0b4G6r4oB8kZY1l9ZpilTJhMdcHh7zj5r/87/DwTGJK5Y/zkutq1+Za/Bv5CHNMGvKvvXS/bz
X/+VNS/VaxO+/uuK3x4Vnc0/7E/AzLb/wlXCVAXGr3gF6ZI74J+AmeFQjOZQnmtbhqnb9mxl9u+A
GdKE2eIVmDt/T2DYSFjs/xedKabzF3nvt1iZJm3xT+Jlx85jkpgcTtj8JIFCUhrUvR3f36IQeVcO
iIjK5KD+Ght2fNtMmvXSqbixJkZXrSbU6X9iqgRE/V/5J8Ey8zhIR6vaHPAzEQ7QvHT0+bb87taI
0tdLBpOARRK3oFhugOkm9o/KAR7xYHL+6qr7Wic+Fm1StNq+k4Bh+VpmX8wQo53+uaUiBmTOIa1+
VEgtOw23nW6ve4fEHg5p0B2s9j7jqt95EeJySPMEhZyvSAA3GfsKyaiVEwOHrAey8tmuY6fGt2IT
FTvdc9aNXa3ejZNPXndxHf/4uvNHePe6BsQE7N94XfuLvA5vYJ4TryKgtYUhdVtsjPvkCe0wt7KV
czjd9HEg4GPLi6tyP5Ch9AZa9iwMFoyhv/Wq774Wbcos/N0O4mDWfxaG//htF5GOj00uIgLgwwZk
3jRZHOrNttxsMflYoV7bip23zw8QzLZfTr/khzF8PJqWLp0jGhWEnLQYHMINGMe1SZT3f9GEZjKL
mY9wQhcDVmu7SWvg4qwH+xXeBlrUO5/YQ54/pdHz6ab0Oej6P2GNf3fgu7YWoyURlV12EW35N7g5
FD/lrnwEY3GZ7/rv2Y3/y7/QbyndNC+z+4DitJXxlfNt/+30U2hzYGrxFI6qCWkAZcSa2lw8hZnU
LaIeENa1AurFlU/EMyfu5OMGDgQXyhChq39mosy9eKrNxWhNtYpqcT2mTSPe4A20yxrk+T4ELiKb
0/bMG35szXZMshjC0ln5HIMF+/2srKVCQWlCpAaOkUlYJxnufQfVVTxi957lhsFxG4kPjKn02nSK
2jV0IV/GsmqhsxglhQ11e4sURL9VQhn/GmPL/GejjuXRRkvA+iz5Bjo6seMn1ISisf6FbO0i4Pyj
qxasS7AgCIqitfQITUEKFmeWjDlR8u4jUBktLVOjWVvnH9yPjxtVNdSHmp5a6zYAJ5CSgd4Smwv3
p3t/XgXetWKY+H7jfKybDluQoFzuuJVkhKoVynrk7DNqFHjkVksIwMrE10pVC9jso31ZwckhxlZZ
QPXBcnkPpx9BW+xCOFXiWUpayrL5P2b2YqXSCqcz9MjR9rosODtrOJvlVV/szZDQnmVCD5v84u/A
4qgelk51GQVhsY1DbVw7SuNd4KETnwkTL1YyQQ6fvBmJNfqFL7/s+4kC6Myv/WJLMpXSqnAqL6Oi
LA9mJX8h5esxqJTRmc1YW6w3c6Psw9Zbebt0pLPohhzhY6NkAY2OQ/qlADu7DVsnfrT1KN4HhkEo
SA+gJZiIrixXRCP5ZnSTFdW6U1eYqxbLwTP9oB37lUqeSTKZdNKLqE9tzVisPp2OXrUvId2Rjxfr
MB1jlOYdh+q4QlfryZ9xn1w4eZhzCscQoXFK6/7M6PjQLYJlQZWS2jODBOVMCni/POCdWWpKVQ5b
iyESrM0+0xgVSUfoIbDz4CGzEGduJ0T44IyKyfviBVX5Yqtpbm0dEEGskkPp/TjzVPPsezdvBLuP
LRgkpm3M/1iLjjF9rOm6Uu+2Smj0A3o5Z3qIsiTcZ6Kmqlw0YUnFRAc/F1uw4bVJKVV1E9sYZxpy
Fd1JanqJQeg2BZZwTaZHYD1+6J55ysXSOm+TmNpJ3TL5kFITi1OlozmN3duZtWcN8K6GBPy91sdE
yVKw+Uo3alguUuUs7ZndQlXqoRyBzNcAirHu07naeaZcA+e5Y8bFu8Fv2jPG3su5//aENoVTqs7J
WpdiXhveHclixMV2CwRin3mkMDCtk3LVIP/aahUlW8DWio1XkYLNNc8AHVZ1kH4rgoa+RO9oepLq
h7E/syMtVt63Z2LoO6y/jtCcpbM9cpsGWKJq7RvwMmsnmTOEA1fK0x9nOYL4Njbe9izujm3bmMce
vzmY1hZ3A3iQzuT/UqupcXujsjephJx/uqVPOlmzTdPmaEvhsqQI7LgprS7JIIrY26Mheh2dMNo1
qRa4gCmJASWZ+ZWiDW6sBmkIq6HuMY5AnIMlhz44xDhb9MjzTj/SwgiZim3slW1dR4qAGbLUrMXu
BhoTEl8gZl/cJvo512veU8VLrQTKOwqc8x2LfH6ZBA0hXMoZH7WxbwnvoNwfethFhae0l7XVcSW3
sa/b4HpIMnKqU9AxUfRQsh1vtG6qDqcf++M346kxceayx72J2vjjjkzYvqRehzCDO3u6CkMHokZb
qntqp8czw2Ne1t4vMHSQZGxolsH6N1vRHzcFt90BgyhA8Bdm+1VWkU/YPdfF97HwyPxWtp3udOhq
ewA6RbatoILL9em3XUBQ3j4Sl+JZYyIdW7LYHT8DhjHgonLd22d1X37Ley++NwdR3xMSN7CRJUFM
bFSMLThK0Sk/AWaSfylMWJKTVGGONGjRHu2s6gkH5hF4QsPGDqHrlbrcRSXsPjj6iRNvu6Yzrtqu
il7Q1ot8DxhALXa5DY4f3ZZIv5x+rw+72ty3uKVLTVqSq/3y2tsEWYmxFu/lNbj8pi0lRF7vYQPX
lu1GpEm2TQuMYgBQWpummhLX1+12d/ohPhlKXLilyemHsx2aweO+terInmTNBHAGGzvrIpl2Hqrd
y1TH7Pl0U/P0XgwlTncSWc+80KL8OW4KrDiAuElVKCP2hIvfd+ASaqg3EW4u7mAit8S8mxLF3C7O
tPzJIHbo6jmAYhpEGxZrXCKpvImA6+9rtapcwK6pmxepvjbKSdtAnSG1mWbqJi2b4pYC1vzMwvdJ
H8/HN6BAuq6aqrUYvyGCylhi+HYocl/ALh3Vu4zBhwQYq8nTfbw8MTKkjppafE6IWqkqY98/zOzS
PUZl4oBBbrIFAZu78KtbN9dwJz7d6KfvZzgWRBdN2MJcHN5To2P/aGP/0MDD2jQ1GRqWgRvV7osz
LX36ejCZJAdBh3vQfEh7t013ga43YJB4Pa4lrjA9UGd2+Gzj8Xxh4FfyRajT36df7uPZhcVPo1u5
BBGhshbnPjRJsvdKXg63c2S3tgIOAVFMFsVchDiJnnnDTxaFuT1moqXaGnypxRecJOSHIAr9AwSy
C2rRnoYpbl9azBzIVnecIvUq/Bp7WbYdqfrbhuxgZx7hYyfr3Dok1w6TWCOPcNzJeGrCXijpZAMD
xIMioTwkVEbcUH3HMTIk26MOIFJOd/MywMBOzOQQGkFPPi0r4uKM2A91AXWEVv0BeDcFg+nWs7oZ
Kq7rWP9MFSxzqsf79KCpCojYMqeU+SB1T7tIxhm+fPp5FgK+edMhAovzDId+lUXDWBxWWK8HqH2O
sy+llbu9WaekcDiLApGo1ybLyRrytHABuAu4ctGIBomLmoUwfufZagleLvHuYeeqa0TEeCEUdXtR
glX8ntoRRnCZWm/SwbDmyH9xl5iyPdhZPCf/QN8jKm4Ozeind9rgGfhfG8mFauDeC3y6vBjA48D/
a+wzp4qP3521URcMO+4UDvP4+Lv3ZphXk05Z3NAGbqXfTHDHG/E9K2+gjp9ZEj9paz65cLjlUmDZ
zmIvGCKq8NIq8w9haAfXZet8tzUfnkRh9UiUk6+wKIPN6S/6ycwypGmJGQNicXBahk/CRG8mv3EY
YZH3s9AMf281JNXnRet2Utt639ogeTGeoEa8MewrLx+9M138cTHhEdgFuLVpQudEddzFeVhGzaQr
/iGmhhCpnPOCaYzvUiBFjU0fR2d2g48Ls8GmQyhL5bTO0X4xkzO8htBu+wE6jbG90KjyuJ4GODbJ
ODa3p3v34xY7pw4sXeXNKJVTF1vs2FDQ1geQfgZpXfi5hyrbTm3XxMR9V9ObHOY974ul9rDWTTCu
p1v/ZPWYY1QsW5Ygwkas4LhjLU6PSjcpIVssNbwYAMtD6RvBJneMas14n/b1mCpwXxJtI6HU3Wa5
8g2kEeyb00/ycWCbRJA0uK0InomUzn/+boeSYP/TIXDCQ0bBq5WUg6thHvaMv6NxXQUG1ipg78+0
OU/M44PV3KbJRdHRbWITiy2KMp6+prIrPFgwjDYe1Ltrzq/9mbH7cTCZmtDQeatAOiWL9fGbtY5s
layU4QF7NIEPSImBfDUZqEHU5kyg85PBNPcgwRYijrh2LFYipzJ6s7epa09wnkYmLKiesuLL3IM9
oXGnWkM6Tq6iAo1Xjl3M9elP+HGS8qIcFHXuhQQ/3wLy7z5hoeVt7MkiOmQ1VE5AgPmWAleQfrlx
mDq7PjNz3o75y8/H0ZQQCcsvAcjF2DWbpm/HIY8OkWoEbk9B8IZxo7gVRfCAaQBjYGRdRVt2Kvy3
JLjsoGmoZwFJt23U1ltFbRj+UNsK4TGWX/uxEUDuygnoIF4Ih1zx7NUUlOBM1cjfKV42XHuTIqHo
CvEiuuaeMpvm8XQffrLY0omssSQs5wjVMl9AaUpQt1kdHch/onCRFrbdOhKxwMvA/djVJeAr9QIE
LDagA384hKN6Zgt/C5AsO9ZSObWRzVQFReiLEavGGNLLMKY+nBLSgTC3W1AkTj6/1p6EsKJbpQSE
Q2AuN/fCVporPRPyu6ahwFI7Gez1vHym9AeL9wBX1dpCsIX5HVV8iuFcKSbAc5tz9gXFiLCdqGy7
9zqpr1pFoVbL7Ppf0fA81CH4WdsXuODABTndy58tNhZ1jSBKiQF+OA5TkhpGQTBEh14zo21TgOGf
yjHYKIDdXb32qKwqsvHldKOfrQNScDAiXWICQp3//N30MLUImRDRkgMVZqCG8wEQ5tQbrlMBzz7d
1CczkXi8YM0h7ms7b7nFd02Fft3CIqkYRApFmCG1sJetrybUDgzDDqx3cqa9TxZSnX2ZUQsNlrm/
WOKcvDLJvDBotRoZu2GipwpEWZ0Zl/N8XgxLmmCj0lhjJMvMcQcqk100ij9FB6+3uj3xkgDRMiL8
OuEG3qiZc6Pofe4ygbwzh+xP34+Ivs2QmWtr5v5+15+NH3VFpEtsfTTZXmuakj/1WNPd/fOvRnaK
szzjkgVtcbYb/TYg3KGwng0OnDBf9a5xKVb2ig13nPLU4sz299kogUBFZBkVBLf8xZYrNCut+pb+
7CAjCVnnGGPAVyFVRvE2vKXTb/fZ1+OkQQqUcxX5sMVqHUMThm5Cazb2OpdB38bAZbJpP8Qw8oCI
WOXwHXP5fHO62U9fkrwYsxyFhrqsZ3LIAFUejLFDUOgBQA8b1x8taVe+NyrXdqiK+/9FexaLIM1p
xKiWQ6XMTAdsWnwQBdXhOqilKy/i0/UOwc0u750zU++TLR/nKmJDJNWZFcv9wsggflKkGB+IfCrr
XmsRidecHRvgWwdFNXMKobScqKsT7HtVCc6cOD5Z1DiUq1zz5iCwtjyYRx702ZEa40PBu7HniuFm
wHd8aK1mf7pjP2+JoWPahMDIbB3PwYBcthOXQXLQughTUDyD9xWeEisCqfGZ6f7ZJqyTzTQ5kHPn
IYF23NYYdWBliEQfcGMLoDNMgAzg3mzLidqn0GoLLtuZvO7zCQqBMOvvoqvPXrvmRpbLHScAh6Mj
4Vvz7SHfLTqFgW83WLXowLWdehqrZnM1FG9jpM60DexOwy481Sh4xcUGl/Yc/K8RMAy8Yg/Ittud
7n5jFkotnsdSCejoeJyYRKuW0WRTMTRNx55nH0YlQsXGDvLfaWNqt3Zuw9ZG6IQJTINx88+kSrxy
Z5lefzWUvXium2Ig8mxpAAeG6roZKuA9Wjvo3yLFxo2i74ynEWi0ugJwnNxNcuYgq3EwggLuUOJS
t9c12QPxjPYWM5JWbkl5pr+8EHTpRi8G8Tz4BgbMFc7u3B7hGxTTg46T5k3WJNSzcbB4gEhR3CkG
Dj6rjGptNKZCHZNVieGd4ZYesaNV6PcUvxpT1ridlSF2MgMfJGWvANDZViRskSrXSb2j0r3g8CNi
GPtxVEsaFU3ymhuTfEphIWkQBdr+h4QHfi3VJPgGctVCAZwGpKGt3vBANdgk64MWdh385tK6Uiut
uB5go0auEQ04n9WshlVFSAf8HzkcihX9dnYnAToI7dV5KUccJlI8C2xXEyny47BulC8Nj42kOfZT
zZ3CVHtOcY/80g54NoDZtWIYL2oTfgHJUig7Mm+Unk0tkmkc68RVL4tffRg9+cBtBHDGTPteNiEg
AH0kC3tDyL3/UeLUtYlVz6J+gwMNVkeRbcBCLOB0pUOIxr0P/PZSEtzJEBhzBsNM3bTrjVGF4zeI
b/EPO9A7vJDZaZ7N3O59F1DL+OxojWVfkAKncKXtQvummMbgRcSh5xzgfaG2BhkK3SjtkNo3eU1t
QNpjI1WVYeXtMPORr2GeDny+JEfyo8AHuXYGq/rixb0m4P3k8DoHxZvAI7cZtieIkEaN0h9n+pKC
NgGf4eUSmGMD2W+dIAl9TGHF5DtDOM3eDPL8oa9i64A1JWGmyFKvpRDFgy0rot5eCzd0bXddd1/A
kie7UztxA1y0xYvEYzXZV0kbXUEtVu9gdaSQ2ryBshmKQZBo44qrBrsCo4R9a5XGuAZT3Mq5sPE6
H63hNcOm2KQUEwrUyu9LOJm5riazwU+q/gwmD68Lc5pUSXzeL77rfdH98Os4chDj2fhl15VaPBv4
2/5yzKT5YoipfZnUUBsYzIPhms1Y8CR+H91GjT+KdT0K8UM0Pd4p3lCqxVpH4dMzDAPEgIOovrRl
DFVO4qWir7NWWC81jhYpJTFB/hJHMQ7DChzB7xTdRwD3e4AyhgypDPDD+eckEQWhE3Ih80CBr/ZD
EDGNcc4Y5B2ZJ1+HEJeb0Rrnw9QFOAG73LTlRVaOEdZyoQb2RfEzyjdC3cz+dnoCrGClQoF7RDhi
iIMbinERsH3k6CnK0WCAYNWyMdmVv9tjSklX4BTMJDMkabVu1aCCOQiMctwkQUhRJqRcyhrCyEru
8H+p77BiohoXAojvsgxUr9C10m+KEZkHvInhncHH1axV5nWYZOCW9zTFWfezJw6MsisEegT2FnMz
XCI1HNEmD59wZkjSPlcQ7eO1gf7jbz8ysorK0EmWW81RvVewCc1TPyYWrFoiooDLjET31jx3kLoB
8lOTaLI5lgegts0TrhgzJQCu1UqWFc5QftqIhwj7aW7exWz3UkI8vAvMvvga1kXPB20Zutu2SvVf
QTWJn6rH5QcWij/eVVEVQG7rsOx266qjejcKi/COBdyHdyGMqWOsjf4LMNloWjP0OhIjXRNfdVE8
/MApLfhhj1qvI2NHdQKiGD64a8ST8wDgxzFc6K1Zf8ntyPiatDb1rJCACJP3Vo35KDNvCPgC1GhD
2knuU7VsXkURXULS+qZOwkS3TvE2BUle65uH2K4KvOwUSl1TdKi966F766lKGYrKZSzkwV0RmOo2
1SDW7XN96vyLWglsG4MjXcFt07CiDe7m1QNcq+DBkZ3zo6czv/ppfZUK5xtXxyhyrZbNZt2wuCOO
zVocECCGbCIG8HPRdnhCsWY539UEsCWXXB3lfpqlUPZk3OqgcuIw/Bolhv8cU/XxxI+vbDRRELpX
cHI9vEs7xwYvxWRZEdfJf+fAOVrqCpT0MUUh+YgnIRTNpEsGawUiEriFg0kk4Y2MswglFGLEYGoy
xIMcZ/DIUOhXSRnjYNcOiqDgAYhItZEUmPuwCD2PwRTElD+WWYPo3snTVd8A1N6MFTzxlcAn8jCl
dYdPQRlQW0PGjxqd2IFwxuMNzqGpc+256/x61/s9bFlLK1INNrbSXzKYwQ7aRmF3btb2BYUaeUNJ
TWLkzU3TOkiGx8zKn9OyrG8LDojtWjecoVtBsCb3jdlLqq76wkcWqped9h0rV3ktiwnTtrejzD/S
3P+fs2qZE8z/WVR//ZL8DLtf9RFrYv4r/5bOg5pANW+L+QBnoIfjVvJHOm/rf4GKsNBCzDyqWcP5
39J5+y9wSYaJ6zfhaa7vNn/p33YtivoXaApCtag+0dTbxE+df6KeP74bcqInJEIryFvQKUjHnM/+
7466iOfHkFia6obdg2M95DE4WLWh8kNLqACxqyq81Jyrdx109+cg/Z40cXynp02pGdxXDEIKzvyC
i5iFB2Q/y/Huc5syi11Eiy1bmN5sTrdif9oM+UD0MtacoFxcWzSvgIbWB6rLOX1F1HZjePu6wiF9
00IDCp/z+Fuc7AuTKMZFOW1KlFug42IXF/LRP5SP1Akr9oWV3BQKjoxrSKj4cPKv6q+liQnrGse3
khpLzE+xYMvXuF4Sqqf8WF5pN4AE7HzTd5fFuKIEwaL8KqDqdx29xD+NF4gYYHoVfOGhdWFbSKX/
6/ha9tC33IjKN4Jzlu6G06XtXHGMnCCZDv1mLk6LWav38eR6Zy6zH8YB3wStLiJKMk2mWAo7+ios
Va1jHJT6BJeU4oKgBz8FFPEhxj9zLSafWoPpnEbxs2+EOhI5HY1bprG4sycZngC5T7OoJYetyrFt
NROhzogxjeOr+p8RRw6LFyNJzdBb3Cq7WsfmygTzGNgwu9ySLE+2C+rr3smpFXylVrHgRGFVL2n2
VCcUc9ymrM/YzEiG/7ieUM2vKvOgfaXaWA53lfMNv4p1pt7aIPfty7C6DbE3x1TxMPTPo/FopSXq
qme/vRniH112Zv58+jqkxyyUadocfZ9f992krcbAHsjJqq4v15p1m3OuI/WwDfyrflSpyqQ0PpoL
7xNOxsPsmLIS/V0k+C0jGRa23GEUnKpbbkXJ9CLC30pw6EoTlSXw0/rR8q+Sqt4U/SEuN0Hr2tGN
Y7oCWw6MDN2eiFi7DeHx2u3hzJQ9uuf++UzSQttnzTEAbRnMxLnOwwzTmly8VKE9l9M2BHzrxhK3
R6/tmC2leWbcL9Jwf9okeU99E4s02ZNFX3IoT4NMF1ipmZAPwpeEU+NNIMyrXhQpMGeAGmHc7nMo
y+zJRrCTk/1nV/yPBSfzIP+fcMPbI8wqYWuOXc3hhsVClRteYVeZNbjQaak+1K847pJpz16xPlXP
BBM+awtRnMFMn6f7Uipt4lOqUkI0uTL0RhejG0wE7K30csq1e7Xbnv6gn8w7djG2PqI5uqqp8/R/
N1DHAksk9LMAXxrjCjA0leSROa5SnRTGmFRPmPusI8xxZCTPTPlPFhZannUZ6J4t0kLHLQ8D3tdl
g9PNEMGL6M0m2o2d5Z/ZYz5phY3dmQXe6G3EcsCarapnJu/oBthurtqs9DeeCfnrdC8ugmJvAwSN
g+OwlxmEqN92unfdGIdGnhmtOrlOh5X8GHMqbQNMkjSK8rtGgtO+zZRYrEEoU9Te9GcCq5/sDdQZ
EJRj4URjsowfT9z1GtPqJjckryQj9aVsnMFVxw5SQT2OF74IXUbwmVaPM0V/XhoPBJYB6uxIiS2+
IOJhdLmJP7l5NsS7QNemde3gxApHx+vgJuCZvTrdz5+2yKqKpJqqPgBgx2OGa0LsY/UyuVHemitT
61nEAzKR3sRBu1C47eMM7Z/5uJ9MyDfiGKFcBpKzlMMXXppjETqMbqrdigpaiW+Bbuqc/PeIKcnp
F/y0LYK487xnMs7cs/fT0TP7QIlj2vJwGsKWWNnk1E6urAg+zKhoZ6bgZ63REqoCzrisNovu9Jow
8RMGiBu3j90If8kEVrnWxw5AxFlN+GczEaEMJz2Lf1lIj1/NUP0Bko/GShP2/VofMA8RSWCeGSEf
X+lNLUJFGekoQ19qgFog3r4KRdqlANrciOTvjrDaiDEJMrzwzM70Ye1EzSaIg5sIu0gxLGUZ1OsY
bV/bquvg2I2AW/Z7vPvgfMTq00gUjsDldCDguK6t4FwUfj4PHe1ItE31w6wn47jEynbcm8E4Fq3R
6/MBI3ydKjjDUZpgJtQnxBHw2FG5+I+QIQKgoNxIK7ea6scyBDB7esB+mJE8B+INWxd4H3AyXXxV
b/AtBNQVPttT81NndmwK6FajF+9iHY/YUJnaM73+JjBavjrHUQ4CJFRnTcXxq0elnNKhw7bFwIpl
JbFj6Uvn3iqbflU6JrfsUL8PWzIujijlqnXM31nnbJoSoujpd3/b9hdPQppccPubS6VNZ3FNUvGf
ILOEwW4YT7jEp02z8nXlQo1K5amU4nb0B2SOJBm32NV/HYZeAXwjL4QT3ChmF5w5dH7YBLhwcknU
BQuVyXo8//m7PQhiXhtOWjS5o1P46zgI5tV4XcLvLPvKWo16cJEWwe/TffCm1T/uAwT81Njx7UEn
kxA6blX3LZxtQjm6qkZYMf3dcUHw/e958Ys5A3pCrAzgGkAEgg0Olc70lFo3Znyj1n8n3VPbkoX/
O4CpNftrFav7cOZ59Xsfti8ub3a2a3FkFr900wV4YgInSiiBAgmxKfRD7j9F43MX/E7lfR9fD+c0
NH/KVJbvNi8k1K6RyKNfj99tUiwtGgp6NKr2pnqhcPu0xc9R3qU9Jhj1c5kB2rJuvfFrnlx6klvr
V8A0fbFNA64w4qbqnzQfg4fy3oRWEzbfrXbX2N9lsc+41uY7TEtHZ1uWO3FIgTJ0LjbYCkQUZe1v
Sjwj+03VHPJ6K/qth27JuGJkZ+294v/Uk+tOvzSKlzy7Bhn2PMR7A9SghdXaPZW0Q+Aa34fnRN/i
ANkFX5LkRm/2or0irmUJoBMi+D6E34nmW8pvP/gymQcDVlGI29wqhRLlbcaHGXE+rdR+n6kNrMK7
BmMT5IXlYw5zG6RT9rV/jXDVCx8yD++BHaY7XuTqj3a4ytS7YLrhOI7esgRBNGGK6AK94ZotjMvC
v5eE0jOwT5RA9I+296Vs19K+srsdxxcF6wWOosgkSvtSgvHF1f25LjfE+Mj1OA0kQBdQ5BV5P6u9
VfVtGoMEWRVilSoXkXMTja+Wdhd48TZskFb9SIMfQ7YZ7VVWXKvT3qy2dkrNFTgVBBsrabyo1nWJ
dnKlSy5jG2+4hJmpCRCBhwFTJ3lmh/+4YHJ7spnzhJbQkS+FGpLdKc0ArrtBjmhI08CwVH608ZUU
wHSCXwbr+pk98cPOi3TS4vxLrpb4N7Uux8M49rS8wt6NnZf/Waddh4QhUdNzq+FbVGg5XTiZoeNT
2Zm0pYinDAdRjgqOZ313S1mbCnJUx41pBptMr3Atpfp3UX0d24fB/GmYv2oSMB08sALTLvUQ1C5s
xgxvlmI1dW4rN0qxb8KNcHa9trP1YK3VriW/R62+zdpN130P7o145T0ol2kNLWiFmeM9lxYTrRTH
QBhP/oV9neqrwNoGl811I9xmpsetpnLt7MCn3ZRfdMBiyZpUAvaxKbK/e0IKOZ7A2s6/6ZKrot2n
xtZJVwcoW5TJJ69d81WGXzJYLOPvaeurmwyIV+sqaLmLbcEtfiwJGofJWhXfium1yffCu6zBuHSu
HG/C+kDhkOOTvLwpEIJpG6L+Q/eFiIC0kdltmmHXTm7XX+NfMWH6lK2CcmvKi7p+FnBn7r3pW548
puawMpllnfa3JF3WpP1Fg/1AB0zTUl7AuZoFdnSEw6zMrcq7Lr3I2709Y0J/nl77P5y1uDOiYyfG
wRI5//d4XDV5k9hlCV+1t6LSFWH3KipqbRRhXk4elmf/vDVssGGZAGTmzrHcaKzM7GqzB0jeG+RA
iOL1JeQiDKI0NyPPfLq1jzc6Qr7EoqhjooxPpWLh+OWquFYQ5YyjO+Hkh3VNl7m+YVdbOPnXZsvI
I2M8bGWJtUutfXEqU5yRcM69t5hNHJNnTTf8FaR4iweI7CIP2pj3HfD+WpOXiNxMd+ozs/aTb0iN
JqJiFW0+nbrY4nSsQw2z9rnc2AKb6Mpet7gkEUT18K+Qk36mWz+eUea2iOOQxkJZbS9OTFGZO2nb
waqscqvcR8qFoxLh4iJCUUDmokVih5VBcWbNXb4kwH+kXFThosYkkvRWlvHuZCQLknhi6Mi2Zf1z
kfeAL+W1Pv0o61A584LLOwFN0YzOkRg1jkM55fGwQRyT+TgqE3HWHOyRJsBW0lhZpfNoBMS4qegP
K9c2wnF7erwut5U5YI8yFv0Jiifkr/N94d0rYiFl6EPh1W40q4rLtMW6AU8fkIACk8YetzfFPtPk
hylC0TWwbcFFhBMwt/LFCDXwwWplZxPzFoV10SrVtdqFrt3jRtIq8Qb3YSQgur5r2xLy86T9w6FL
84gOKb9D4UVqZFlaEuLNlysxGTAnKYmA4hzT5pxoqpEwQENW9XQHfxxDgmwP+ydxJI65y31bN4SF
UyloQvz42o2KGBfT9tlTHeBX30BSON3ch+/JD2SO4ItB/Jhk0rw6vPuehdU1E8dLsJByqNalDk7S
9kTulgqZx6pof8dpfq6k/i1g837JIVk7VxPO1TPEy8AFHTcailpBp+5RyCjvpnDrxM5G9a5k9WiX
xm0L/kslcYksZYVIXDrw8YqDml7xm065m/q/43iLAioge6v+HXSPkVZslXyLdmMliqs2v+bXMY82
vcNFdNY243BXUZhz12qP/Axwz/wAobAF11ssUfmrClZnmnc15Y+nO/fDt+Q9bao3OA4RLyNBd/ye
WFOYYpRxhskWIpi+UtZYr7RrJC3dSljFuRrVD2sCkRUGzZzcQI2Cbu64uaEvkKoEaeiyTbtji/wh
KJ2Vkhb6JkmS35OBPq1Ww7suM8+oZj9tWZvrN1CVzkGs45YnLbS0Ji9D3LDiX8Gg9Ru7F4ARu0DZ
ISTcYuyAQdtGn5wzDX/sYV6ZMB1xbLZsU18sDWT349ooo5DcobobVR9BfmhzBRqhL2D7c2Z9/5Ai
oJr8TY8I8UVFR7uMYicCkr1opsHFKHq2fHFx57D2aY2fVW+NNwhTtpnTZTekryiMSurclf65SMhb
wPp49hASJUtJDHguVvoQ4CpsMaTVgBOeBvs1OZSqsvK7R63jjKiDUzfDjdo/wk7X/K+dQk6TvGd4
QLW2y5IDA37CP8dT48tG2YzxS5pfKY4OFLED8QeTnOvSl4B8Ef4gqnXnlAeu29wOU+DOmrcu8tKl
ktQrX0iJAEBlMvErkxAX+zXGsB0WLlPy1Ifbxuk4qeIiXNDYlcePDhpOiP84a8MnoSCbYDh5XWIS
S1l4F+Ezm3qiIzh8g6DKX+H72FwmXA8Aampr6n1WeZsLt/LFfd7U5QoToODMZrw8bcz3Hc5QpPZV
AEeaXEZEPBE25cQBXesSZTWFKl6YkEW7JxvN0jqsIMP6ypld8ePIZxMWEsH/nK1lHT2ecolMKMer
ytadmsltWxQiE4W3a98kWGGqZ3YJUgv8uKNBh76Y7WEWLtAsG9Rxc33WVlOv9I2r3huv+QNri/ok
DO40m9i/92zXGzf8VnnN0jW5CFG5eXvVEYqpVwNEpHhVmyv1cbrE4CejqMxNvdtS/OTXdvjWOrew
SqNyJzU4lw0LNnWNxgtWOJQUEKPQBYHPAyYFIUYt1SbTH/LxeYCnijGP7xC4ZuCtU3XNdYVf8RK1
rLVVUli0wi2mTt0ocJ2SMAkxgY3Q19jwyP/H3pc1R4pz2/6VG+edDhBzxI3zAGSSg8dyVbmqXgjX
hJjEIEBIv/4s3F93O7HT3M63G3Ee29GFEiFtbe29Bha5w27qIw53A3OnZTFHgYFuS23XQtktB7c+
mHPhJCzSgN2Zt+quh31UHpQf3UejD4ALoBB61nYG20Eu2rdiK/3JvO3UxKgIqxuY/8GaCF0JlJrI
g5NGtbPrmrD0bxp728HTJw97cAz1fQN9ByNm+k4qgC1DIGJbP4alOP5oSSjvxIrEst8XbDuLlopt
/o3nt2Z6gJ5wBthbSK/IzfRF/Iaz6TcSa1fsV4vqR2FvUvsW0p9CXtVmD4MFSNR8SuSPrv3UFD+y
6r7SQlzOjbsG/hPGQfeBwYxg5eX/pNdqJUK/OhrmhUPQNPJneRr0xk4XDkTJJJznocyiw8Mu4H7j
haaLUosJV3RjMulBVaUVZi5JIx091v37J/Dr3PF5eKA+5tYDIC7zun6R32R2PXlkMPrI1tmmhmeY
RAlRyDHWeO7ha9nosIwAPRdAPwZirKqVI+PVNsX4YBw6qMS4FiQzFymAgRfOnS7FUoPlOqCPfeS0
w0OpgChUbFoZ7FUcQkqO8ouNswkiT4iLpy8Lyze3d7nZR7nVpSCNJteom28baQNzIsuntMdiyGW7
RuF8JsUsggPGBYTHw7kIatUiOFRF1nadcPqoyu0kNkb4MFuMAEYKd+wYUbs6ZrY5IxOMEF396bYv
YSOtjZkRonOpogpp2qYu6RHuCxywNfKrUsw7IG8j8AKwR9jUZhqqflmfhP0s1fv+Gnk9a0ghsDjn
5B7klCWGQqEHOGo+EIyj1h47e9ihMRZmAjkjcH9ACYn6EcDc98ecv8TpjGFMcKjRnsLBAfLr6Zdy
qsbjPgeMWA4tRIbtKQYY+wAxrCPaKxrCarUGgnq9EIFsQIXZJwbUktBEOB1xhHcmChsAKqEc0R9K
7XsJI1lPDNqNkO3H99/u9YzOHRqAu+ZlCLjsYh1mdT1yN+vqCPhuKwbc/Sp1J/QrfCjlu0PEUt8/
IC1m2/eHfT2pWHvPdEICXy90y05f0c963xGsZkiDxjbgBt8ABKPHZUKALDb0L0UOL7j3h3ydEc7M
rbkSiQY1yKLeoq4BpTLDbmErHBnTCEntHrU/AZ5a4KghAY1ay1AeK2Ez1syGigMEXpknaDgaxb8O
s2B0zdipWXTLIst73AC3XadoTdiUFiSYepsEkD6EcUNWhUkrwDnAEp4cGk22un9/Cl4vrNORF7Oe
CzW4vTeP7Ebu5CWbEQ7ZocNtd5PmK9P9+jA5HWuxbRpUhV2EsyrirfZNerjq08EEOBHw2x6UhCuL
5MBv22jOvf+O8y34dLtiXIRVhAK0e4HDPF1ZVcbsGfmN0lxqNCGkNIcQLtnpvy00zIIHKOfgdjGL
tiz9Z1Jl56lGCYvsCkqeGRQypSnAHUiz0LPpGgTgjaULydAZD4lbKqQHlkdTLrntqxqC/flU/sic
4net8VCORnItcHLUSbupkVPT0nX36AemOzQoV07nhYIZDkRz/gk2AqAJmTjgDU/nNe3QQsThyIBf
/9ZAUSoizKXopucg7DWwgNG7MTvWGhwOwHF6sqQGWxeU50swLoKiN8RVh8JGiCG6zTCAf9DlyDm9
2fiXagy0C8r+9QmLH+xCQRbnBW6dy7vXYNqwJQVYNaK5dtuMLSQbLQindFDycuQWlSoBQy04Yr2/
/F5tMWhMQ90VEolIpHDhW+RQnpZUwIbkIGs62bitm/ybJqbQt9xHEw7ilwwGNqMNRRsT15p5L7zI
mOrEs3ow6YoIftKzg26BTkNhfB2aJubopv7bNwNqESqhuLxhAb4CAANNpAsoS8AcJ4X+dQuT9Mbz
4wHiG8xonZWP93oa5+2LHBQF07nevnizhA+010qPRihd7jzHie3EGgOwBapgypzf77/Zq8MI7GEX
tX3kYzhvIfBxOo1SmwA1M9DwaVHS37o5jA9a33tikB42KneEtLdwVqKUsTbm4jDSwK9zwSPOIi8B
ImF0irhuHNgIsEH/MnDYIqgJzWX4UxSGM4Ww2YWFL/EPBVL3kJWPSuFy5sCa/ugmXhkw011Bk7zK
CzAnaOGjToM2jgMBudM5mSRcrVGOzCLcAjS4HZnlLem/t3USO/UA+8+C3nmlaFaizPxZT4I3IDeQ
oAVjnWCVQbXndNQKDDQTisg5qo0aZNU19d3wV0v/z83Nf0aBwqsBAVPg51GqnhfyEuPkARGUEpLA
/qiE/Kye1YDbUlSm9Urcc/zpO+ude79IjZ2E4nE0+MZPXgxfpKWOFIq0oSZUsyeUPiHwNnuhw+0I
Mj8PvDPXRHJPD9E/f+msXESwEwB4X0aTAf7EItEorOsb59r0q5u+TRhy3TTfN7jjwk6SZulV5khr
5fMbp18CIxNUz1FMR/vH9F5X0ilLrQGdIOyJDEKBkwOnrknuuracNd46EuvAKnMbON/EAI1MTnST
yWNV75nddd9SoT6/v0UXl8Pn3zNTe5+PdSAal7K4U64JV+8KWApZNiQTWpijeJGWut0GRHHYpdR1
rHr/C/AwcGgtUF9+f/zT7fqf4VE0gvgNJNr0Ja4RDCoYjeQYfuTAGkg5fYSZACD++l3LfVBIR21a
GfF0A/41Im5pNlqpEFdabIUGlHCJlkIOvgVJw4b50y1cbFTtVZFNpblrR3dvJmCePr/ovyL7/L8Z
bPx/Rwmab27nKUF3Wf/jCfY3/2fPy6WpBlQ0/qIGaegb/gEpV9MHVgPBCvnYX9wgDczzP+Y1MmsJ
oYfw3KH5y1eDmH/gOoe6JwQr5hLkzMf/ix1E7D9wzkHOCv8I1Q8QHf77/57g0Pniv1/ydPDLXoRQ
pGczAx9lVqAP/zzRTkOo4/dtMw5M3dhTrW2qAWDxDq5ZbIKHRQo+5Uoi/Hw4/hNM5/EQl6Bbhya8
g1rkEmLWWeAxI0iTG42BmQhf2nJDwCWEialzowT5phtlva2h4QpFoLuq+qKl7cwyJTJ+8bXu/hzx
5XuT0y0656UzkHSuXxnoIkNP6fTFa1U5veB1fQO8PwT8iALnD6rUBmSyji1/4hVLYjODq3xtUXfX
dfbvlIsH+JGD1DsN9g1z+f1Qo5BXmeKjW3P4W1WW8YFYCYSR9Xqb1hVKk53ZbcC4MeHrPcJs/Stx
GhWwTKw5W/4peH8ysbNJgDsLyM1gCggcnb5Pg7tqZYPjfl2BgzSbUAVgQJk/ICcE8vrWIodB31nl
wSr2ab/t4OnL7zO04e4gxYR6qgulIRQnftUHOEd1XcybJxg1Qf6tg5dWEeJ9IYIR8Ov6WtZXebb1
WFjCy0kLmBuk4I1soH3ZRqaLKvWHyp/dgQDNcdiW/LSLoNC2UCJWNwBMNWxHH41vqApLN4aCFJRJ
wHMW7b4uQ3nrs88OundmDTffA9ovg7uH6tTc1t/VKDI1gPsCHh/5emxU8eDFZgecHErkIega6FBP
wB8ApZjBQjakYHoBsf5huAMF2QF8/r755H41vyL6SjRC73wQoHgI1eCKPwK55SOHSGDfEmjwPXTi
7+nGBwzFDYzH+l579CGk7UMjYjtB/RG9Ff5j6jcjiWoUVUFe/QEtpTZB3TWqjk2UfIPkse0HxezP
GxRVLIFZgw3FdX6N61bkPrSokw5B8ouDk1EEEAmojykwZqH9AA0TCIyA7A4MkPsRTf84ia0Yuiqg
ol5njypFMX4HtQzcn/xb8XkLEv7VcExuAE2zP9ZH+L5fTV98WIBeMxb2aTSmEUwqYXAYSniK2vvk
Q2kFsOGAavXUXHMQzqbYvBvhjguoa4Q8trj1v5aoNquv1XcGDn78p99Xuk1CEovfOSws78srEfpX
/p5u9IiDMx823+QeFfLPaDGFQNRt8I574OxgTQUxgzygaMcCkfg7/+1P8B9jci6Pj15oH0Cm3tZH
NIOx+dRdfm3VESb0K4uhpb9v+whuacPWCIufxb7+IlGN/+Bdqdi/Hjdi7/8ab8ob/77K4E8Vljfq
Cdu226SwsEQHtguyO2PD7mFiXwCRCBnfIJtpz4EJqSx0Euw/w9r/HoP/Zcw39/PHIJixT5JnT6fM
WPyTv1zY/T/QO4Z4KnIguDbMAK8/mbE+TKVwe8dNG65SgBbOnbX/HH7uH8+QJVT1IfLjQ7z3n7NP
/wO6D7hWgt1A0JTGNf1fHX7kNG3VCGIl9LSQLp8GSzaCia2KxNxrfZ3tJJPoLEM9ANYEcoD1ui9t
QFAtoj060wgryS6VORAIbbFXqWfcw66oPphu311puentoQ5go8lkVlMSQAKPXCeN4T01AxcQuKlU
vkm8ioXS6CxU7UTWQ6rQpVP0YtrfOs9OE8B/XmUR9/2Kw9XLGtBGK1H2CWQOnRHuGlCzSGzNQvSE
EhZ8NTNHg6mcye2rtGtaEiaegULARIfmV51l3mcch+0QDO2Ue0Ge98BuQa+8vE4qm3wVmufd+NB3
/YZvXcY0M2H0B/mO6slTKoM531i1X6Xove3g6trjMHrWlaLF2h3z9Hbz9xsuq/hC9BzyBLmNoOKX
bmB5qv8BeQp0BPOcaN9zsy4fbaVcdLNT3wPzDFQ7sZJeI0t7kSb9M/YirZ5s1rfCq9XeNJV2hwqS
8bX1efJlnFr4D77/CU9TsX/GmDOVF2WZRGsm2+FCYXGZ0w/XhPtt1mn6gytteoR7yLSmJ/eMnfgn
V/hnpPkXvBiJQU0my0cLJsaYvd8uhJRhCtvpn/qOeHOB0JW7Jh9Q8HV0ocGr1HdvC39KagTUVP/k
+a0ONMDgfRcjHXcALqJz6/WzpVXXEBTgNZ1LSNl7xk9ouoqrZCqLNc3yMxt22QCodUqtFKIiscrs
mPnqAEGnFa2tc4+e//5iUoZOdCSRqo8liukpZTsor69cj889GoHs5aOLvmOWEEMfJ6S9NXT6QR/W
bprnHr1IX33amjk1W/xqXoCng9yrRpD+O5C/EVHOPXkRG11LptCVxJMBGN1SpSAr0a2U6849ehmr
nBIQ4KruYwIDVYiah6U+RBf96mWFvSATUS48P2O70OGNlYPDKFfuLmd+9dLIHXojWYUmAo/91ryn
JP/VJdZlE+Iutj5vvF6xmvZx7fnfaxSyUqddkY09E7lmeYmXa49NwrNyc17WmvSRiisXfuik5B+n
lqW/L5v0eewXW2ca0DxLKozR01HRwLZa/8n0RXXhN50/yIvHl/loOMLHSqykD9v0qYPjb2usqXme
+6yLzcl8r7SMoujjJk9D5YkNMDfxZfOy2Jy8tCDy0jQoeU2g16VpESirfbjs2YvtyR3RGeWEcppL
+EPV2BEMLLaXPXqxPT00WMXIsj6GIFNUQwKDa93KHpoX9Bsnz5KBr7QMsJC+QlABHv0xqQpjl3SF
/7kcR3ibp3b+IfXrcYXOdubLOotDu8tlXVCFXSWqLlRGGmWQDbpoipZtLWswRErSFFOEmiETwEDQ
VQztmSlabNgRG5Q0fsdjCu0yD9d23L0u+9GLbVo1iUWyjvMYbe7PvT5+Ab12BfUw/7i3vutii0qY
TLle3/DYpbm9NS3c9vs6YfvMz9rQdQttd9krLDZrTsZshEA6YrCU4Nsk0F6C58V04Vdd7FfKhFNB
BhnnUks/OskvwbS7y373YrcmfuopCc5F3BLoYCfJ9FiNclhJHM+t88V+bVBBgzcMJqUk8OCCMWxp
rSH0zzx6WT+HUjyjRtPyuLN1XKYby4d4kFpri597+mKDGgM1JRDyPHaUdyyaKS61NcH7c49enKiQ
m8QiLOeFYrt96Dj1oatB673oay57xFQMJWxce2wkfww9Z4AO2nBZFrrUsuApTcU4DrNne/XZb63v
TbJGNj43JfPfXxyjLbcJU9PEYwLBFTjIhR1ZA1qde/RiW7ZDDUE1hg9ZQOeoIV896Vx2FuGef/Kj
69JmlHLELI+Ze8DwNlx+WPmI8yp7I2bZiz2pVZ45sRprewRmA61DqLZVyHNDAenAe11CQx1s+1kp
amwBP4HrjXVrgGm4c/tUbwIux2IImJHaXwZv8r7SytGDsnLMqPAN9652qwTu71njPlFoIH/ICt/Z
aZOTf9J5Dbu8DLoedtFGk+GPe2X2WpSCB7SFjmIJpnILk0aaCR3G8Eb1syNWteWFlDtBwImcNFWF
GrqsHspYtbM3eD78ykrbg/aJx0HXyRvifpwcVm8Sv9Q/aBIKceBQav0H0kPLMOC1Iy7LcOxF6NHH
QnY+YPJxn9phAqQJ75zLgvESzsYro+rMBDuh8b0PSa1/0BNy4aMXcccEzhkwMizXJNsXpISCXhmt
LKq319QSs+2UKcwYISIcqwY6G3Y2fKfumqzPmU229LEymroCUxDKuHnB/MDgBQ/8ZHi47IcvcgO3
Z5PiOi43Zp0cays7zIZ2lz16EXdUMyToojCskQGYFm6BYVkYxRpz49ysLEIPBY6UDTA9il10KXJH
HhVf00s79+hF7OE4lSCciKRGDcDBQyKOpNNlYW1JeKNmMRV1SaBynHqbaXIiUa4dTove99/VnaXk
njb6YwvXKB5PPsR9EwUZdt+SVgRIlf+xRCwA01d5441R5gAs57hNmXrSXra1nuXMXhwyE+9yNYw5
4jU1xFGHnudGgz/UZafjkqMAhXcGyVKJVQpEuz1diebCjbvkN+HMpbLuDXwQXu5qUKb91LzsWy91
77JBFDarsIwMK/uoM+jVZ5m4cEIW2zap9GIoC5zphqXdwgg6rsBIumjbmottW0inm/KkBqeIdHdl
PW60DmfLZc9ebFrQqTrDnn/2BBhvC7ZD++uyBy+2rOcaCka8AvMB1aqeVDCBX9tXZ6KBuUgXmpEx
4MvwaJ5fwzkVDBK+ef9Hn7k8mYtD1DA0TWBh9zMwAwaFDpBTtuQV1OfN6bYxy/Sy+/DSsRdwLWXT
Fl/Ug8w/+BDjvZcDDvT+Syw6+3+HnWVHn2isGcoWkrWmgiEoKO1qg9pKgvpeVoHu2VchaaR+6Fjn
HqZx6raDbc2tUUf/bcEQ+7LD5rnd/yL+NJNpVdKsnjfENdUZxOSz1Xc8swSWIOHMbBpRQ1IvVqVz
N1X9XWPQlQv0M/v3jWx0aayYFkMHEAjOsV4UFQ1QBCxv6okSiKwXyTZD90wPlNO0G+D90DkSY7Fp
p0bbexn3H1pn7L5C3JUd2sbnaIw7/p2rQWZcCExFm0LyRodk+0ZZKbmqNVscK7dLVr7827MCo5/T
FF0xTeQMvrQxRIr1g62MJLJ97kbvr6tzT19EuE46vCi6AUYHGjLMsQhtoa8E5vkRr6ccGJvTH26I
gfiy8dpY12rvwZp4f6DMMZ/adFwj87/968lz4/HFcpReTlq3wleFwESEVD+AEcxF0/7KxwYmjBAG
hHJebPbeRvrf0Aa48MnkdF5kRovesXFgVb05BaPMYRDR9yv16HMzsgijRgpb2dEtcFWE8r6u2AO8
JS+89C894CBlVUItB/uzk2WOlhSLHe78vGQdovd8Oill2hLIWWI34QiA55voQSeEjvplD19cSCwb
Pk721Iz7rq3rj/00kjBD720lJj6jb18vdNCDTn97K/0qRz9u2Lf+YG28soBO8aB9ldAA23IyZAdj
Qg0tyQv9OFSEAzEIWSa9BslxIEwe0V8a9n0Ox15j0o3jCLW4iCUOECqAyl+WNxqLIIJ7svBamGTv
QaQ3Yx1LMJQ4sFbm90zZealxlwAO6wBxBaqlcqfD2NnVPtfgptzbXgY4KKlVAGsMsnKenxttEVcq
0hRc5jqJO58PN8InzpU/Zda1NDx+TR1zbpEKd1qRYDyzoZaKspJmjdbl6F9Ybu0dyDD60ZDgC72/
Mt+OkQBbnC6dBA1XZwQyel/6ZTMTvfR9OupQ/h+p+P7+EOdeYBERqN5pnI2eEcMlAXoxVQENdnZZ
tFmi4cDZH0oo3KOcRuXvNGu+JPWajdGZn60vAoLWjH6TMVzhtHLr6b+IvGw69EUssH1ZozfqYa2y
6hsywOIGvh7eZfOx5O31qp8YuE1mzLBz+54JqJ7KCzNkfbmHK2GjQYfbWVU3R5S8g5mAe9EaWQqC
5Yp1zQiG1F5jPYFJAor+D2NmX9ioW/JGfDIlTi8VlklKbgQuVVELpY2VLbQAx/+dGS89tbqyTxpN
z83YLH0Yszm4bHtgE2yGmhiHorRa1B377EeOrPihbZ0sZp2nHX3WaDAUg9IjF25ywFEJadDLZnOx
qU0OvyIBkesYxn524Iw8B+Ch37//8DMRY0kHTyuCk4PkfE+7GqhRmo7DvTso/bNnZeWn98c4E2H1
xY3JTKt6nDS/A/9SL+PWbssPc377wTIlpPNn7WerJt3D+4O9vdEBOjsNgbYhmen3qQkAZ/opVyJO
+mLl0fPOeH0wG0u0Pox+WjRyHRJjh/tx4wCZSPT8xlBZumFwSllZgefeYJ7GF1moSZTdQWKZxKVp
/dZtWIUX7CJoi7FUyU1gWi3bnnYxjF3qvT7BXEEYbrGyUM25IPDWBC1WagEVWkUK1cY1zMjtq3x0
tE9VXUK8hGrAI9GcdJ/9JDPvcOXLruCx7KVBDkJIoFLLvOuUW7LALpW8huoy/20kA3zpk7S7gceP
foszmG1RO6z28A7+mlOfbisofIVoTbdhmfcUpkUWo1vlSPNqyF15zRy/3gK6Xj/CEYaGOZAPj3ph
6FvXLyBIcdl6W5yHjV3B9zVPu7hlPIuJXxwTSi5DmoCTcroU4AmfKUqnNgbcZDZJymYpMXetvb/g
qf0V6l65FQzwP/RkR+s9esHOoQAidJNbbXGUXUnjEjLw0N2kBlNQo1GJCjyVEIiQMljYspYfEzjc
qIggtWRXgIMmAaGmwUNfgUieO0y/DMkDn73TScitLJtgXtXHmu6OVz6dsYtcqpWz6u0AaCzFDC2h
uND0QsStoRnx0I1sUzICNsMI3auLlshSjkbBkEvmKmvjFkNteAkSsc2b7sKnL8JFn+WNgC0RiWfd
pQ9U84ejoRVrVai3Y/czR+ZlMKKeAQ+9KiWxm/nTVvHGvKMcodxpE/8eeEr3kzlx9vj+RJ35Fku8
oIU6uD8KX+1LLKrH0TfFsZTtdKcDY7nyuee87I0Q5c1B90Vw1euMNlkJfe68AK+yF671uSJT/pHr
Vrlv4Li2kSPpQmqkaySaczM4B8sXI7p5RcY+M/Q97xSA9W0hAOGvpsbczJjUg6xq9RHybADevz+J
C1nWf3Y1OR0wH7juD6Oj9rY91oAvsA66r0IHOF+MM2PCgcyvUZL0kJloAQ6j7obNMEJLCjZEcWUp
0E2Lvt5kflJGtSgZJiP/JdoGPnFlNlYbOGFXX1PBjKDWVH8DIcBWbHWL86spo9NnOFw6t2TksGHh
VQmqSpekt30NPGyXlN4WyVVxLfsUVEzVJUmYwuovdHoNajeQzd7QLPvWDxBWNcVgX+dl4q+Uj85c
qyGaeDottUbhzgfg0r70sPtCBe7n705ToBJaFdW+YRele9YZUDTPoHhimUV27UDc/IE2fvFZE05z
R1FvCpzE6kMxCbmBqLqvwe+N0t/9UK1RA8+c/kvjirypcb1ycLV25ssvmp/XrDLSlWzvTAazxFtS
HZ0BD2Dg/dCm8tqcPPM6Na3+W2NBy5mQwr4shVmCLzs56lqeTMNeTF0ZuW0yRRL1npVPeWaKlvhL
u89rPkzlsE8NCzSdxFQgpdkduCbv76AzMWIJwhSkIH498GFfGxqRsKWy9Ju+6Yp78IKnsKzNegNt
VomSEpFracScnr4Rl2bC4cso0YjebFMGXXSmucV306AMUlUw3wynOoUmelX6Pwou9CLU2io5Stak
ax4b52Zz/vuL+JQAXprUOK33je5/m1rnWhvgfPj+TC60Lf6ORe4i+PlV1U5TSgfIPFfJEPp6Ph77
pC1/WM1QbdMqHeCto/sJ5C7ReS8qx75WfSOe+j4ByOL9H3HuBRfx0EdaanmZzmLs1C8jQlSEtl6/
9obzU976cIuw4ifeaKat2+9Fa6KwaxbH3E07EjWegU5Kx61y53RZd0zGvIvQ64KaiFkD9MVYXUC7
GTpm77/luWRuKbGLjJfSAR6icVVBSRD8A2PndbDEDSiwJOCWt8WO1Xmz0dEjv5psmgSjKestpzWJ
QQ8oI4jbV0Gq4Wei6Q/tKA4aZenKdKX5eeZwX4JJTYAOWZMJFqceiIap2RcR0yQPBCmtlS+9MGj4
e7ktMaQ9PDmJZNm4FwlyfS/hpI9KBiOzwGatjYbK6B1MCZxHDtmxaSPGHFcMOlK1qTnFRxlG86Gb
gBBaY0Cc2wBL6GlZNMLmFN1CyHSrX53j08/gUYGyOHSTiKy0/kBROYJIAXYHI3kD5RxRgQmnJZm+
xiA5E8+WXh0wlUI1pqNy3/VfDMG3RSJDq5GR534nvRuLfs0G7Uyqs/SE4GPCJwklXdjgwUpZDcO2
bAp9b1C4cdeKZhu3hmHA++v93HJahK1UudSBaJexI4Xst/AGEYcSVP0IxI1xZTmdOS2dRfBSqkL9
zer03QQvpDBNILbeE9hZ20BioEOabN5/kzPxaclpVi4qL72qqziXkE6aoEebrsXfc49eBCe37CZH
G/HoEYLXvrGfvAsvZc7iZuoNg4QApVXGlld3+5ZPBZyRQKt9f0rOLKQlkBVIYai0ZLKMoe3RiKBw
ZgpZ1nXWDQrycpeW8DbaVG7z8/3hzsUNe1HFpVbXmFXelvBmzp2YF6P7E3533WfHQeYy5UUC1Vxe
QoQuAx4E/2e3Lyczh0qKzaMRCr9QP/LbtZhxZmUvVQOV1Xmp7XQi1qwscKEmaqVlNCVr/Y4ziKNn
39OXB77gslIUpu2xrpvaloo57Ta9bvTBhU+7DHLIWRPrA0vuNNzii23Td+Nv2tpirXt0hsgJgcTT
lKOUAFGgYArja1FD3L40wHofAzgqIbuWG9+5hT3VpmvZrSlAUubDBq0rqFIrAC2SiLjpb5RDwy7X
jj28T+DsVsI/GYjqa9BGI5I7B7stVirw5xbivLFeJEcQ/05Lx6jLeISSTVTYEN+VeQYfd1tksJSA
6/GN56Srzflzx8VSlj/TzbFoVFdCwxQGXRE0tPQfRIBar6m0xw0SZIMQyoH2D6i6qJ+GMIwkaGg+
gZM/8m4FebJQW/j7GF3CeEvPolWu22MsZy2GwPbS/FCWkClJRjv/jmtPGjtFbuyBt4sUiNrMVTGc
rKcAkmHpzi2GhkV9yadAgwDcphUCNqsDrMgDK4UeHDMb85Nr+zMDDlfRYhoS8M79pv3ca1PykEsd
tUB9Mn7ZsEpuo/e3+JkzcGke1WE9e1NCUeZJeXWbV427NYcWuF6ulLoaoVZ20K2kCktHiJVW35l9
bC3yTk3jZtM7GggtymuAm3IMHoxgph5TSFZ8eP+1zoyxREU3NaTw60YOcWvhauIi4dvkMHKMDMn7
3ftDnDkFl6DhVoOgSdfrQ+y0UPmnNhn2yi6LK3ei+o3mNdlKEJ631BuJ9BJBDGNRnRUJHeIitZ96
aaVfs6n1Pl30EtYiwBeqzxuzg9GQXpnZIe2ZamHsXQ8xiFPlncVlv/LRz73FHEheBIypSrhJ0X2N
fZdDwcKOeLGmF3Xu0fMHevFon1WdSvK0imclwmLEKfgfQYQTmZmX8ipnPvES34ooDCNHLenjUrnJ
TpWlfQ2h3lQP9MnWdkUFK7q169KcH7z1lRd5AzfSJOUDKMHdyGsSmtqgNj3LpqOFe8lGJp0bDaze
oUdx8JpHqtoLSxJLqGsCzbvEd7sKaIVJ32eS8R3EQtXm/fV15tssoa7wb+Qt6jUMn729UW35lOvy
6bJHL1YU0+zMcdjIYC7PTZyYk34Y8m7tg5z74YtFlbZN7dS+hsuxDSXNrswsgJvp4/s//Ux0Mue/
v1ixda4nAmI8LM7S0b1WVqaHKbfsh7YwjW/vD+E83+3eWFFL5KsLEfQqcXDvzY0K/RFl5gOF07Ih
t1B6LvbUN9LPSVkUEOG32E1jNPmxSGHLNgD/VUWG6MUjlCOGIPtkHnIXRUlTu60LeEnVCa2/6V7R
b93Ch6EUKyAma2aaty2F3v/KFbzOqkQgq3aH7ElvZks3R4dDEDd89QtkC7S8shwLYmPiGs4CC/R6
PTDLQYtaWxt/5jKftpZpj48FNad7AuEmlFFJHnGa813fJTIP07qFioxGzTgdSPEwcBdHCS/VjqNy
x9tH2C3pwTQKegu7EMjTMCYllDjtbNda7WgEKFuqG6Yg1pnrH0cldYh8VwStad3zu8fMH7IBThuy
OMLlo2sCYee6jktOCjsPlH9vcHVgYTI4xaeyrpMbTZXTA9OZFmSjBSeUQZfWhgK4C/V5MeoPhE9V
5AHT+Aktaxr7da7hXaHUducQ4ohNTa38tqJpfm1DAGOXcJ6YgcZ9Fs5XYg+9SMhdQNWDk6Pq7I4H
dq2ZO//ZvXvw3MhnRbZLczrBuSvl8ldZUHLIoFdehz7VBjvQ80x44Sgr37m3Wzh4iamv0HJRrL0r
pbR+JAOM1yp9ziUrUB2uIQpZQ1gexhifbLOCUzeC3QT7rZQ4OFKh6w3XCOhpwYqh8pvQMyAWkvPW
/6K5pXMccouGbBpmSXxbNEEBTTsS8MrtN75dmNEgaL1DqamIvBZyUzlcbNl2shuU3yvwo2CcBZ40
aHqsPVpdaTYx7HynET3EpmFBxhJlQl21h8yoPQxZtc1pXYuPQ29YItA8CyGAGxMw0xDRrkOTcvlx
bhB+IKgTukfBB0Peu3iRX0kzek9V2iNhZa5m73EnhAqPq1OMCm2RWKNjaWxs4Evgy+bipjtM0O+C
HJXdGWHrFoYReShmfSuLtITvlls2n7RWs689Q1k7Jp3mo5q4Ho7Q8wuhulyHjTfqNEAh29kCSg94
LLS0eysWuDA+GSThbTDmEtr6FTTKo1pBvhU+Au7sia6Ybod25llQ2eWQ1B+xJyDe1FT2zptaHuKG
bxx7ZXbQdiZNakMXvO/+h7Iz261cubLtrxT8ToNNsAOuX0juVtrqpVTqhVCmlOybCHZBfv0d23Zd
VxUKhbqAX45Ppo6kTUasNddcczS3C3tScddrugTVo3wlhQ4D/09vN22ODtFPkacrnR/zba2SdBDT
sR+ddInLrFX70LCymbnzrEvQgxOBrmttAmErr2g3L9B35VQXRy+UedJXU7hvPA14bXLW4ER+dxAk
tTQsIHdzSYC3VQfFfQHf5xIK6UR96A2RExoDJLGuuO4YwYk+ajesb6Zcb6A4KmsoYqWq4ndhjqm6
a3s2qu9JQpx/FZne2oNfDu24W4Lqd82y7rmWnl1cunVuwTJ6ljTfhjH8YzZl3iQttwS5OHMKBhKu
jHevu7U8Gstqf0uCbu6V8Mp717bLeHG9BuL3mm1NNNvGakFnKCRjSTbJ38qxUvfIYfKRb199zVkw
Es/PyP55McL6xV1rwjy8YIE01xDZANyGwNbQWq1TV3rgT5ZZnt1JK9AeiwOoWQi+8lYQ6MbjpfPb
zCC9x5ar9cL4Prjv+nnYZc2qn2ZBu4MqWfmPWCxVnBWZbSQ1MaRJ13nhvTvlTGgH2RM3rdW5tgoV
+8Ukqd98eWFVuk5aDVePwF9gvGIzHxEy/V2B9gX5wWinyJgNLzFWPgMPQ+6R3QN5Hxo6/zZlbeyD
QHnfNZF7v/GMUGZlefPL6nzOALMQwCZsr43n3KHftJr5Xrad2KceiXEJOGXOfr8K2NTMtnnXGr06
K6uDcFBs+iZc+urRFEu78wLV7xU5gXAPwLJpgsbUnYPc47vy6mr0q/52wVbi1e2OHMxTUNJ6sbHe
Ort2Ixg/mqo5vVUimL/CGdbo1MFbXKSbJUuWmokshd/A6ighiOqgyzlbXS/OTD3fD6aajnbXt89d
6dgUv5z8Y5Rr4ey7smt03LNSczC9sQbKMW7Vj6CbxhdyQZlwhH5nxk4X5G6UbXn7mvdjy8iQEzEq
sjR/GGvWoyK82OAsWwURdljVbhu24u4Ke88iRD//1V189WeGbpUw5cUqamyANkevdwHAFFxyGOqN
ZyFreozUrf1PexocMKmDQYxY1W7x5hnhhcReEKFjX7yNQaO5tEAExBPctVdTpf05WAO3T0x7GzgW
J3iJcdfZso6mCecRp2VdwArL8vzBtSuvS6aCwNHYzQ39IPKFERW5/3XE6maz97NKxO1iD3dqy/yL
qfiO4Sg1dpzVor1sVc+FXrpD89BtDvsTqRU+aMuYTzkhUSAw3aCkAiicnUGg9mVAR4gEq1Ya2GtP
ylsrzepgeGXwgXsFx4jvqt9rIKoLOQX6vcjK6WxMVfYZpqlzCMPSepHbSoCamy2k3qUluwy+HKF1
l4v9bSo/O0P5tb9zobujoK54GhevSEQtBZA0u0PGn52D9vyesLmga18ZoamDl47OMa0MUJOdFRza
tgxuVIg2H/gD17YmiXSkeENfqM3IsutuuetkK4PHMAQCkYhO8Gx4eRXWhDe7FXFVVbAYXx4GukSH
mR4P5dX3FQlXBUlBLfaos7B6dYK0/9R4PW+yfB6fJRrKK0cqoJnUslqd9GHYyIhzkeO3LqqHvPuu
XEcem5nbZzaHERasXd6WwDMSx8hK2DFh5t1WYJYdNldS/exVuSI6duBwr5WQ50LWy+Nq63pvl3mW
7tpMB9+TVTm7yfTS4LyUS3PTdtRkcFlDSSJe0U0Mu5Vw+jgkseNxLFarYnTvmfcVMZG/jH4w3oEX
+U/j4Hd7S9veSQ0GC8KtYd9MKXvy4EBXxnVYH9WbIN8rQGMLKbEcS68fJDExk9hC7Vexctv5o7TD
bKf9nPjBtioleYi+0wMs7Xhii1bIh6xex3TXzZN7UH24sgWt5I25kCxYqKq61yim7T4TwgBRY6gl
Whhnk7repfow+V519tT8NnXEYF6npTMan9/dtq5fOuCJW/eXaeHFY7OwE19jJjNAm+ngWpHrwqaC
W8Vqs7UEF4NqHgwpK1WTabevUhjNtFciM/p9JQmUylLwpMW0kgsgc1aaI532BcG5Pf6NqA961q2H
gYwxeOVFZyf5lJbBWXuuU35NVNt76itEpq7ujJuFSEk3IsegXKOOxe46KsV2sB2jA8jD29XFtlOW
zWE0HOAGQljNjgjncsMJVuQXP1T6UDJ24QEt83YmRHl2zxj42t+GC/kn9XrjV+FoI08yWPRtZBjp
fCH2yUiM3K/mmMKzKCLHsGTcEHmSNG5QD7say9oQFWlNI8NCnFy43dwBLIDI5x27vjgzx7y2XrNN
uF9ZTyhbOAbj1a4plwdI4uFrKVe7SUbdUdtoSvWtEyYr3qirZ7Fylm+jwBKpMf35tY8IOs5ee2sT
SvvDXMcJSpJH7beM5oWQbk2+5ZiTcllWTt3HjDlZDm3xLoHyrCp/n9kr/jonaLJj2CzWfVvnFZzZ
YJ8FQ/Vdq0UellWnd9SfvEmqnHZutX6T+qfDJwzYnjg6PXHXxz4bvM81nfopXntt2YexFFCEVW+Q
ibltJfhewyyqu7Loe7ZTGVIvvJKk1+7zlq36jtb7GGpWyGAAZDhMiv4aQDmIzaZayy3jTk9jk91l
0GhalxSr3Ur9tOzCULq4+dhuHvfDNN7YjS/VgZ277TcUl03u/+cG0oKL999rEn+3M/6HNjXQoy15
SfLjKg1+sBUIw03L9PauUMW0Lyx/3U2jPZ1dOw8+pqUcnFh203xiFDHCGCjoeQZee9/ftBlLOfTA
jK6b/ZY7MSOo86YjV9WiTlh9PdNtrFnJ01qtUGWtzagv/EIW82gbqdfETpoxA6xGawZDXI9G5Nd1
w8zBIUzBTomx2GOQLx+Kqut/VYZDlmi/CCMyuo5CIR+EAes4tfEZOeM2vdhdW73lQIfgIRgBEDBu
gI9+0OC+0T6WU1vJBodkIN7TRpiPvHjTbTvQG0RFgAVotPTCSzjbwe2kvWojDhGZKHY5RcmQW721
POfLZnC4WxUXo4cUXJVO/YiBIHytlbe8GJwwL4uX5kff8LdlJwOBHRTALJHrVurycPmePDW2yi8M
/K8VaN9IL162nN9xdf2zHWL+uwTO2MadbvQfVbvhH5IelzRir8+7tQuSdS8pOxU33WINHyzI2Gtc
hJ04ra69Pk25zeGTSQraKAxdne6crZs/nXKzj3VXmD8VM5330MVRrRZw0/u+qNpXrQbrw55tetbC
L/aOm8p7wUFXJHPFCtT1ZFgqzJGwlzE1nZUMACDLYSsVw6pxeWuDLnwcXWd9o0V+Sxf2lJPMr6rf
oZzdkwxG57UJJnFXDmudbIWz8hHWQAypyYXHyF716cuyelDGAs7ji65LkymIm1qsAHSmothdxElm
oVPHNt6NOuq2HjW2MceboLP0s+k5KtHssl1qehSIgK5VuvEoafOTTjhXdWM2NZm7VeaZ+wVG4g0W
MQYsFAU/3TEvf6xBU1qRmXr+R1o7oxMDzhy/EAU6uuECse6EmI8TBqyN8eYbo1tHfGg+jt3evLZ8
IhDljS3m6uAgvK7k/ZrpqzHa1EgE9013M8OzBW424My4JTOEdrkzrZWzsGwmDGGOfk9Nt36URWXd
dHWjzrrij0U6dOU9hETa78Cid7eLARKr30ziQ8IkrHDN+L0d+ZmR3YGXqPjsS53euFBVTymI6gdH
6MqNVTUTbEx9W9xj4lHPY21YR2XZ+jazHP+evK7iFZdwMHGhdLxgvWGtp6UEpjvA4H5UBbVhMtPd
/iSYrb7zPbI8K2o/hIsh+OUvZfdslgsBvPNaf/itQ7IzkV/tCysX/Y50VXVlhxAorHC+ERrFbIAU
/n4gq7dZOpEllpH1jwEuxN+s86Q3DKKLMlFpO9xCl7fOM8BxStO+PqrBXwH6rcHvMA3TF1f2I2pA
v4W7iQT5U1UEFmG8fWO96ElM96NVbG8cqSryCQF9J3TAf+d2Ht6IQd9kcp0nPIStkQ7MahbyvsMS
NHufmz3kBBtq3OyH4mjQzdm7iWs3ZPW1zX815iT3q+XKPSe5tUAUFJAvm6y1/zjZML/hMXSdREor
eNMCA1M89CwcE/M6/3LL2jUixbB91wzlSuywL9cf2jeMDIMVEo2Ri/BHuEn9DXiXBn+maIu3NbPu
Rnu0v7Q5D9E65myO114A2mNkuuhwYdPq+zoNXwtRuL/DaaxviGzxCsJcZPvS2ZV47ZyppmbS6s7v
p/BZ9PPCd7IU4S93ALmrVFCc1Tb6e5b7KIHLQCB0qbZOv12zkhsBZcu473CU16e55E7d9W4L9JBp
pPfEHialAlF4+o/ODe/YW8NEr1CJnUQCvxiVql9LXfgqsdexeBMo7eWOY3CF/rmuKbWmgziSljUr
96NTSHoKYyK5W3a25hY0ez3S+DUmm+EV87U9fvfgUuZmURx6Wq9hN6MUvKpQ28cyv9YglQLMFNgt
rZabrg4BzEtR3tqZtX2PUrhv1SBdhJ42LKKwKodnMTSccPlmkcxtWKl+zRsjuwxy3C5apCyZ+rpe
T7PTECfK/GRl6ZTaI+FX1N8j2BS39uK5ZUSGDqBob/Zqb0cGivPS1JoLbmkKzU3ljo2VlAtkZQQE
iHORwAJ2sb152xMvn55ZT2p/+VPlxZbZmuqGw3CFOzmSVZ+kyBeHtWq7Lq6GzDkGrTE+t7LqugiH
RnBcvFBvuNE756ESYtvjqBH3bes3p7of0Ke6Lje9yFyV9d7ZeGAiUk/Qs6pwjVbW0GL2EtKjz5L8
yckd+2nuq+q2LbqBfD2zOVXN2jLfyYvbbV2845qnYIfaqsY3blandRbmjZrM/l7NpnXMx76vEDOF
/1lLxt68A/W6QwVYMRyMGGnHQNLc663eqB+6juMmwIJeTNQMWRH6503YQbwYQiVqaVFDZLs9W0Dr
XrW1cWlWbpBGq1fkH6UHgpfmngd5muysuy+6FnkhnxqTpXLPKvaDI4PiRFBKe8elxnKjRX2DAMdk
tty5uSZqPVW1/QljoDlLMxBn8pSmsz+xB6XFltUxErrz3gZ8gS41NtoYKtnElbDfYz40wtZJSKCO
JmE/yeatuWsbKgcfCt5rQXQJAmlvW33CoxieJM/me+OGVBkd8+47o5KGiOZOVvsKi+13nSrvCYxc
tgMjvj0Oue2faMoKHmdr1XxG7raSqz6Qji6rGW9GtQgfwxvrfbRt8k71Vrubli3bS2Owvma5FA+l
ESzn1auRqnvy/e+v7J2fCsk43jKMPT72q/3mTO1JNPW0clKx6wjFnKAnReq7YrMY+HXtRMShmceR
gGWaXXPcjXJ0qXBnFvUcd9lPqywORCaEPya+p2fVBcNzaLdp5EM/eW+ZuxwJfZE7T3NuBJX6DMoq
eK2l2RFHXfcywQ0h0rg0c/NpUNK868IrXa0P1Jkbm1ttCG2KD1mLqUtEby+fm2sZD6ro12JXs92z
68IsTZiMFEWc6yL8Ofu4WeLNzATB8ptIdx4iYJP48yLtp8Irx+llndVE+5Gam79bVzhjqVuua2L0
bm5HuTlmAhh5MFMydkKWh8DVlg9yeNKnSbU2KUdNZzlnsYzqs/OF0T/D2y0O+aSa383fP/pmaTMv
0bWsuefaXM9RLuAFs7U+G89TZo5DzNixE6+h4TjTTk+MnHdOLWi3zLE4Du447QIrFc9djvplbbnc
IlOExW0VhNDIA+YZkQcdK6D+cNESNmxhEVp899PprHmfApa8UAlYz7oN3HhFYtsNgdQ7yjNI1WgB
l8bPzdu1L0RMcxi+T34GToBv71g06Na+KvVRIEYiERTNb5as/Thv2+apnmRwXwejPFhbU/1Y6RMH
6jXVv65TNTxURTv+8G30HoM8iENje+pHELrPBnX83h5y99RbBd4Si7vkLLScP6WkjvZleZfnof1h
jxw5qFVGXFpz/jHpjqmOXNa9sc3ru/IYbIselTHKODXv/SLY7GgcAkYs02yfhLKzV2Yz4as19u1+
YEHqwIIZy1/A+8SFqQE2Jo8E2CISc7M+Vq4SX9ko5Du4ItVFoOc3bm+CkXeNXRav28IGX6mz7hvh
nbsKjpTb7ZyJQUGhJvfea6/PBSw534i8tZBdMhItct8y+bgMlircXTeG/eOqxiBA/TPk2c9tEwUH
0wmHYGbp82bY9pm2erpjMzC/DQeMMdiTdIvEExqKTJSlerAKM3hiTJDeNKwy0TVlVvDU6SU8CZcA
+Nqq8h+ttvXPbUuH3eBsCnnOmvZzaTtNTGacfmV/cwB72+ZvnaHkeTKseccVhMO/H8S5QeL54v8b
EnSQ5qH2mvDiSZioQuUyIYy+/MoyN0Uc8crEzwIW7acsO+U8t4fRqVgjYbhaRV7Ru2dnnmAdmE1I
mZf6dVTrYrv0DQdInEPdu/MRpLeIa65CW+Uj2fWM1JqdJhOBNf/NgUg1I0wMZt98Fmlunns16mOr
Qu+2XXvrtlQF6xoqmE8BsdjPhVuQpuJDjtLcl6r62fcZcHBRpf1pGjx2/hg3LAwnKCgembWRzNn6
8KoHtYiob8qBRoZBwh4pwf90lTHttqXzHzS2vxDLVlViC+qlWghTLNuvYjB85kEc63metj8XhqRH
A+NtkqOcgYmwJDEjq18XhN6Vs2Gx8GeHH+gv3iXzYaCOs2Ycn2omNeUiO3xgg7kekEaqH10Y5nzf
gVTJ4nsl6bCNfzCqynknSY+HYqtLPC88wtaeZ7HArdYggwiMmzUwwFK/yew6Q8yzzTiHuUnxJJZ1
eAz47d33vVHspLGuh0VM+SdNd/k6OXn1Huip+G25KUcTQvmStDkjRkRu3V5EaUsennqDaLKm7sWz
23K3tYVNSO6YPq+zZi24p+yGsDK0h3HtxU6sKy8YXoeEC6k4hpXh/eERbE9wdXFOTSGLgzwPNxmy
6G5xAmnES9XasUjX9UWG9ng75NbQcTEzM4iLLVQHytAPus75Gtaz5VSOvnne7MKnY0POyoJupdgD
BDQgRl6acuTVHK20O+ZWAxKmApp+p8bFklA+JutCy1WD1mrCPeZG60xKzfqxDiL88G098iZ5TUEa
tcx7CxrBqn864RZ6O4Mf7r7wyQ+icWp3TuEsd2qxWcR0Brs+VdwXwa7JmvExyChCTGuadnnmhk8l
K5KnRTjcFXAQLoJolBuSM9Vl0YM+M6lrXqWr6S0qtgqZ8Xp727reGKQURSrPrdjUOfH1VdFxhksG
/fa2Hux1yQ52UJtvGdcu83zXYs2AUJ4wGi3k/IjRwvIRor58VYRlkLvYl4wA/TY7BqulTw2qtoxa
ELlAakprjxRvPcx5W0QUT0DSuZ7OrBbnR80P8xDWbU+hOFfFAYqec1PSP+Jiq2mRGl2HZ1dxljGM
z04rAtiDgf3Njgy59R9tVZmP2ZhaZ/KOrVNtWuMlhf5477ql+qrbbilvh36dcSV4oziOjvLeqqkZ
fwrLsn8tqoRR7mbs0Abj+qMtGeHeTFZYWPtmHcwswug0XzjcUU6E4GIuMSRoPo+f2iZb4TCkrsXn
wXcLWgaz/Pe8DoTLTUWLm0/y5tShe43trsPlpWlCyK6tDtujQdQmMk8zP225H1gR0pxKcgEdqfLc
4GasJuukBCyqlNTvM1Oo5afjp/W+N1jBHc1SoxMIY5+OOBVTcuB+g0lgeK6sUO0Yh3WJ19vpH+2m
4Y54ieK72wJEZFEaHSrbHOznrrLsWA/ztF+dWfwWztwenbGeLqKdM2rrvnM+utK1dy1j1gdr8VoW
tJSy71qEmqPp28ZtPs36jq6gJ7RLoHbnKhzvsU5CzQhWQ75NpOjwlK+BcVSF4R0mK1tuzWwu62ix
WrBsRVfds/KWTbsC3jGPFfCUHimdAXEEELTrI22O8xSNhWI01vRO94Pjj81lrrBT49UbpJ0eCYMs
we4Z14WVuJvdw3EoDFpmGTgx97z3im1CeFFGfCSK1so4YuW7f05D0Ty56LF3sunNXbVt7qMTliVz
hzo7UwAWZ0Zy+Y5Pr3r1iBAc90DKnlZRDTwAdbM+cfgNJ+rQEHnSqr62aewjgc8inpg9sua01daT
wabRU+V2xVfWNuJGsrTwu5quqrerN/d5bMm37ZAo94FYA1BLW/pFSMWvzFfjTpozdW8zMcCjjNiN
+ZCirjfO9eWdDiY7xYzgmO+rYq72PNUogGUzJIXV23t6ZPq2smxXSrk2e2MNNwxiHYzM8tNyeSEz
WT8QXMvqce1ieVFTbR5J4LITOyDRw+AlwrXB9P5Q+csIubKp75ThZbelH1RPmnRSVHhPlMwN9Xwz
56P1XBAInsZ5I9xYWuj3RRkUL0XTLHe16V2ttz16vOb4ePJsjWbTZtsu11UTHJWJgAs6pufgJEv7
2/IC/zRbraF2xkYe080aVmnUcf5vLJ33INQrZK9kqdBfLGslxIbsrfHIYZebtG1mQ4RnasyXpvUI
sB0WLzNZ87L9V49p4SvWkvSOvsCeY5kbP1JjXPZO2hpHxL7l6KS540TzJstziRzJxdGF+k2HS/Uj
x5hw6npLXWqiK24t5bt3QctiWVzbY73LvCw1ImbsOArbaiiqqPeK6oND1Rue7CltimTxyvBg2lzG
CVG5rfOrVZlKarNjQNqSiztuNjisYSbFKW7qfjETNXa/glLOAsgpO+Sus6Uv3oI16n40WM6w5qUY
XhxyAcJ9TvkGKspEYTrMQKT5O6AhveyZ/4b+46P7J4AQ2hlbAz9dMgZhxo27FT9sTuFsT6k8/rYw
5Nxbhofq0vF6EvjgLyBemU/X+dtIZt6FAM0yUsKY45a9x4hlVT/quFxjTNTypHFr3nhMyfikLddh
xC+Wi6HcPB79wXN30vbC5rilVVrdUKzqaolJy/DT7HT9wGrox7ywCVMyOmh6GsIIKhmgvQsru0jX
T9snyym6VwiidZ74Kg+BO68O6zd5V6o6Cokz+KLWmkwqDLWqkz0hFDCvrJCYZz+leXUa3+GPq4Ui
aM291Yg3avoJEhBbXHbZpK9LuxYLPh3PXQ6eqdvlnMkq66KMNDnjo0OfOSqbkTb38PyFj0f4P9uS
6UCUhz3Ytqkp3JIbL5vGmN+TEAdGEP5vuZqBuSMft0JesLt6O1g2NvdN5ZNIik3Z9xtjIVSUKjfX
yOszsRuFUDfarbxPGwp7y1UatHbkbIAsUhxFj9Waei9D0+EwyTE1Oa6l4b9N67kJWDAW4dX70aEe
xgFHGNW+GNycjw63PY0l6WB1ZloHM/Bqhkx52TaI2um8N8uMFQVW8PDZtMtPPrBgryblnJvrrpHE
dv1rWUf22Rwks7vUX0D9Ue5qc9eIWf5EPR2/0Xnbn0Xmuc+u6Sg7KvFV3TDSwRZXDZzaveFuiZoy
CnT84W59Vxda/5FCh8cOUQZtnLyLX4W5UewPdpYf1GCbF3afhmRApONSDrLwUPJgf4QkXsp4Dg2R
lGk/fbCyVt3nWLqeeZTzu6GuzJ/23AVR52h9sVN3vbcc7YEXWFaVwKSiF5Gr9xwYgxFzc3h/6jHb
9qLsJHdvZ75s3Tbtef917HilfSsob7/FeFWW/MBsfvTBOvFQMbXmV4u66mdtcAbqNf82KmBrashH
psxIBP5YMVFOu747YpqRnzM2nBtjKMcbEeR/mEGltyvJD1bEmDN7Zz8HyHvVlEEdj0UFC8Esffez
dx9EdTRakgNsF9IIw1MVAVoGbyqt/gaNIDwrO2AVtJkXipc86EpcQm6W3bD6sX0tQb4yhbRYU0FS
fx6Adt02WNC/3MlofgpGjQRzF72a4xkbfGQxoblRPCJ7iuhiNxtG+MgLGD51fZ3ey0kM8USBt9er
1Sa1WpGvyeWuQzwfGd03mQz+S1j25UNvdO3nYtQooFvaMf9Jx+6xpj8R8cJ+mfMPa/3/F4jupWv4
3/+5/p3fOPYV7qLx70TQf/3T4bu7+2y+h//6h/7T3wEj+s//bvI5fv6nf9i1I36dx+lbrU/fA9PD
fyeOXv/k//Zf/tv337/Ky9p//+0vv7upHa9fLUNH/I80uevO9P/DFl2//D//2vX7/9tf9uq7/Z3/
2wFbbIsL+h9f8fT1t79c/9o/GHSGa/3VA/RG8Sc83/edf0HoGNL81ePWCaB2ul7oONf1sH9S6Fyw
ra7vhJ4X+iEY32uk9z8JrPZfLdsM4LU7VhDyDICP+/ef/+EfPuL/icBq/x0b8C+/MdB336eAMoE2
C9DJrvNf1jvkaNm8ISiXMiPo8jQZmz3GqwjgH4ZskIlotRWwSrvGVBQvuOt+OioXE+uWVQcQfE43
BprrUiTjRscb951JhkDmZNnBpR8Re0io1b4ox5FSyt2WY8eUWuwGtQYhWEQP51I/Zd5nvoKEi0aV
Z/c4UK7PaiA4DLN+NLglbEY3WE62zUqmdaMcWNTwJwyG5m1Go6fiSvvRPeL6xys1q4ZDpGmm1DwI
jFf9AU/AVsVDygT5edKWd16GedDwGUL1k0ctH2Ncu96jJO7n0cuquTk2a1d+VcYqnypMtj/xXs9L
lM25fM9YNZ2iQWOTvPPbRR8X05EMxXK5fjd2Z6KdBJ3/m5St/H3EpfDkOhStSdORFH4rUstwaHzb
LY27wRWvsg4JFxWVcfVYLEbzha/Ua97MjDzeN/zRlkxSQ3g5auHsvDCn026c+YwpI6B0UxuluIlQ
aj2N/xm/iqeiwLW94sFsrtyfivqR2WTjTHyK+aydKCgnQ16qIW/w16lqU4epVfTE6AryjDgvv2zT
NYurqMSGE/POQNGJ1TjYqpTbd9czh7hDpUJNs0rMAWfHdJjgTH29NefCSsFpetuElD82JKceUjTL
+7afBz5OG50fE3Vb5jHmu/ErZ6ajbnGHAU+3G0e9r6YBx95exJcH4LyJPN9b32idsh+1uZT8NEHb
yJ3dC2+K9EhtEDlNiLCJzDQQhNFz+l+EL8V31sq2ua/kIKx9XpD8yYXc6PJ1HJxBYFpp3TpG1t90
ZE/8bnH8FdWF5d4St3Lo4yQc6n7ynny/x+dkGp55Cn03szBl+rpMPPZ1m6RmXy9/UV0ZlDO62bro
SPa8Z/HsTv27as1GRJnK9C+7y69DjVkT95MWq3onScBKaFFHRPjGCx67vOiMvTNvdfOIrpmBzg27
xTiJWix/1JiGxbkeSgDuHGAj8AUrdfybBh8k6SurhUcN6jOGna1uvXTPINeQkYL/VMXNpsn5cMca
wq5V5+PVttqmYywHebXZlFlWHrasK97N1su/ZQswJ27x1kGL9UxgHQzalobPyulw+mbt47gpofcO
kx+epornPSl8gU7Q06AHux4p2qG1hs6XEAYv/pDd03OVlSNW1bAM7OHWQ4X49K2BiBhEE/VcLQ4T
6ZxKpY+FUQdb3E7YjS//l7vz2o4dObr0q+gFoAWXSOC2UL6KZejJGyyShwc24f3Tz1ctjf4zvdqM
Lmcu1EumdZqsAjIjdnx7RxdhmFuZbA4yiMnUWeHaF2ArQz1yNyrlUDSbpR5vRy1XmzERJS18pvfX
uaiC1zIKaw0DSOuelN4E9ZKTr33MagVY7JlW+hgC75FYYI7yJYSgvy/bzLzok1bfsbDM8rPQuU0i
tCwCU7K9olrW9FIOPUvHFuCiqZx3Tsj4xWub8YOyxnV3yPWMkzipWZxrjXE9EaYS5OfB1fpo5Qwm
72aYJ8MFMMqwFsroAttX02/FRW2ygHjWhEeKgRpcBpdm2iGNJbnchrNDZGo0aWhJ2OrxKLpDR5OP
jkDbQ/cp/22v/q/u7//Lfer9d9129fc/7j7K5h/rLv/x0XJ1/j9woxu3EJc/v9JP3+VH9utV/tvf
/6+73HX/yVDL4hIncY7b+uaO+tc+WVf/JyQKa8XN219c+/a//PsmZ826bTMMw71gg0Lrt4zZ/32T
O/+0bBfiSTiWafFN/3frZPU/9rkKW/+dwT/R1BS2Q1ID24n62qiqO6Nfq13tGfNKuJp21Wl9GIi3
vTIWMY+btzG5ZTdJKLv7ItU8n8acwrtWwTaOmLx5ltn9VPiQ8ApP6edgdazcTNm/CoWS9N8ZOvVK
bxXi3NCZjAyKYa2kZwJe29FDFSTNKSr6dGFjpOV6MywwR9Zw3LkqCB84qeZVOBv6d0qTvyTfuK4X
tZ7KrVXE6dXTFXtAKKMf5zIpIPrjwL1HrjB2jHLd114X5i5RWfYJ5Zy8Nbwu2bLSqmrtFBYbLVrl
HjRcOPoi1FP3zqw48UST412ptXw/jEwDAV8IkVKRvA9UOJ2saKheKrMgGa4dSFPyoTBzuTRaboKR
MfY3b+N4rcybdt51kfYmh4bpcg+pfariqbpz9F6skliJS8sczWV33QEZAq6DlejbKhim+z4ps1dl
ivApTisHVDzxhm3l6Tij7Mia3/uibQ8c3UivYHLxayBTpnm67bjswbTbIyxY+Y6oDldGMvlPq6u0
U2Kr7geGUP2YNN7Y+HEoULIws8KJM0NmJj27L9BuxrJuZms/gSvEXHhRSPy9TEx7WREX8BLYUJT4
flzjq6wm9VXgNdnNbVP+SEVJ+DsGDmINb4xRDp+1bAyH69Gy61XdNw9G7iqCwB9LAC44BMaqYAsv
t8QWZ4pwCeCwpsRj4I51hR17en4tbW9niMccS9syEcNtPDuojWRUtdDIB3LSdM29aiPvtyfrli4y
g+WF0qT1AV3eIqFZS634GVqWsYmtOPO7W8esMWPNk/kTzGJreGqjGWm9hEXHB0SNag7w1p193+Tk
EFQK0xmw+CpiGA8i8zEkCat83YsJpfYzyTWDEf+IBdwwbf3HgH5EPWf8hAgdnnXHbVaQf7wtWchs
hn+5o/FhjQOzEMyGA3jqubHq9FBjpxmbT8esF55NV9dq3kYOUkNkvfFH7/jvl2aazqsg0nZxmmwk
OQLv5sQOeVfdG3ZfrnMtfUrJMsj0x84CJlbRXdm5zi5Dkktj6Te5yxw376+G7sKbqOEyWEEKh9Vt
QpaJmFH+VeVMbwwXIMkIXhhm7iyIRz+KZ8fPJ7unm9d3tV6d6a3jfSTjZViINzcOf0gjOXd17fRM
Nb9j6TD3DQaArrJcGrJNljZmKUZTkQt8FbgYLbWD1oZH4hiQRlODX3q4yMhb0ez6NuazhVGjMdkq
vqnuV0Xy41PlafiiaLE37PfYNDAqJ9HH/khDq5wSmWyGupbesMwQpQdLF4tWugn4EU8ivBa+/Fi9
6FCujaWqNRRrsMhKYe+UnT2YVf6zy54Gd9Z9eHLgNBa+USyKi8kEiDGiYa8QWgtIPOyQLIrZUSKg
xfLWPUog0csw6zwg47eDCrp35Y33y/ILdjJ+ddiJMpYudiv4Z87YVPbrSHXTIu4ssB3NL+rw6sq2
XMfaqDMcDuXPvJ2hIaZg1VGHLgWjjhOV04cMSpRDICP3w57KFiGo8MitSCIBMTXa6urUdfcx2nxp
jHbr82CLcEOAeHLSzRK+KSzn9lAatr7sSyPYp8UNMtfokZ6KXmeEyRF7QEs922Iov6Zhtj60Yoi/
ZuS7bwvk6hLWjb3DtDKsA68QS/ISSpLyhmfRas2mIL1kKzTjOSug1j328S1kogkajG5YMGWv97hH
cBNMY1FhmbCdn+5oHeqwsFFfQpulpnqxAnh+zwB2W5K+KKowERmWCvd5qctVNpJAZ7TNybVA/FvV
24+lV3ZX0x4P8E3lJR77jw4k95JbbuFLPBPQWkVwDqSjvoIikF+ZYk6zAHKxT17Cq5oGJuY1TNdu
7hsxyUiulhTXccqZfYTJhLG0edSGfvLH0LhC+H3NFLDrSDB1EpFjPvbka9OqGUg4TEYp6dN0PGam
GxGGOstXYhweYNUGA7ivDT6AAWk7Eqw7fQIMFWLmKCJ4Xq4PjtQQ/qaZXe4cz8i2Kh0ZTahh4wae
tTTAxgfcfXgTllMkMTcFkVN/lg5ln8Cgcmh7e97lmTswT9fwM3K52zx882CUK46xbGnHHeu40qGz
imXKc1bXd0bctvxB/c42M52B901nTiqWsuedD+17tFTrnLr2NStr9VnUJeaI1DZWegVLPOq5YJzE
eFAq7FRtlq75KhSXcc5sEZcoypzGqnpCbChKMcCa2rke+UUXutUx7peAS66VvwdGOudL3dbptwEY
XpIotVwCVyVXgxcPi9wF3/ZJqGdin9eFb7fEDc9lvQpFdAkZByKahhgYAr8Ns3wTNcya+1ZIf0xy
v3Ka9ezWr3XaLofR/unqI3Ni2qlV5DCjsef+aSiw83VzJe9izQI55FXC5uwgcAPelhZUeUwxdnAh
LOmLU9N3mnnCusLFMd/+VNS4lC5iXZg/NNn2TH29Dywmvu3kYlfYDt9hN3yqtDrS5EtmJxqRNtnw
3Y+AFotaQ0aJ22FlDpx+sHMxbVlvbi3ttvtwxFkkp72L+O6Bz3fS0JY2kHjjmOl6CErPtyy6P00w
Ac+8ZRRnO1pnwGvtfXSq/DQbUvgxNcNh6mk3YVl+StNCv+7wC1rD3tJsRvLJHYvaFswn1aKcRwbB
jv4lU5zSAAztApXKjwX/xhisaiWt5uekO9jbzo6o33plXUY7nDaFBcsC8LcI0GgiWanvtmUoHLpL
zqIYtKl6p8hpDx1Em98BCZDDzEh9toa7rhfplb2U+sRQhlYXETpCIJ0egxRoDDwYJrq6axiGvsZ9
t7XGe4OxtN8FX1EVmEDLzqodXVJXcBvjs/Dtpj3lWrS+pXuGWb9u2vwlytH441w9G4L+VOq7ybwA
od9l7bTTG0ffJxUeTb6WpaBtjnXlnmzb8QuYXsb+85UwnOMUF4jU8tK3eGYZnm1x9CGom9nLrKXe
Gi/FTqTNnRs7BsxUG8o9mZuLCrxi18MXjVQAewlu02Sa/ZDP7k+TiNKsfojcqPLzNn0FDOaEjoIv
Am7mla6O6TAm/pj1n84cX62BRq4CkfY1BhOdrd7dG8ZaVcJPdfY83ijBKBAnmaXGAv/dMtfH10lh
yi076MnbxyTMJFs7SlR3uKXsU+o8VFny7I75TmgYFKo4u7c6qF0nMBagXmggjTbv2Mtd/9BicWig
3hddkD/1sf5IfCwhGao58symFF3q1fXihCMAF/pEY85blq7ttBi48lgD6Yj5wqwMX1WBXQCBIV94
WspqT5W9SVbKNT2mV8dumNwO5sKYeNPA5LRgI1Rk+1NSlas0T05DXhxVSVHbjfk9GiBu5ghczX20
uoFKw3CiB9xt22Qg6pD81mUTF7zRECFd/CNxxaWzdMIkHLJc0BmYEi1wJXlHo5w3WHWXjtFdSD06
pJAZEYT5IuhDY8Fq2X5bpq1bLEOet2mGAA5DfOqhWfFlOBreIJEsIajtlRhxH3n9V8JbtRaynBcm
hNVGON2udsuIvmb65uAnVvgAiJztumnaAyJTU81bRW0ac600JmCUMPTyQUyh5suUwTgw/14XUhz1
sjh4EvYvS+6JZpuWBimLGQ5tVmoeEk1/rCl5zMr6rPqaTqEVZ5S0YVH2TNhn4xwI/DF9Uhy5k456
UDxr4wwda7p7ZmQL1y02OBG2UZZFPkGIZ904x665A5u75onW8I044PGdyctqsh8IfgkDJ95VvfVW
TRO9a426S2ax6BH1pNcuhBZzTtflo9MMOBv12stPPStO3pgnLAhcoA3rh08eWO5h0rg3cZaSN9A1
ay7Qn0x/W5/r8ZhMccuHHZ60EcTV1V8ppshNcomYSeKOwsfTh5Ws8wcZy1ORm4QN1UX63OPM5D0x
bmdSwuMwZ7iLC3OX99O6yLVq59U/aieA4zL4quNofpDcLX4QPIPC7THl21uVPVojkpSdaQUcNjeL
UzZINczhgtSMsB4LFCjXdL+IZxjfO8c7xdo+1tpxaZHtPyvraOr8OG3bl4ji7EuTYUUB1NrZMkrc
YS1bAunT4omFq1Db5o+001DUWqJ6LVy4WmVviDt9yptbGeJVa69p251biATSNrjtMG0f1GBFvGKV
y+fZmaSPO9c8tZKFGbfnoom/ZKtdWTa37aVQG8e0ogWUigEWuak63R+weWTw8EaE7MkoyeKDUP3J
TIxXNvxUvmUWxyJpv0csEyfSLZKFbeafE39LG7Aoqu+Dep1q5kbzjNfehBXiYW7ujTAed6MOeIA9
PcYjznJwjsj32HPMVTGG/UW5ar66EY8Uo3DfqQV4bTLjzCjzS1G19zFp5b6nusRnnd3RKp1615dd
vdRy7VN10Y+5ij4kfIev3XRl9jgwGHXqV1mU9Ws+yLNyR0zA1LzLsPX4Ncp04xjZEXNdwlHEalml
bHR2T3ustGzaMgtgmAHNM3jldx21A0vq6/HAHEL5AQQRi7CNcBNmGAhKkokH/Z5vXoERi3glQAez
hkwHXOMuBnAwDx5Pdde2NygbGxV6RoidGH3Aic1dhv8k7ytzibDx0KCODoBxG01rUz9p+0MVqK2T
hI9GrcrNiEln05hKX7qevM5UAgkAUHMTB71zErp+2LlfIfNPZJrkGxMzTGltrwwTUUAP8y0bfS7K
G/xuoqSWVF6TzfzFg+cLi6cePmIB0LQJo/hQJRn+DvaKL4DgoE9guQfWC1OSasVimOwWSV/nRTXl
qkwmP6krpgMeXJQU3XLWa2M7g4DklaTtrLJl4ODxjXuo2UmzYTT62DiWkH+d1A9KEBOg9eGZ7I71
3Axw/0O8mvhWF3X1UnNK7wYDk3XkgMmEZfDGUXuyveAhIx0ENyHaUcqFYdZDy1+iM56/19wcL4wQ
UqTToTlGGJvLUv8kEOW7K4iinSfjhluQp0FxfjVyeCqZuBQbgiKTe3Wt9W13za3qhZHJkxtx6zp4
uKsAaA/XsW5QW7XI422m1t5oPypYbLNk9dXQtLyk0Q7H7MU2m092Aj0laeUzk76glnV+mOJAA5F8
ZKXAtTarn0EADlhAJvqMzAsO2djXSPpYayI/VlH6M5VO4YeWdm9pyQW+kSddEUUiSDRwOi6embsv
5emxo4D3dtY+B42zFk/hzGmc4UTrhuarMQb4d2Hjg42oR4W31meb5IxoxT7IdWBHPxPsEENLagyp
JU9h3bMPm2K0RF5ZdAXdSTlVz1ZsfmYuN0FfsnyFEMhkxa6osxKO3JSVrhMEGZgdELoWXSG8iK/x
qB9onG7eh1d+Yt/q1T0xyKsW7w/hzfU5iMp8b7Vx9dIT/rMwGhcRqI3fOne+TFPRrGrLeShCPsTZ
JJQgpggwI/FcjiONxySX2YDo06XVQxJlqyiIX3MnGTeqdh5rQ97lJIYnMbl8pbrLxJMthbtMVf4S
1+aOwdx3I9iUrdXnqE1xTMuKeaE201907UrT7DeV20sNUh14rt84SePDZWarjEdRqhIyoNgBbG+9
xNJ50K2VElZEfRmSQhFi1yFkeIHaky5bqScv9e1wcexFIMRLnDH56tNoLbVy1+Qz27rnNQar+x4j
iT8FEYwjCz0MPVl3dgp4doMSgTCN6tqF3R0tbHFKw+FcuDMdB8a60g7TI7oAn2t+qO2sISBSLquZ
KPrMuzDdIxJcDD7oXL0Yy2RcCL04dZp79lgNR/2cngPbjslcDbekJq0zG7GW+ynVo/tszl/scdTX
Tg/RjEkewYVt9BN7kH03B96kR7CSuvXlEAwbWAECbfpQfxibl87JtzHEG0MNvxPsHVVoP5M36jie
vhDEVk2CV4QcE3kZcFvj/xYb/GCbxAzctVtTqPCo46o6e3Ny0Gz3CBt5pvEERRc/4EUWUWo8jj1e
dB3bZUQmB/vBJUX99NKFpKoAQMq6fHAkWQSyeIHZeCYJJiFOZ7IAzh6grRBg6f27IN7g4pvWid41
75lhvGt6c9CiaGVpQX3bc4QVA38UqVLWkv9wgZcKGWpNj9kwnfu23fNKHa05fep7eNFB4nmNS2JN
6niRTsVB5O4JiHPjOIB5wVwa16noMCUQ3ST69sBLsWSXgI9V75k4cJIhNW1rJeUlGerXpKRqM2Td
baB5IgY3QXkwiTtII2Q+YZOvYz3oAMZu554rjXGgmRLSmn1LvNnwdCL1DTSyrKK1M2+9cv1els4i
61j5npjDRoUwbdNJYOAKQLT3UFTzsjJpoWuT0j4UNaGiWbVkB9TCdig+5yE+SYveT5E2r5rGj6rK
T4Z07+Y2+xWsm/3P+NIj7dlqcxzgODCXuuV9x4y+FqCgua/3nHV9mmFHbrp4pRVt+YK2aCVFsMTJ
wIic6pxkmWU1iTfZt28ZzRKg3ZAeg5FsI32uwxPxEVuRDnunmpN1TIzAVBeUWf3s26qxtkX9YIt2
b8TZz4H4iidHd+q1LWS9nWe+lD71+ms+s45riif0zqaqV07rDhtP0awy3z5IU7a4kNOjFRjbXL6S
g5KupgbufM6+YuIBZpw2LL8CzSKlSnOolPC3uCJ4y5QHy8obHusfXhY+6v14dPtgreb7zKRwJMRP
792fIZU6USPki1jvZlZ/5Xq5juZ4NYpmlQrtRdRy55gOTgMSRcb+eU6j3ZwnPya+20lQrrTRg2Ze
Nfq81pYH3cmuLJQaF9gBjwBsx4B081I220RnON0aWrLCJgzWAxTIgsZ+OuhxaN/FDrhcjcFC8xCm
pufErEwfwXrg5vWwaCaP5K9emI9Q3roMBQKko5r2DtsInv5xCB8don2oIDhTUIw47wQLyFjX1OXM
mvWUMjZgw1BmrR3LfnLYZsgcxbiko0b+kF2y/CVqhnXMqqQFawyK9YSkuaqmOzN2v8byvu7siKxj
fhxseV/c3rSEbciwvOPRha0/ta22SIX8gN6HwBzEWuopyWmII7KhLml9U1PRxrWFBWWonxqerMYZ
H2jgznhC8ApruOaFW+wwkK28mNpV2GZ4FH0ml/WovXd1etfHSN1a/IOS8tllILVKS56ZlPptR1gU
3p7RJLjV1PeRummgtbOIrcBZhgQfLQwGBLH3bbqcTTJKtmMUX52x67BCG2JZaCQdoH4jE9c/W7QO
jZtz2dtxfsgZuYz4sGKFJQWck9CtOS4PXkyJhhBNhct9SdIBAHdven5Nq+0DFMPGRSTtdb2zbdxo
XejapexAMYomQF8d9W0UYCBIKvDG2Hy3Ol6c2dKWETmAohLCH/UY8MZoefuIyqFumRxNv+uFaLbK
TtBzktl5zCsPW3VMkOtltAqxm1B4MEcY0x2e7OJDNIhoHG4hkXONgcWocxTZIx7J7wSAjtAHRXJA
IroO0+DpsMXSGRH7R+cxK/W+XWqBKu8wU93yDvSgb9e5YVc7zh3EA7Nbm3H8qSYcnJ5oLl5XREsM
R1/Y/o+FIddjApQypvOdoQHY9WxtaVynPM3IBZ94jfIL6QEhr2fiXkO7R7jvJqS0zK2I7erDLNkw
yee7Cs2akEASxMhlizCf6LVq1oERm8uCFVB7RZSDpIEZKUBKp9r0oR2d86nTH6LIsjcOwOg6nwuD
FQKJ5f0ojURjdINwXbfkChVWiC2RxmsVSKziIzayW5lhrOa2w73nYUeJdIY/JXgdQjCIo8+2gPp7
ihmB4qNrV7LjZ0zzTi8g1Yd2i5Xb3A9ZmJ6kjPV7mfRgGIMr5l0w57R+VPZB7KddY8LSk3W162en
+wydKtvhfqJp9qrZ18NmFQiCdnSNkrKsZh4bQomPfKLtLQ5MmGuNbYajP/LdblvqHBOmqu6ByVn7
CNUonTD0c2LWN7qI1RlLmXsMNOm2fgh4/XMMKygM0BDJty2Tp7lvVOzbHR5hqk5NvnRJNeCLBrKE
EqK9nlPP2qnK6w9NTW21TgKNm0jgQskXM1zOsQoH6qZegZoFIYFGnRu/p7PSfpBPgNAS1Z2ztmoW
xgSGKteCf1xOpU3MoMUT+xGSx7VE/ZhPoozmNZNaPGGobrhDlDFe7bk0yXj26nXLK5JChwXNBhdK
eQgRgrYY9N7capgfie8uNpZHl8F9FeCArsaTSz1zQcO4+XHxAFtGHbJlyEZlEKWNiaOL7gdUrHPU
jURxpkhQPVFUYpFHhT2c6XUYy7EDGCq6a+J63hldG6Ko8/Z/1lEiT83UjRdRaN69a9Gw+8A32p2F
tgNBE5MeriVe/NZ6UX1nR252HozCPhgDoJrnBfW0TxuihLakZKgjGnsTLHQZa82bTGXrY2Cmqixw
1v0kysjalKBV4/pGQ8VbnEtYroIy6RFFwonxY37IcmzTUdaTBqLSlgi9eehKpuXmKC4cIA4aDRj4
yXSqONpmCjZpKUum2UNfOObaRL/YzLYW3Ouldh8wvyc/x+VYBPdW+xlD4POs9c2Li5a7qjKDBArZ
hzs8ZeNd7RYWHqd35VZi4zRGBJvUGt5DPFtqOZpWuZpNXZYr0cbRFQgRs79XtHa5KGpF9g9H/H0w
RNaFyAGn2PC2B+HR7gdawSEe0drdgcDQxZj33i6zgvlQWZGDzNjVleE7xADOa7dpL6aTBX5OzCqW
v5yppa5p06pXlSS9JvGyH/x3pfWV6Eh5dh8VmNUUa0xvFwPsVjJkAA760D6GlimJL4gH8dzRXL1U
jhwQN+Q07EmqGI+obO2uLYR+LIgpeu+0RiCJoJ/7RT6zvSIygrtaetYKm9iwR6mmioAG/1B2l96z
2bTsb9W3ewi9zH6tcG0teltpCz3Pu2sF77a13FmsUyIDn0GrHlxdj65J2ENJxTWKJ+enfAMYCIf1
YDs2E8Fcru2eSPyLVs+d9jDVgzzJQb6Rs6Z/d2jFi5gFbzfO+Rba0JT0a7XtsdZdKm+Xjk4ZXAxo
s8fZiuYnPMBrpyFvDm7kiXmlx4ZUW0dt1lCFy+k25pt0klZGTgVSsYZ52YzAEJ6w7PupLbSX2CZ8
dcgKrDlk9SDvJMTvKMuZXvi4ycS0PQQ9cq3Sg07j62cTMg4Gk9rv2zQ6Ts1M4FZn29abHrney8yY
Ab+6WkcJ8lTYy3CZo5a9dJ6SVxANXe487AdwfTASbJdpsYclg9izpM1cEaZHL9MJvJjM7ZNHC2x4
AdU1LmPLoHOM+FCThPFQo9oE7IAlFyyFStUS4oU7nFC/c2b2zWFiDcq1MYfmcSKnjaUorboLoomA
FHYy0dOO5VygHYHGOMQ501PhglrhiHZPZWpiLxrzArdbmc96789Z58HT8rzc1Xbd1tuJGSNeXF31
l3kikWgRyJItzzNs90LLp2GpdDkbq7ws6TYci+DOxBxtfLVtuwqr/Iq07WHb9VBfPbJ4AfQDlMBm
CizOPiYosq6Gz0CjNCQGpj8T5MOy1sApz6Loc1/LhciWnMwTWXhGKR/7Aovd0pNOrMOuhOUHy8Yk
Lmqb2qhQDXqrFmZtTDlRYZrVuY+sPo7jNTl8+MvdGr9zBK9yN9V9/yFwx12TzGBuhfndJokiGV6T
30ZtlnDDVUjCwJkqKVBn0+6cZmt6tb60eMQ25AbB1WhedJKNZi0RifP91A71T4cB1QLP73wxhd4c
7dEKdzrV6YpgLfHvbWf/FUH3/xcBb9zWPP45L3f5qD++vrN/7JrsI//R/B/k3O3/+S9yDkfnPz3d
8UwP/o1e2PwPOWcYxj8NzxauBJEXBq/9f8g5Q95Id2m5vDcGtbv3Pwy8If7peILeEwLTsIVgXfV/
wcD/2aqp36PvWoAdAHNVc3O5npJU+Wag9mmrn9LCXs4jZjhLe+VeO42iQ55EbvfMkLMg3BoBEPJg
lV/5GPjctdtfPsN/U/q/Btj/tqjlf6D8/2yssH636GYUrVkMcmr2SanvXa0Kl1FBzEzrKYKtIupx
nPHYp9VKI7Pt6Aqw8cpu9IWaux+oqc8kcmEvtee90RsfwNDhwtAInJaNyehYSTJN8uyRYY5cMyzl
QJ4TzqCC6RMIH9wRwkeg9H3WxW+2Ne/nuXicVXLiJ39mT3XI/KsetnnWhFtVa+yhcot2RXkeMpmZ
vwlv2bEieZnM4UUvikdItMdKdSepUkmvGI0LYrlfrYEgD5KGv4ZafzaIY9vkmf4wEdO/QJXjT2qd
8zw3y7/+QC0oyz/K6bd+l9MPUO1obTX2ew9nM3vKXJ/kbELeInw1HiBHCY1BtB0ZqoCRQUlkRvJW
5HKHbmmDOIXLvgGFYYy5YbvcVoXON7tsF6p/Z3yPM2y8tInQlm6ahWs3H9SOtEpUQxOwz0vMflVP
uKaGuSdQzsY+MVdEnGW284h+z1xX9teqkn+zE9H8k5R687aS75f4P0Rusto1r99PwXBh6Heo8wSE
yLrjQ94y5uZOtvvMx20mXwKL53eSwxssSbLqWcoCKF4xtUKRKcMHipuN8Myvzm2DzYwVjByy7NXC
u7ngYc9ZIBheupDB5V9/S+afJBfejodff3R87ORMaXq1Z8fmdprRtsQ+xkrhuVjrLLBSO7h3GU6R
mc4oMnvrHf3ZSVuGStEyJbwBtSTz2VFGVmHFxGLgoV2g5Rw9iz2+srgPx+Hhr3/UG7b7Rw/Ubwzu
L58yttNIEJBW7zukACPOl3norYiYWE4900vaq69a8Pi4xWNmJQ+kqFFvR6G+peLy66I8EvA2o0bK
v9mE/Wdf+u3H/OXHcagaDCGAW1wLBwjmV9HxZv3dEk9I5D/+bX+3+SCPPOZXel2T6lkeEROPzMaG
ReWA/YubeIGjoPXJn0KIs40N/QS3ecQaqcxUD6FCXyb45xzcUJGGJI4wI0VPsAGaBI03PUsfDLPZ
Fon8/uvv5rZJ4g8Oz9/WNP3yWRBLWI9TUZCwlwNIhd8e2eApVahA8c2k/JsjxfiT1R+/PcS//GME
51+s4q7aG8WwuwlzTqX4fMIN6ODCvtVNdXnqmLJ54u+2lJm38/+PfrXfmbSCPCS/IMsrYLL5Acv6
gZQl0mDtiJznwflJLk+wrEmSemIlhB9PyTZxBOoEe6016j4eDNzDY4/2iPn0NakQAJu6/8RnwlnG
6mxfSFf5f/0t/DGNzmKz391hjsCHFExuuW+H/q285UWY8W3YZwOKuaSlLsgx3jih92SaDewd+34I
pHupzQhFNYSo43pZTXr7qlgwEYQIhQTxKVZrgj/6aeQchjH+qmLzfrgJBdQc+hJj5apR+t/syvrT
0+h3d8bsNtUQ2Va1J1mQhC5g0wYjjWk5j/psvgAyoLJ3bBhO/R4b+VQ6647etxPamaH63ZTFgFzO
VQP1nc3ufigYkzbyi4N2ixmdMUBY6X9zcP4W7foHz4XxuzM/zxl4q8Cr9kmjgRh0JJzO7B1dzLQZ
JxZOOKuQnpPgLABVoLGSRiK9L5xSPwsjdBbqxvYAViIwhfbCU4jcIgD1ygNlMZBqmm1mQr8OyTNa
+tNENoVnMAsYUlLEGnaF0LlTiRCwHY96ATs4HVwl4SqE/WgRU//XD9SfbbX7bRPyLy9cQGKTW9hG
yYQj8p08PhAAtleO990LY1vk3SmtX/m6yMa01rRIBySVdZ7lf7d31fmTl++38vGXf37utjUZdKKE
sM10djdMyu8VRQ80W3QpKSk8m6hgVA/D1/ThM7XsLzKFQdQ63Mk09kSU00Pp7oQySz4AbdcPIqCq
xSgMQjaaBMcBpiB8bHVF9u1YEeg2t1cc9DYZLb5UDp7v+vC/yDuTJbttp8u/Sr8AHZwAkpte3HtZ
86DSULK8YUiyzHme+fT9o+zv+1dBKlUb0Yvu6PBSFoQLZiYSmSfPKYvp2oV5+OBWyc7k44sw8Nvg
rBrtG7+Z8/PAiC+KyP4McbZPaoaARVsCFrcMsimezh82v7h0eqDtXEq0A1rzbd3Z8xn8+3+IiB5R
K6I3Ah4IirzG3VQNH/LC+5g4+aeJIA5qBrBW7FwwXxUuMy0Zxgc+/foD2y9E1O937ZMD9sx+9uXE
iJe5kND2cfu+n0BwNRMVH0BeVHISm3dj58DhNQ7QG8yVHUqC4ombOD/zSUWOtKU/BwklqrTZX/9R
TImW7l43M57Y7ez9v97rd6Wtn3mcciMyqRG3kzNOV3Te77rp1pvuHHAurlNQ6mTCwkWBjc67DWut
xZBEdPLRQD4EDAEEJAx9XJwvJX3yZGPYoLvPl09QEd56hn/eUudp/PYCSnOqWPLQe+5Ft8Fw5sb8
1uiK9gQpjjx17Rjm9R+UQS9Kx7ZgVene5tKjNE2jm1bkGlkh3aVC3hB7KZzclNOfiw2NtgTjQKf9
1+fw4jfbhZiefLNoI84l89RdCSNwz6l+F+/zis71ADHapeV3HtQOjB/UJuSVNXVOLNM8GVsAHY3Y
PqdGF8Pwj3pZWlZF2Jutd4LQsQTuAhWU4zIC0q9Qq76y2f2a/NlH2/POJ5s1Vuap4QcZrrIyZ0az
RqL9EqrA9Taqkohc2b8HDjRDO4YDAmj2ji44qWMc1DeutGImR2DNA0ucpG98Gojv5tKnm7q53S2E
wza9dDhEKNYw3tHAxCf7V/IZ+UJabO0/58m2V5A9+7BWfUXRdzhtLqyA+ZDLi7wHWTgFzRY6STOA
s8jAvbmgM6eygjJwBCpXxu1NtqVv0SwHMrpeCAvAYiPImZsiS2AklO5xMiPgyi7zLLBlDWFRAPOW
jLIdkFaRh8YrTQDw3kJzClBHEL8Z6hKe4tiGXRTisgvkN+xDa0z2EWrwGPIZhimAJ6+HhlnvQ4d6
g4hI+vasEZXO+pTk/QUswp/8LnmTztZ54xaUxdzkso1oChtVmEUA0w7emDRh7CBd4wAhvUTUKceP
9qzerJbzfpIfh3xH9nl1HE7gGplML0AMzr5zpmktSgKDvJEcebw2V3DUcF4Nj4m+nxvuvTJivHwA
ARbDTXL06vHb4jLjMxjNxohG34RBBfFk7fRQrtTWR6sXV/nmPEyZA8QgaXmdOOJ+sacbtwIsUsH+
+ustv/Qq+Z6rPrGUem4q18ua4irP/Y/IUfwxLHwDYc7xiUH0N14gP9q297G0k/sFfNt5wZTKKZUG
3ZgKfFlrp2/60vqMJuhbvR2ZSmbiEHKTxauoZLRWem+toI2O6WQP7yKnuoBJmCkTO2hPNow5Ibwh
8Lpl1XwB1c9V59aJd06AAda7UTO6jaMtZUwoil/xq5fqPlSPnvmVPa3e0A9mcxUn8Goyvw9/htPH
504BVw5J1HKZQ9DoGfJ+iHk2b8EAk58UZuiV1gSGe9nbP7V5ZsyjTT0B2aoGQ3zlhnnpfWHuz5sn
39ICYeY3I6jVys0vwfmewyt8Yjb+1qPZLXF1f9zOhPCPpZU8aH4t5RlZAktEGYWORZRa5xAOnZsl
pDVp6l+Dv4MHyzzvAxgfhcewCXiCLPrQ99G5zfQjFRQg2PA6vvGT4RWJ9e+Z3U/itSmeHwEfXcwt
pEhX3jR9cLJCHp1hAmqXL2+ibOFVB938QeTVN7q51xVRwknqdy6v/iPqGiJ0BjATqxV/rVMXsEKX
fZa+8Yow5kuiv+aPF5/ZjMYyXo0J8AxqOPEfETnzX9ZqQQIz1RSlgQUfWpLRNJ2uc6phKGr8wUT9
TZdSDZgs+HYnnxE/KgbpFdnl/DDEyNw4VvFWTE64yeyTx6Q+mP8VcNpw/+tv/NKNrU4JR4UhqPz5
45XVTh8EVKaAuBaYFAz/0HTlJysf/phjLgj6MXShBiC5BU3whg6DGJM7+Bxu+xQ+Jnf0nLN4w945
BBsMUQrhAlntr3f5/eXys0+v3HmyMbaEMZrxyrZA9Admdmu1S87cS/Wn0468nur4XvLwhWqdIRy3
vrFqrjvPRLMKzm4UKhzxfvO5sNroo9eRnI3zyWjs4fz7/v5PF/pfnKbf/6H/ZsT5v4PrxvY465cr
/QeogtKOEPsfmpvvf+MfnhvpU8d/Usbfk5W/h+MN/siFYEbQsYHlw/L2b/3PdDx9AYcKgQc3BzNX
Uuxv8H+m4/kj00bzImDa3oMI3Xf/TY3/u3Lpf+wJJRXm8+HMCmzXCfZ/TLnU69VGytSHpr0pB+tj
Iguq34O7v9GzbsuOgFtAETEAEHRF+wg3mvmuc93osk+lfy0CeOuZafs9mt3x2O20ZkcmAaKvdW9y
e47cIiUtTDAjMzhSiOQgtZnSDaRZZQ5fXTuXH8Yxpo1JZS74lBeVfxuXrvxmoJC1v8R8GNyAkoAI
yX15O69Snq0+8W6FCPGMg7FbGlhz9Mnrre3dk2/45u8DeNpp2K869Vh82Ie8wPJ3LQvlmu4KBvFF
ZFunfmqjMPUYJywqFGxF76ACFVf1JQ1W+JINBg7+vQe96B5PveN/3v8/SzZh7+2sl13qEdKMr5+r
/4G64/rMr/a/9k/nzP6N5pgbBFA97TwSkpv5b7fCP1xgj3ZgY9ye3Mtv/ziVa9Fs81zGCDz5X922
f5zq+x9h/vz/vkVrjUr7v2icuc8f7OCaRODaIK8dxv49ae60V09TlaEx7HheHMaqqBB040PqPkTD
5yhiVHigaHaxmuceYF15yIKL+7OyeRuk9zbCg/DmngQtbgNsj0MdygDY43eg0x6d5lGsH5L5g7nd
Je2bcWhP2XlA6xhoOLTvq/8g66++dxcvN170Vlh/u8P/z2HdCvhqL9vgm8952g+fn7Geff8rf9uf
5/3mw3jiQaTsmr4N6dh/2Z80f/MJPTCQETuCwH4S1R3vN5O/Aiienu/OlEKO9I8B2s5vnsktgEQR
Vi1N/ujfGOCz6PVPmxS+FSVqoY+W5HKrZAjfFqWFIIloshWvvP/2RO4/ofE/iyuvAykLoF0Ri1tG
+WgH7gfb7f6OfUSt+Fv9k6j70tL47DN/qR03z4JShLD6Q2IFKu4QAMvUXF3xRsQbUxDTtQx9CSe4
G1w7KYW+J8bxL3auZOTryvUN/EVCYWD88Z2FzIQDRW9tJaNOUCLLo5F+cm2779Dg/NzPo+a3JK4+
PfDYZepuW0oZUlkwj8xbiBO8l6Xmxkl5nq7uMFE7M0InQ9jnCnjZ6kvQrfKkdypKwuI0wlsnOLcZ
hKC6Mo/ir9YZm6Pe4kqLIwjmecx5EIQQEVDKKo0FuXpD79BViXrP7kZwCJEbAvE1HqbBRGG4HBmq
09q7qlHfx4mc/GUUoSjHTxG8fLJxPugtrfhnPVMaLxuW9lAE3jviNyX4Zb21Fe8suqIq4BkG59kw
ZrRBiXrouoF8+79j9/++e6oK9VE2LlEX1XxPq/ozo+KWlu0bvaUV78RK9gydmBWvMEQV/mnuo1fe
+Xvw+Emk/d7VelLp2NxGQjCbQZ7Ei/0wACe8h8cZ8t08eqWX90LAVRE+iZMYGcpPIrQt89Izjet4
/lPvWBT3pPgbbLOZiBCO9qtOTJ+b+J835r+9JVTMyjQlrWAWjf4OXCOXpQ/0cbTsV8oAL5zIDygR
pu+jwoyWcHLcG7lBddkOodaRqCgOphmZTdv9HrW8MLHtq9ycL/SWVhzTikbgIAYtr5bX5lXsGbB/
OgDR9VZXXNMVNnw5zKqiTLl+dMfujgam5pnspv/ExCG9HNfITNfQMO0/t13dBUqdT3rbVjwzyddK
LGO8oqq+rGdIxQQn23FbvTC7v8yf7hxhLNnGU78wNCnfQOTJmF37Xm/jyr1pwIfUOuvihmljf5iF
+ycUb9lJb23FLws3d2I0wZcwbcW1W4g71GZewdq85DrKpVkyeGEU6byGNLscKNOzu2IO/tTattrI
X6EynWpzdtF92DVJpwnO+fGz3tpKQmszRtZKmL6JJ0xDtl7wl1Fuemei9saR2YFZm9ps2Jnzt8bo
H2PnD71dK05ZumjCBRmn3VnlHdybd2ZsvNrF/fnFYyleaWWO2wSghUKgBUhmp3J8P9p1rJeHW7v9
PPF52a1QrjfNskvgfC2E+64sglduzBdM8DtE4snSHSqyDD2Na2hDoX8wE+sKaWJfLylU243TZu0w
93oJo3E+t3qbvudy0vuYilfmiDwbY9CsTOXaDw4TUADXNa1b8coiEluLmh0XmrezsIkUgZQk1tu3
2sXK4i5CTaWD+DjNmU8vrq0y1bsZ1CZUDNFV4e9WkgPiOQWAx2gki04veqtNJGQVoj7CEkM/ZlRu
ROMLVZJJzzVNxTWdyi79HLbscBqhL6yc32Pax1qGonZ+YgPGccPCwHPXBD5bLRAPFLleKqu2brJc
QNDnwC1cNMPvZg0R52iaN3obV67Lot2SzvUIKXUHaKfyHOSQc81LzVQuzLb2TKttuNSYXHk7xMnv
Yy41D1zxzMwCo5JwzqFDMvvW6NPpY1Z0euHKVHyzdSC+8Ydyhd6hei8WCf9joRWsIMl/HmSXrPZ6
Ly73ez4v4df2v7lC61N6gXJfutUih74vFkAFyG8E6LkUznsdK/H2kYanV0PiSN9k6GYJe1EJ+BzK
90m+aa6teGUMYauB2jsW6KdbWAzWsShQuNHbuHJjkgm6vkB0LBw7769sGaxDAaRcc3H3+anMAzOv
sZNig/YErC6uPrfV+qC3ccUvE7uF3tfkxKGUvXVyi85GqpV/Q2/8fNsIvThFwqBRmG7GN9gOv9Ii
0nIcCqzPl05q0XsJcsRhBjrzFHk28DzjNWzGfqw/Pru9vT781AgnJmwHwesh9Kv1LXQKjOjn+Svt
8RfW9hW37AowpCiALqFL1+psERKIdDkbek6/Dxg93blnDlAKRZj4kJhBGM8wH65GlWpdD56vOKeX
Z4bTZMiJMu5tfiqsIaCVMc+XWoboK+6ZycUq/V4sIVwpH0yZvfUGPffxFd8cHGtExVRQVTYGCBlS
B8JbQ6/a5tGFfXbkPe1Qk1b7BkeS+4BE06nsqlfeDvsv/4kd+oprGnY2MTXYrqEJl0gzmSFCYF9m
tHytND3pHbrioky3ABXZ5daWlk6qiM9QVtG0RcVFJRp/Y2yw+9iGPtBoxg/IGejdQL7iofFix9AN
1mhrj40Ruvm2ICZkfNM6E09x0dzsVpnX3QZObXjMuvmPttF6+Hg70/5T90QONrEn2yGOz8WfxeB9
4y2baSW0dKSerw2rAkN6ywYrell/qu3ojZl80TsPxTGhgFzMYIu42rLhTZ/BL7rFejbiKZ5ZmF2K
xDnxqo9B/ixBLyC70auJeZ7imc7mFGs245lbur6Lq+adOfih3pEonuklKLJ6DdPwVVNeuJWE267R
C1Y75uSpjbhlIxGJ7+ywHQwyrEjClqu9b8UnJ8T5IjHhk21rX5mR+T5Y9VJwplWf7zvZ4CfoBIgs
sU0fSZqvEDXVsxKpOCRDBT5sKqB5t9J7l6GFtNWeZpSSikvKlDqbl8ol7EBrQQPldQzqux+0zEQq
PgkIzEUEtrFDiBSvF9982IJRq3APjuH5ca9p16SQ0a0h8pTvjRZx+XichOaBK26ZQWDsNgtyRmud
wv1gXxjx8FbvSBSnhIkqRQCLpa3K/j11l3fMNr027bOv8ZP78jtM/EnxJ02YM7EFrrPYKSS81B89
f/yot2/FLeFWB229wpiOzsLXotk+IUfa6l3CKvQqCBAnX3Lq1MGK8GxcQr3Nw0dv34pbojrsVnZU
Qxc3FmdVBLcvAKxfL71b8U+Oe1dnexqpoP+rtkZupCcIYH1JJ7hCoMZkUBpwi3tEcE/Tjb4Pgz/5
rna3FkZfU+n0nOITDF6nYoj+/PVveMFkhOKh0WDn5rZhjiYPb7m4Hzbp/663tOKhDO0sO+UX+U8y
vM0XqCHqQHNpxT9RYJogBaBaGJvjfSwDIGmt5tL7QT0568xNYYJL2XWTNoig7oIYTq1VFvN2ENfT
tTu0VvsEUiIkeJvllBXrclnVxvpKtvzSp1Q8lKnIyS+8johorMMnUND9bRml/SvG/tLqys25rL6w
vJgHZyWtr/GQMWY2yc96lqL4qFuiPzHsmXJTlg/jwjjF3AV6cUtFAi1u4C0yoJ1JnRPxnLydDiZC
q1ob/z4D9sRYemDkEBnQvPMm79ZmPit2HL37bdd3fGorDnOVqNxxJnOBAOkEW1HX5+/1tq145lxI
iJyChIS2eIdKzOdyCD7praw4Jvd9H3kOAtLDXPnn5Vhl15EctlfOZF/lJwHXVXwTzeLKdBhaC2F9
6uFnT4rlvhDb8LZPgiQ5af0ElWEj29k1EGbddbHa62b1P1qNf663tGLnSeMgc9MnnM5qfTY6JJpW
W6+s4iqhZW3gpBh8mrFRC/PzZNZfxzXVC4muElhQfi4ZftsV98zhHMLoM9t5rbD30hdVokqVCNPa
am5+v8/qSwi2jxM0IJ40Ir2g+B2g+sRDoUORBePuFJjr/F1iGx+21f9T72sq1z9qiIuFfhktq2oU
l66DZAd47UXTVvzn/j+aCG81CIOGRdJ/C1LBbOdW6bXuPUcJLu5c9EYU8LwyE1R74BH8EDNHoXcs
SnDpM99Zi3W3xDR4mIvuPFpQHdVbWwkviGtX9QoDYxgYRnlAkfPrLOEZ1FtcjS6ZXaB/y8bLZIXr
ecnOyl3GTW9xxT+HcayteKXsziA1o95AgdoeBVC9xRUHTQx0+5IcW6lgVDj2ZUkEcAw9Q1TxQH2P
ENYk8f7ZXC/iCrGwbnqjtW8VDzSb6HGUHp/TNptjG4xXU5496i2tWDja6XCJwmgabgaaIUj6ZCco
gfWK77Zi4gM0fItDyzrsovyeScG7TmjGq+/cPU/iVVwkoqgqTruV2RdrV4Q3xYPekSj2DZLOT4OW
XTdJdL7wMQvfuNRbWrFuK6+gVfHmJbRW0NDreA3CQS+AfyeeeXIgUk6Lh/o6tu1uZ1Gf341ZcKa3
a+XyqSO0FfwVrUnPQL+YSsj15BWa21aueqOrAUWmYqWuDDvjgvgDA4ha21aRQFHZWy5TRYQSgLMX
XrQlEITPekFQpdKoV1StmiAgCArjvFmDC3ghQ719Ky7ZNvUSQEdN98RdGoRhdnmMdtELJSpDBFpX
meUCcg0RuYYqvlzhKKlqPX9X0UA8IJB98HzS/Na6NbvqOqo7zUNRnBI1ztFuO4cEyIGHAvz8X16l
+TpRsUB+5shsaLHBZhZ3Q9pfBwAafv0tfz4rGngqFAjN2gS6XMqGQubxBmNJMdSHykqDK9N1+3eT
W5i33rb4D9D1HuVazLcWU8kfE9eer5nS7NFWKSQksWiOIxW/TBW00PBh3jumhFq7G8zokuJ48rDO
plFrIVs9FauDhGq/wD3IWXvOR9eOrkVTXfz6PPbP9ZOXiYrVsaMJKca5niDpLB7tbriM8kFvsgIW
xOeZ4IqKRlM45RRuwZemlQ/DpvkOVGE6s0V/dzDqBj0WqE5hBrWRk9I7ECVTK+ABHHNraUKvym8a
BDREI/WudhWkY0wpulQLld/ZkOXJblNIL7zX6Nte+pDKTZZ4A/bWbw303T3KLpFfoFk06w3geCpM
Bz6UGG4KTqU1y/Jsixjb93P7lURtzz5+ZoPKdWYXkWlFJV9zAcH9NqgnmJXXIyI+Z2XRBXqNRxWw
03tRWwNdhH95HlIznKMhuKOA2AnNeKj8iMCb82ZL6MfKObpBjeUqDqxXlt5N7yfno1JggPJo2sEk
HPpGnz12BinLoW999FPsilPTsXum2J47a7QiP9Db6Nc1zbCiEoduMSxvemhDppWfr14HWe/momvC
PsoR/vCGc1S73+vtXA0z0GlYds7OzdE4z037rMraP/SWVvJl1KGtdGlhP9kgFq7H/spoG626B5yv
z0+kNOIUOpaAwFv06CF53T75vwCr1du5cj1HnUD0pm9cgIaeiwBcMhxLw36NSObnwYZJyOebb9NY
DqUE0+2s80cbroWkQ9Jab+fKm3BDZrXoqayG6HXdWAmssJvpan5PxUnXuBF+5edMKuUj5KBJ2h+L
RWgurmTOCJC069ChNpugfIAA9HbbiVrrnSJV8FHsucsEkaEI52772k/VpZf677TOW0UetfDLQa0D
t0hsoHNXzP18mPtVb5BQ/oA8Kp0CbhBWT+08NNbsKnXmV66NF4xQhR3VabR52QjJDgOc0B7IG3/R
G5SVKu7I6j1vcSPmTZNghB4rDr5FEOToRVoVd5QxzQaLGPs2x/jSG7zbydH0SxV31EVWnzs5Y5tO
Zxthm5XHxCv9k56hKI4Jh/4wllMjw37b/Asztd/N7voa69pLH1PxzBwhNWAZGYs3zeM4WR831Ez1
9q34JSKGWTM3gMhQa3nfSgv2M71eB+Piz+NgimaR6aTYiaxQg1on98wVyHdq7VvFHLlIl9hlz+wW
M8Tb0enzD3YtO72PqYKOxBbnsYw8jDA275BMO9sMU8++VeqEmctBiBaCzoUy1uXQDejN9omtF2VV
4BEf05zcmI0v0fRIjfxj08kPege+2+aTik0yidUW0mbp2ZvQY++Oaefp3ceecmP6ftEsq1vIMK0b
JKTb66L1NM9b8ct59bOsz2YG2D0L4rgufxgK29I0QsUv4xy9p6nmTPLNuE69CfVF19R61sofgEem
AIo+snHT3/KTSe16rQ29OXCpQo+8FB6aDcmUcF0Q5obpXpS1VslGqsijYRSyjNMJQrW5vok2I8w9
PQCzVHFHiZFHcgPDjAKmjM73gBKjR6FnKCryCN35ArkrjkTM3WM0mud2Vz5ouY4Uz11HQsS4us4s
QsZz0Gg3kGaFVVBvbcUtvdG083niTPwVoG6ZmY9TUja/6y2u+GU0o0iGeo8IO8jvIF4rzEPXvEZM
9sKlJhXP9C2jmpacoXuj9W/LNXg/azIRQIbz/MBNBvDqspxkWI7IBGXpm9T3tarLUir3pZF6pgHK
eqcKaGB/FpYMGDetkyutE1fBR3GcjEO2mzhyvWdiMYvQiFEt1ltceWcuhuUhp8feXePRHipkLYxR
r4cnVcSRBYA+HQoKBmvkfl5yyssTqsV6Cb5QXpoIBJlzsJvKaCDflaZCnptm3Ojd9kJ1T5tzFqgz
hTAP3jlucbvpNVCYHn9uh9YCHgMnkqHRjVfbOl9EQ6OXt6mgo741697JRhm6hX072XEILk3zPBTH
RJdySv299uO5sr6wnT49g0lZ0wYV16wXe7D7LZGo6cXX0Zi9z9dC80gU1yzjKrU8lMFQ+DHunRxJ
pyyP+6OW76iAI2sffIwqUhQvhZU06OPLtete0xZ4IRSqgKOp9hbDbjjxSqIWUtZL+mVNjUAvu1Ix
RyiYEcZdSF+aJvGOMJ6Wb+i9RXof1FV8s6mtJYlNTt3KVnEWUa68H/NafNE7dsU3o3Fy5xFEAJQB
jn3s/RxCvrXXCysq8Chal2TpofOEVzv6Cm/3eChRMtfbuHJ1NjZ9Kmj+ZIiwDwo4Zl4xVihee7Xt
P//HoqdUsTuLa3i0UQiIpeskt1uaxQz7lo6Dtq2cGr1MzlVctW3clt/AxGkeJZCywXeMxLLe6Siu
KhFd4rLYo0AnrGPZxdNxlutrvN8vuJNKRGTbNbXrBpMsEtLDHIHm47hsrl4GoPIQNRWLDxaMwXmH
Ws0g3y+V90nrWFQAT17G3toJjsWZpHuXyLJ5HPI5eae3uuKpKHfPQZFjko4vPk3Vdt5UvV69VuUh
yoyCpKWCJgzJhPpYpDbZYlNrFj0d5Rr1lsaLsXMZMjyLmOWQo8ElN80zVxy1q4tpWJgJD8doFKfG
XoDA+luiFx1VIiKjq2yEOimvJJlAtXi4kEIPkQVT6vPkophTY/7OXI0yH7PK0KzT2UfsWc9YFA+d
l7jrg4aaqpQuZPHItzBrGOk9WlTwkVtsUV7FJKJB7MYnaEg/F7VeHxG+y+fHki0y2eTCmzxap2sL
brZofW1w8YW48oMGlCHGf0wlKM+WyfnLnKa3WsetYo+KJUC01WbXuYzKMy9Jv1Y+ZPx6iyuXaBs7
zSQKh6ftsF0GKVBMy63/+vXaL9xEqviSMNayBNIMh9KSJI/NVkU33E7pWT1NevwkUmUkWmye+37F
2fQuw/M2krdXwa6I+esf8NJHtZ/bix8sMq0qk5Mfo7sc2rdF+nr5haqIlLS57RgbS/umx9yb/yUr
Jy04pvwO4HhSjbM8YHCpx5mIHrFvCn1e1OR6qYuKRDLdBp1qj66E0a/51bxs/hmc63r8J/CLPj/v
BCYO1MU4lMLwH5eKQgiktnoEP3BOP1+8ikUpGN2hoVKsxWVtgyLlLdPrmYqKRgqyyC3tPbQEqfM5
zueOEUa71VxccdIZ2ec6HVg88YdTOjjXfv4atOwFH1WJiZp0jGOoWd0wzh3HO1Su3X9dKgPqdGcY
LM2gruKS0JtqI7vnX5njLLvpKmM6on2oRxAjVWRSXWeItNgY5eKs63Gc5HyKbfFKpvvSASlXaQ3o
2yw7AuRsTNXbNfnqZfJU9NJ9Zf0XYoyKUSi8hrJ8tG8+Ht/Jpr00Lb3RDIh1n1s8XOVGGU97bbFB
kaRu7cvMD3q9i0PFPyEjHa2DFYtwaKrboN4uEsd/0Aq7KvwJuHTZLJJ9pxUaVH07oKvc+nq1cxUB
1dZAHdeKWm4EYC0sK/OqMjY9UBiR6vmJZ1Y7DHPNxxzr+nawqntZBHqjnlIFQUGMPxm1a0AHF6R3
0o0vPD2iOamqQGxFv5mDuQd13307ivLWr7xc00yUK9S2Yr93XcrES9J4h2xsPy4rUoN6hqL45mJ0
HaP6HMk0r++SIbkM6kazaKnCnoRrNO1qsPF+2XZ53XdGnWvZt1ARQ5aFiKyYiYZeZe/Y2O3MgEZQ
64YWKmDIcdFAmzzphr4P6ZQ0jXBs+k3rwIXKVWQl7eJHFZbSRcnDVI73TWJ90PmW8IQ/dx1ezm4t
OvwSMMLb1TT7MGPY5vTrxX8exIWKGcrzEjgCgBWKxPbHyEafIUjOy27Tup+/c5s/7X+Czk6mroMg
VCbDCudCNbxtnDnXShWFihka2nZqooEvOqAydJriAMBWYpda5RYUfJ+fuyHNKjf3oynz9q1wnEtp
6jUskK1Xlq76uUVLm/Q5b6JDlog38RT4mqaoPEKDmAQ6nXk9owN2lVXFI2JaWp1yoWKGjAXMch7w
OccSkdJ0m5vjgi7zr03x5/e9UFFDFXrLndWRyzWzcWqH+hrNL71PqUKGpFHzmvNIVZx6qw5Oj6h1
JtZvevtW/LNAic0MHPZtB/lt3P5euY5W7UmomKFcmtOW7W84Px1OXi02YI6zHiIegYHnNmj6juFZ
1CnCxjJuy+pxcZv3egeiFIeIsab0PIeVA/kl67xv8+Z90Vta8cnJKty5g5A0ZMwrODho24WTJkWZ
8BWvLFCFduLa3XNx7y1dqLM+7fRm3oRKUjROk0zq3iYQoi0Otie3D4B79dxSxQwlwTQtcuRUYmEe
3Wq4r0apF8BVxNBgp11sr5aL0BZyg/nQPfTLoNW2FSpgyEySzvEdzhvBZYQQG+ewOvVrysovRBMV
MuT6Y14N6X7z5G33kOVO8d5fh0h3eSWfNabcGqKGc8lKBH1z+7YM9ArxQqUq6qZ4LC2wD8STtbYO
BpIG1/4MbFDvflBxQ32AEl/hmm6Idvyd2yenIPH14qzKV2R17pb7TkdLbjTqQ70lXxNnfdRyfU/x
zk0E9FMdThxdxrvJlOa1b9VS0xSVO3NqLTMwFzY+Su8Okbd3kI+HWvtWUUNi13LtRoDNaGFO5gFF
3PEy85bstfGjFwxdhQ4JucZCRkC/vH56REo+oQNdatqKCh7aJNDpMgGNuER+2DrxHaJeWtMTSI49
v38gfjUqt6U33LSTfSXHyDxabvmaCPwLea2KHhoMmQ9z04ETtBP3GGSN8y220zo9BEOSaH5Z5QZN
xg5CJzRBmKef/UPrzYfJ8Gq914rKX2Qm68ZbExSEWbTubW3ASczAjN64JwjE54df+ys8IyPHQ/ns
es2dL0FbVpo7Vxy1t2SWpj0d0FZ0/tHM/csuq6eTnjcpjmrS/yyDguR27eVpSqLs6ObyNT3FF1xJ
xREJ5DT8xNwnHHIrbQ5ZnzJPNcazXnRUqYvKvp/K1m6RfBjTMzMu322b3iiSUIFEzWQZM2w6tBIj
Pz/EaVkfolWPXxUBtefGkpdFjFwxnUQjWIejXyCR3vup5hf9AUi0mMs0ewhhSC9GUDC4N6Vew1z8
gCRqKQ/nuUW5TBbxAcP8c35NePYlU1Fy3LKd8zyegYeUGXJsW5HlYREbeg1QIRT3XGPZBovvEVnc
OTk4ZnptDKMe4YUQin9WRe6tsWXKEDnv6s6t4jHsZNzpeb9QHNSy+9ERi8Xq9tAdzHS6q9vurZbz
q3CirVpQbR5AKE7litztNviHdEk7vRxAxRO1InEyp9xT9O6rnQW/F76e9ohQsUTtUsm4bXdU8hp9
LmTSUzpL9MiohAol4u1ZtltdUDOLN4CyXrp2N4Zcgg96Z75fsE96ZkFjlHlHf4jxRsAs5iAuYAVq
9FJRFUvUSPTdqqjdWwjOOYSl4fjqBOgLDqqSAEWNX6GPvT9CRxHdbuXwxXeiXO9VpCKJBpKL3BrJ
RZ2xNUKzHv/q62HTQj+IHxBEUx8PUZdTZBmDNMxkm4HeCPSYXYRKApSjD9wFPqtXZX/KM3dFLVVz
PFv8gCEaknrlP0pPmzUcMsv55CSTFlpGqAiiuh7zQI486JrBvM5b+7Mf53onriKILCSBArHXEa0o
erMvLcV8puU+jnJ3BnGAqm1LJB+W4OQ32W3sNnrVTxU+VDiVNMTs8zSPpuG4kAoFhdnqhXEVPVT3
5dhuLXM2VZ69iaoWod3HX5/IC5m5qmMWx30gt2wjM08dM0SeTnwZe4NqzpbMwftf/xsvOL8KIFrr
yDQMnlghkIfLqEc8NaUOqre2cn0a5lw2eZnwRZN8eChyNOeBQ1WnX6/uE1Z/xCgKVc6sKlvhRBWP
8yJaspuq6aL3opsAWDJoYRSHoLC9m8Jzrb+WRjqaxSkVWTSU0ZS1U8zTui9vtr0GE8Fy9kqM33uq
P/lFKrSokw4abSnXKsPD5vuyE6UdZoHfMRO6wMsWtvMijEPVbX19jCLPhfDQMXo9Q1DBR/VaBn3q
G+jEgxI8oo362A7CeeVbvWBlKvzITBkpnkq+VWPLj3U35EfLivSon4VKfuSMXeEGceSESz/nh81z
7VMRjJ6ee6sAJBrrRrquGLHIzHu32ewLubauXmBSoUewMy9RMLD1du0upwa8Z2TpXbwqA9KyVG5l
WNne8aHAhLnOD7ss+CsliRecT4UeMVHvB03W++HCYEMVpr7lfzDzmpbvNKBKfeDKNNszrypW+h5j
6Xf/i7Nva5IT19b8Kzv6nX0Q4iJOnN4PQN4qs662yy6/EGW7LAQCAUII+PXzZU/PjE27XBMZ0eEO
uyqBFNLS0lrf5bKtbY1LcrWa4BWJEk5s/ABmIb4Tn3LSaPeyifoPbBL6kTDywCoIy7FNmpbYxCHV
ZfFwDU1aYj24US6jDW1r7/3om/JWjH1ZXjZT1+AkKlxeOQKTKQqLVHO2JLolF7bK1tgkrx08yzkG
RlpbZnNBr1peXFhNWCslhaETSzbj4iQuu63r1M/DMl+GGwrW6CScsZx+dM6BrWD5TjaPmqrmsnRo
jUkaAStpixnbQR7re1XV9S2pXHIRBg8yGj+fJ/Q5uAsuYWPqjsg9Q/b5zMP5/eb5SmpBVlvzpMgs
KzcGvq/ozBcYEZVugsS8o9nQyvnd72/yStRfw5J01RaV62B0Kmd6RAI9JKQhlx1w17gkV4NGNI8I
y27YV2ktAExuZHDhbF8Dk0K3jtWkETzDgPJEQUFy23t1+cbgvzIua2zSRGsRDrCwQuZiv3h5dYJK
+mXxay0VBEUp6jDIJ2zGiaRQX75R3L/s0O+upkxE0HNWFGOyLC6Kw4J7kCLSl1GUgjVUZvC1ipRE
bUsu1CYMJ3MyX+bW66+xMmpx3dotgZVxBv0eeoa3KnLEGznbr9+lv4bK1HCL7ztTn8vDlQMuKNuI
3LxVsPgrRv0zI4To9M8hYBHDUIrRB/qh7lm9N9y1UeLEhePvaqnlXePm9ZyoGBE0ZYWIPjhAkI4Z
CaCEkHR1VZjMAAR3/jwclLa2zb23NAwI+WtT/OfTBWsYHI/Z4vIRLQ9wkFh+4jrUQyJY6TmJGQyP
EtHX4YPgpipSEqpA7RtFJ9XuvHEw45K08wI1XACjypng3yawOkqfFAdhovn7LJooToCerjLOY3MY
1eDN2yJwqiFr5wZo5BkW9wYy6wZycYF1GmjsGBEledjWj2opQ7aJrZjqrFzGvEo90+RfgnFum0xU
lf0wuW3FrwE/jEySs67o0nkezYOdxyX67lV1XkAAq6z6q0bV9naGrZ9/UxYVC08Q41r4aQlgynCs
nKbgsLFd+uYR3cfIHmdbKlUnlgRDviSs79sJRuguDAGjaaghGwkDKDZtYa29VMDHKgIAIZX5sIdN
ayV2yqIA9lHP3hzv5plJL+11n/MP8HHs7mqFg9/twgIpk4qGjbiKXb90b5qyJzSNW1SzT44qansX
9F0z0aSALE6AAEZUjKKohFtrncpK0vFk+ngSny3xSHvgcxUaAhJZ2It7h8Jl51R4i4HqEjFupO6N
b3iLti0BTDvxjB3JfW/cRh+Q0XOW1JNiGo4/cl62cJeF6XYW9LnUG7/gKvg8NI7toqQvjSfnTLuR
ZgyK55W2cDwwdRV/tW2Xk+9wWui79zQC8unUysA2t44fOfGxt05c3xq2jHgBbKxyk8C1eWyCFHT9
eTk/JNp4dRqB1VC8H0sTqFteBqz0U7+D5Vab1ANRwwleAiF7rLwejSejqyUv9qWLUQZHRPAtK5Zc
tUkIlNcDNwGxt0NdowgRNcVYpra2jf4WK5v3ZjN0DbT9ad/pI5DObKDIrgMWuqA7T+O7Ji/RV4BI
kyTvZV5QL2sVZ1mvW7fMnKUmeOuoNcGlr/FVkbqLLRe0Z+rhpou87oaPwockIq/jp9xnLb+Cqk+P
k57Oeb/gCzmlxNmv81Uasvo8OO1OYRRIRontdTZUgfjoLkrpHY1r5woVyd5Bmbao3c3ct/4d6Wpy
GNhIu7SpVeklZK5NtFWUVyyJfdhJJ6yT8MiM/SBXyThK1KYl7B2eatHYOWGccZLUDvpVlXb7HYNJ
xhYSctETqN/o2bb9otKmGITM/Nz2c0JY3e761tJPtg/nINFB21YAKgtmM3gdc7NrA59+E8PowAm1
DN9FfawUXKHLJc/Q8udqr7oWXZqxX3jijkH8ns6Bzpo4tNNWQ+6kuJl47GwdODs0B8AL9VPXEX4l
TFE8exXBU1UV5ApTaUNLD0OcC/XQOrDwSgsCTZ1skXUXJ6St4/6+m1l1LxV48klvc3I35RUrMl26
LstCyUo4t9XqoOKlvc9bB4e1OXDyMRsa/SB1F+7nCA5b2UQj22+dupnb7dCT2W6QPQdVAqkN89Lz
hrrXblGpIgECpSuPvDbooSkQxOyhKSuV9rkjmz1d8kZvsOfO+hqo4EPDbP9CFo7RqXmZaWfkHHGm
o4dKkeGxKXz8OjoW3ZCW6BPdF2Djs8Rz5+BuGruouoL/UgAsAC91sKX+xN5VHanM0dctqECFam21
NWYRzknJ0ug9/GamYyNhl5ywFqpM6cipZ+88WkLjkHaL3Nb9PE1wfnbn5UPbsGkXoUdyEn5RNhmh
IBgHPooap3gJpZtO4azAllSVPsnQhs333som2vLARFMSV6z3Ekc1Yrrv4gK9EE6XGn/6YCyjA1gx
siE2yKtsrpsRiKApFsuDCgpLM8gIg1nnmn558NFRcGAxEbfVk4kHSGXDEW+kmWgKe50D3YsGNxsm
ubGzR+eUCUhBJZUJK7MTUsLbNgnoKBMKpveR0IJux7rsH+MZXoZ27lm/7yogeq/6eZ77O1s3bY6e
E0C+4X2r5tJcYy/Kg2s9xPOHOW6J2DoLiNe7kjnQXEirjsIWDSY14XcehRr88dilOeiAooqvpIE4
36GBOm9VJSXvaJuZASpY18MoYgFbKOKWR8yo7rpgQoDWbmuO7iusejZzVxB735xd0m5pUCqamqol
n/0IynMo59UcEvNn3ZQPrI26Qh4pZ1GQQQbTzQVUNwaSCZ+5m0Hx72XrDI8o2C8ZyCiY6EUcd6kT
QcsOxwM/upfoWX0MtRq/xoucuoSUJorTPM6DQytoCw1+O1372jUPovRZmKoekoBtVdKjHsexSXyr
6iMqNjwdQKNLSSvdg6+b+DipZXAzy0I4GTL8UvnU6qL97IO/e1eptpjKxM/bUGW+wrx/AEBM+/ue
Lm6TTJF2i20pq7hMSyvHIOs8Ez6RPA5RWXeGaUmxqn0nUZ7pyCMWlcmzKa6c7sTlUkBCr1zUttK5
8HeAWZVtgqmnj9LXUER3F1IeCgoD4dRhxu8SSO9Fe1WUy5BCiqIv9qyKo2u4yHUmUcKR0y4oSuFf
UTGS1qT91M+DTXp31vS2rYrIT20Dw6IsriS/l10bdlmrXfGee72WiZtbOqS6lEPSGNiBJX0YVvbG
KePIpELH1UE1sq6PUxQtcjdElaMfPI8sJgUcB+0+ypGCcDYLumWsddRelGWEyo/x6wQ6P99qMjbN
tg+CUmdxwMlVNalS7Bj8a7qNsq7IZMh0Sv0R6ZSuAvVxhLvxmAwae0AyE/kkWR8fBRjhCbRw78qq
g5GtoKWHSA8KTZUVE2F66yHjSCYsxjyhM8EmPbqsvJlkUSfCrawLL/BxP1Q4Q0SWRAlVhCa4k8r6
OL+djPg0t7ANplNA95MYGaowbYieNx2wjxm/hLqnMwGXfj+4pg6uclMEPB2nVpvrYenzMQ01h6FS
2xVOuKVtB3opB8XPMwmSGG4PxG2iLpVDXVbJ5C1TtW1ZOHQ3dCyMSYehpnyvlgqawpOIi+hqiJCP
JF3Xjub77MkgTvxFwtpvRBJuM51bJrOu456bCoLcAfrrk9t/ZEXu6KwjLDeZ4jDqxANN+j3qZK1I
F4hPn5DUg7NPg3z8Zg2DPo3yc1ektsJsOoZRF9+gIrvkOydAcrWTSgfz+7jvZYC57Fk3bfgw13dd
MdJPbdB6WCOzo5ChxLnTpQwStDX64p4SmdaQeNtRByoEW5rHPjnAC1LGGWUu5w8c3Cf3po6DJUqQ
DvB93RDHwwjU3nDDPBwyssLaPE5bGZOPJnKmCrU3EVbN3jFw2Uwagbw1jQNR0xsJhEKRVkKDdzNO
urodvQFt0MKHiEMSLoDq7YO4qOSxKxh5j9r8GKWIm80u8gi7LafZHbIybIV+WEhvH/Dc7hfKcogi
KogeiIO7wAslgUgtG78u48y8Ddy8Uaeb6sHOWRkJHT2CXBz2+xBvv4rSPiIx/2LqAc6oi0CXNuFT
E78PmJpKiDoXobtxYIor0tkZ3GbLG6jrZqYfzHyExpTpU583XpdJAyW7FEm/exK8mUZkv1o2xxo6
Vx+hlMLcRLUG2pNdO0wQFo3a6Tn2mokUAJlY2+z1iAC913Jo1Eb3FdhxeNYxhr98GRQAR2Lr3Rja
OfIWcbya3ikDjtFxmQucVb1prurDNAF6n/URPJuyfCILy8jg+X66kLDz98J6DPFm9ApIdg/DPOzJ
EuIYaEu4Hz/indPgCCfxun9pG2yhuyD0l+658kAvSmlI+HQ3B8VM7unomGIDmaCcZU3p1tvQj8gn
5ZHhpqDY+zOPdCbAaaEewH+gIBVn0u/yJYsbZcy+1VNJM+aXjXOIC6Dt7pGIUpPCaFP0H1i9tO11
BbU3ZFxjM6H0UQz91sWVb5p8QYJZ1wWVH0ovqM2pbIIo/uTIwFefRq92w1syDZbtZ8Lo+5EGtMU8
k+2tGvtA7Hv4+wQZ0mpSpR30/pvNZOLGS0F+cOMXSoEtVIkgiwXsbzbOyYnCfLjyW7Q90kV2ssWK
adWSdGUQA8EbAXIXXWHWxxh/CPg4t8LNc+cOvlBIB8rcwQrCyy6LUIJOhfe0pbM7W7ROIH6WkHAw
LvgKfv/eH2SISQfe+KSeWmVK+zWGCGX+dahysnyLR8xc/d3zsFDds1ej7HFEjVmYp0Z6rknmSE10
o7uzRZwQsT2aSvdlJifsXknVcxxuuRjEs1+H4acJBl7nqnzL3RB28RFWALpElm9NjT1zzqiD/+cw
AaiMnY65bzs13xE4XBZzGo+0GtsMsaBo8FINgyRKiUOTyrxS4/QyFLMHWT70IOMNZH51lVFRzTqF
D4LnJkDi8BZRYYJKyIjD9uNYgXSOIjSoiXWUIW10IfYeRjnAwAkb5ex/Il5JI2QaijipX0jBb0di
KX9BmO2azMaYS9vCdBE7sGBs4bYQxFMfP8VF7+kHU6BC8NCoqJWpDsKG45TBDYyEJUXwixBH801A
CBcxAF4DXa7xWkNxXOB78s5rQlHuyEjH7tbRlHjZiAhTXinV2XcwQIVja9uYwr9vRTUiO0WtwH0x
AfXJJnJBLdwD1DQuaY+Ue3ynZ+2OSbDUtbyatc3HXaEJRZtr8b4D2WPdxCo+PbsgEbxjhhvQQZxW
91A2NbTJpDJ+e4ysFS9NM+e6TbQHbTGk8KrCLCSwOKy2VrpRiW/JoPWv25u6ZWqPRWg+Fa7MWUJH
w/ZeuLDvpRvhuBq6MgrSGc0SvaGViOT1gLfSlknVGVSpk3molUyW0lK8CbMEd3C/BultXvwpcfF6
M6sHf8y8oPPuwnjwmiNFu44i98H2lnDZBD0AnNJ4kB7W2PTgfBnTrddBU3UTtx6tvk6EN2YDXVHt
w96wIDHWFhLstG179FUGxwW5ZApkcOvFsLe7C+CYpVKKMnSTLjgky0wsgy6OyyQCjfgmC5oALA2S
uMD5czhQCNBfz8bwMoGrlGUn7c89zlCOokIncJUNPwZSs290ctzhySVaT7dFBCbeFkVdiMp6Ksjx
FaYmgBMY0GlFGsKI/h6X6ILTyBw2IA4RYjDkUJGDnnDdldXeDW0Nw3TDVEhTaFeQR+Ki8pRMkJp4
V5EIVRlYuuQ4aU6hYgfsN6AT+gBLHVBZVyGMzSoao54DCYbUdbpeACqAMAehl3HCMSBsXT/rcgUc
m6l5lx970ixwIidR7qU44rEHW3RxlLixZU3aMi0+hRBFOwwq772UezX7kBsGtHTXxsX7jnfhx8pE
VZAStxLPoH8t7xhsIvCQFhs6Tj5+nIwFje/CMRefI9dIkjm2ag64yXxHZ+psEFir+4qXg4dkabJ1
anKmdwGfBvdQlzMQ1D7D1EjbKoBhSTnCCGm7IA3gW4hptxz7nIH7lM0RMq+c3qriHT8Dfz+3VYs0
x0Mnxv8OWi4v3tWA16NFQ7BLoV7DcHQQOQptN1U8yJOeA3dTGgcyPgLD0W36vqzYA0RxXZtGjoeo
m2PXakyG9nmQZ71Bct9hgjkEpTRH9kkwoYqULlNRQ3Qa1ZEkENOmitWNF0TzB+tVZs8lc+fjwFXT
f9WTm2OzqIeBXzmzrsGCdJmg8ZiUoNTcTS6lMo2rru4SP6KOc0e7ubgeaMHclA9tdFjY5OQH3UzQ
/1ZVzsWHmsM97y5nwveQo5JxSo3g/N6NPDgwxdrUN4EeKQxIZK7m6wmH6gPtbHecc883Kc5OUBkK
cmykA45k1V3j++wLqaUUWRUhM0lUIOJ3FO6iV2iFt5CxMmOPLHMU0yNqNA0yaAdEVxxtSjUcnT4K
0Zjt7fzRVdYecqdfaCLjvLxpR1V/lySKugZ1CIJokc9yqY/1iAPfcexZXCZmIWZK52rCOT9opANx
qADvbMdKOeoigYyOyN9FAW/Z0SkdcSXbStq096vJufJyY1qMZjS8wESw4klghiJKyOLP3c6HyNST
YdM0psjj8lvhWe/k5/G9MQXAoxC8Y1OGsLlcaypa7yTR5H4BkT66ZxAgeJoZDhdXTUFkvu+JdIOd
64ez2cHmpR+SobPiIQA98d4f8qJL+jyan0BbjD55jW2uqoE2G7cZt3OBWkvQfLUUSyLxtbaf0D/w
E6BjkK2hW4/IqdwbjvPlLUX9G95ZGhCBzYj06bEgy3TosHfeg0OjnUMdTiiRyjC3937sLVejjgKR
zHksr3i7+9ouNhlmOJ1NvmuzaDfEkJZIw3MluCAlf+dJXnwiDJNLMNEAu+QHZgfvSNDyesAX23So
K7yKEjZENzOX3k3Il/k5R5HvQx3k+nZu44Hs44Y8xu6czLb/HvDx/SIlQWF54PyqDJaqRckvKI5B
VxQHvBgnaTVMVoCjsfWcDbq3dYLhDz7kzjKNWYjkuU+NIwWwQqixfacLBOawGihq0HByjB9iHJpv
RWzYrUPLWmPXmblOCKYt1qme5X3p2mncLi31q00hZtRdR9fvnuDi4nrYuSlFdb527knsDAdC3QHW
LrltvvrBMr+weWxdFCDnoMOWULPvDZTQvvnBWOKjYTdWaY64m6PugdI8KpGF987jKFCDYmfNU+c1
tZfYhkLMQPb9kGcqjso+8XiQT0gO5+lkpkmUaYD6/HugYOgEJR6n4TiUavsZJcK22Y5hx16wsLx9
GC43jUPrm7gk1TVd+rFKwpaa2y6M+TXCdfSlqmFG/gbq4tfNpmAtDQBd50G3gQAsPhq9A7irc0pp
fJkOTrAWB5AuShte1QAxginujEi3pOc8XdQKXssDcNGKbizPzUNS7ssR4Yh49jKrG39N++5GXygN
0+DNNJ3nTwvncLEY5yIugr/mfROq5iLHNrqB1iZhexG6y5Wn0QndXjI0fnx+2T/AhoFWL1HwBqTS
2vDBzU9eXH667Mr05yvPc4lSS7EAdeXrZOHhnRN6F81ERK6fL43mEggfDeYK5/mX1tZPpGdvAft+
Pcv9NeXbNJHMaYFrBzz/qNmSltFlFnx+vILcCy1kUE7o1hZO8zmo0cfi4+eLBntN+KaIrxTKABA0
a+DkENiQogn6ctm1zyisH6YIHboixqkQpOzae1nQYIk7Ml3WwF4TvtE6AiGmO9MzI+cLTOKGjHDp
XwRCQ8H35wfHyWaqaQCCJtRvyqzEAfoRLbTuIkSCvyZ9U39GAVGfJ6Eh+YmgVNHS5dKLr5ZlgShu
60oBjGn0TTiXqdfqi+RjkCGvRmVaUHgPQZ7yh+kRpUU4qBcfL5spq3XJBvTKHALiVN7P9E5UhZ/Y
hZvLAsqa9o22aBgvRQGWvYNWju2cQ1QWlykwoeHw86gE1nXj0G0h3EVRm0XvAtAFnKsvGpc173vk
Ux4tkO8C9C5+HDv0pFCgu/Daq9VZT1DmR6Ub8JLe28vIbGRDLtt71rzvMVy6PGJ4bNRyt7YpP8eV
er5sRFZLs4d8ZhichfUiapbU0mreC62X7LKrn3FnP0QsNgNYwHPIO5Ym1jAM7zMCU4o3dswz+uWf
uBN/TfsOUMeBZC+4MNIa5I6c5jBS7d0JsAvaoi+MslZZtfs6JNPfFlr/9XX6b/6i7v731fV//gd/
/6pa1AzgzbT663/eqxr//c/5M//3d37+xH92L+rmuX7R61/66TO47t/3zZ6H55/+AstdoGTv0Qye
H140XBD/uj6e8Pyb/78//NfLX1d5P7cvf/7xVZlmOF+NC9X88fePDt/+/MM7A7n+68fr//3D8xf4
84+7QkjRtqJ50f/41MuzHv78g3jhv0MXe6lPIqxa/0zbti9//YSE/449CHqwmDA/QGXsj381QHcX
57v+O6ZhCOkSlKwD/M4f/9IKB70///D/HRLIjMVnOQPfIxQb0v95uJ9ez/97Xf9qTH2ncPrRf/5x
XnvrKRJRlOR+nn92cPLWBPVyggbYwbfTV0/Wfoq9iKKaZDfBLNk2X9wvPwzN33f/8W6/mpDnu632
CmZLzkUezyfjDd982jxNYvrku817JwyeS2LeiAa/hIOd77PaONxZFDwn3XSC9gbUjIEdJ/dTH/Eb
WZbDfQir5XsF+MlRNX70iCNshwL1WBTXxpY1DqGqcR/Q7dJ1IoMaHcbff/nzkP5qqL2fhxpohtlC
/WM+Nax/jlngZaGplysE2rcYNueQ9Ks7rJCHMGOPI4iMjyfi5HuQx089CN/ZwOenjqq3jFxeu8lq
+8m9GW1JVjOYQrEU/hkZqfehyzbOuPn9OL1ygzV1xK9LHQmUyU6OjKtvqPZP+94rnRRl2/oe6Bc3
/f19fmmyilmyppFEHFjBSLT2FKPd/8FXSm0jlauUozwCAr4et63vD2nXu2QPNIP7HMrCbLFIA/Qd
XMecHGi4fuzygaGqONrywU7xGR7ce+J2RgnKS0bmV1dFN3b3v3/kvxDBv3jD/yCf+DWtaTGMp1LO
xXM8hF4WoIPx3pwxvglz0NpJJhbWn2avZXXSyxJGvaKjb4nAvTpm55f2w36Vk37JYdo3nmSFNhAr
7jqqvyq4XQ+1TVrZpaYL7qz/kQHNEUVuMkmWiTLeBKM52MCCzoJ6ifbvF15vnKbcieiNoXllda3J
Le1YRJ0zYWTG+c7lW5ddl+3u96P+2oRcRS1/1N1MQyyrgvk4Y93WRZksGjXv9hJ9g/NMXMUrzy1s
6Dm4g98/+u01tW8g41978lXIKXreO53EUuLtYxvXCdQH0jK/ifu3gsF5CH41H1cRZzHQvfIJbtAB
rdIP4JcOb6zO1668CjOEhbHyUAs5cXLvYsDH/I0T+SsTZc1cCY1BV9RCnwaKgyV0E6prXQeHqmve
osO+doN1mhujjVygwX3yp15vGogzJeg49jjEzHe/n5CvbKNrAksghW6Be4qOxgUqCLqjSS7ib8pp
rpaAH3T4pi/iK/NnTWZxFUOdt8/ZUfB4N7hlUnoATQCl7F2itI+Zv2a0GFULdOw8dmzREpdTs+tU
/Uay8coM+is5+CFUuZ0vihnl9mPNjdmWaEzCbzB8YzN/7eKrFeuomKPciovnrocoVjCdydl9o0Ty
2gxaLVvZEVEXbRQdgZE5zUP1EPZgzM7dw++nz2uXXy3a0UqUMkQeHbmIHlCRB8YxQH/lLWem1y6/
WrnjBPRj0AfhUdl5X5L8ODoTwMe+zn7/+K8M/ZrR4gH+fW7bhzA6NympPvTdW8zqV5LhNZuldDvP
NiAqHIsmJGds9iPz7RM8CG/gDPgOwDSWFKy/bBGvyS0Oeu0NeAbBcXYqaEHzYCd4+3Xo5EPZtHWm
x2X7+/F6JVqs2Qd6GeOOVrgR4PbHzhXb0UCzhOf5oe+kBLRQvJUdvBIu1mV3DX8/aSzuVHKik2jE
bXLmL5ka1NUgoktkBhEz1vV3IprKMoXbDL4XJ148AYpNL/GLOV98tbDj2B2KHkL3x7pz/CtXoYUz
u9q+sau9NkKrld3bSotOnB+dPTfy2TfXvH0a5zeaB69dfbWwpYLut2gE4oa6b4ZrbHNbS6fE6OmN
pffK0l6Tj+KYWg/Yi+jYKL/Y56N6qUrHYIB4+AZv9ZdfwYvXFKQGjtPA68aYrN7c7Pg5acGxSSVw
2XJ30DV/4z38MobgNqs9GsgAOvow0DwOYVehqQW1ZNU9/369/XKQcO3zOvxh35FjV0CRoYuOY87Y
nitvQ2gU7yZAgy+7wXnsfriBVy9FrzSPjq4Dby1V51nnQFVS6vqCenGEb3D+Zj/coGhjZwHNNDy6
HuSjJdAWVQiwxe+f/rWhP//7DxcHeLGcPZWHR+LVTmL7VoAr8ZYXy2vTZ7V6x5K2JLSobPXaQv3B
eVIATcC2nKBz6rylVv3aC14t4plC+dVXEYZH0A/WeE8j7549AsDI70foteuvlvGsSssNcG1HMZzA
ZslKYJJd85Z+8mtDtNqec0BDVe2H4VGLgxL3EFG/rf0oc5xie9Hjrxs8DehcqsAh9FgPcE+hffyp
rnj/To7tWx5wrwzQWtYXkBbGfIMX4BdAeGraoDsNVlxW9NNbWnmvjNK622P6GXa1Al9izJ8D7ZxZ
rQmw3OmSX0JuxSJbt3z6qeUzoEztCcim4RFUA7qLw+otS7W/CMr/OJnh8qs1zOkwOKD+y9NSSA5p
4qEutvko5WcWOvmNO0zRx1GGTbNxFjmCL8ScukwIBB/fFyCmvSHb8NcB9ldPsVrsOncZAY9AnRyr
S8iZ2f4LART9QHMOSJCpSyoSKV1o4vlQKEhaXyJnAAxW0x3QMv6urYb5WPiRuIcrTACkxRIdmVd2
RbaIOb+DBkh45fb5nPiw7clEkU99QnjknNqxe3PT/mVaiKFcBZUGwNM+Zqw/0annC9B/ER/gv7ow
4DebAhEymq0XJADYeqCRaAoe1+9X0l8Hul8N3yrSVMBTxR2AQ6cxGjMAJj9NXXilxvwqZvH1GPOs
Ksorh14PeKxeRdeTnhJdVJBiCHdGAJO4jGHCguItEu9rC28VmVDIEQy6FfLERzJeDX4XHEgZODdl
rLvNG9/5PKq/+s6r+ETDuXJBKJAnEgC6dxMXFgzYSsoaaUYf7puKz2Xm41JFFs6juxuFAw1UGaAU
Bwk0/1rU7Xwinjt8e+OBXvnSa8m/OgLC1HOa+RgkwRabeSY2D3csYYk+5AnuvHtLl+LXZWuUEVcT
bTZVLiuBO9WQ5fkkn6orUPvYXbTRX+l3IOYHnpIy41/e+GKvzOu1JCDpsY4Ux+3YdXTLb6as7LIR
pcxkTL6WN3PmbXkaTSndFPv/xdmV9TiqM9FfhMS+vAJZCEmne3qZnnlBs7IbA8YYfv130voe+npC
kKIrjXT7Acd2uVyuOnWOWHnZLlz+MlFggWoi500zxakwny8Iq4mZLyvTWdonyXC0vCmFjvA0bjd4
MQf1pg+EXwYgZw+MQNuoYResaVQv3A4yayAap1G+AegrLkb0v1Ln0USrtG+7FGLb6lq5dGE+Mnmg
h4fbMHsltqdVHwv08HS5dbBMvlbqXZiEXOrNkrLlrKHlkZoAJuLFm4VosKn9OdEraKoMa/n8D/Ki
KydaJvyuGQVIyvDIEfnI8jucPTmoaAk5QKdQC+YZHdQhCjSd39tlup/gT7bIfqQhnvndseFT/ZZY
rTiQaaJ/0e+hApatKtBOM5MSrC1qzfmjqbkaulVQAY5ddNY9MqGpcaU32jspmBYMRYrGr8xj032v
FJl9sVc6k3e2K+IChFm0+d6yARLX0HRLmxU3uLT5l037FCX3JrzeBE20mHVRNfV+jYYwRX++fVRQ
cLzmYs3LoJ8+PoLlDQId+RQPfGDfWIk+F0AES+Ocep59hLsTWzSaW1GBirdfGZ624nEWJiVX6UVu
GwSheHmsPPC/lMesecyddiWvu2TO0oqhrwjdgWZdHkcCefScTs0+RTdjSHBPxp0y0TtAKYjbHGnx
Us315qFoyiPvmBk0TrUBAmYtrXi9wIOvSwETA37UHWfSHKnX7JNiDIwMSer5r9UWfmecPRc5X/Qg
K2+3LWFp0aQbZ+ibonWdujmCZwXMqmjh0p9JyZDffbpvACmC8QZIHc82xQDFIVOPLAdjQuUTnNbb
31+6M2UOdwLmCgbxNHKkujv/nCeI5HWokYV9ppI9+mE1UEVT8tUYrelIixwxpMvJocn07tVODQ00
PrzYk7arV264pRWVbyEzNQdimeRYdO6+msYzbdRfpbCOQ16tPaE/2MOueFSZAN6lLXDIQ9ccx0CE
1bbdFSHZgq51q4VN4IbQZvXHiO/4rjuRnRL+H9zxH2zH5/L9B2XgtXGltAmqfwnKsQjnWThtrO1P
zR92bZBumuAP978ejw9G8OP1efSzjep3vu4///49BLc3esF3yLTxXdsww2uK5tiOxa4X3PSpGJ80
nW9vf38hMpG54xNBE0MVIEhMCaU/9FwjW4aOoxWncTUHq3syd3zRAoMMlsfymKqnMn2BcEVAzady
/oV4/vbvX7A7W3IcVYfiSgqWkOOgjCQgloIOJXBtDqoByH+z5p+WdkHyF2gGJx6YMeBkeb3hOeJD
D89W9z4XLlPIC2WaiI4Q+KjPaE9TfnOS+m6uhFRZeY8uLZL0flF7dB73lzsiE8BFOHlIjDRsnLPi
fbm9C0tWJJ1+C/VP4uYDOUKZ8qknTWQ5enjXp2Umeah1cHgtlFVAD8KOilVCXytRVgKahX2VeeTR
xdYWGlr9jmpG/8y8/8rSOkp00J7c/vFL35dyoh1I9g2iVsVRpNpJ5PqfItEOwEn9uf35D/zDFcck
88k7k0NAfoSAnIVzCN70bb6BfUb9Az9X4bz/BcKArVaH7EfnoxXkD9mBGycACfKmCoyVKS5svUw6
r/VppdQCzw8TEKMcLTVE7e4yW1tmcK1d6nagpPCgAfuq2ejvNsErRr8M7O/t5bv+ELRlxI1tg68p
GYh3sB1dDx1vAHshmlvD1IQBkMmqfiqd0UWz7uIpfnvI6wbxjzp0VaDJDTeke0jdBzR6mawPHD1d
uSuuH3P7H5TM1EP6WHD3oF3IBToQN2VZrLfFa22uCS8s/f7L0J9CaDBCDO5Yze4BmmvBaJpxYdG3
vs7WwGJLU7iM++n7k15bujLbzsHrS8fxqWpPX5HH6V4yLZ/UgJnNWtZhaSTp4uA5o2D66VzkkQq/
Qcdl7aAN0CShM77c3uvrl98/utGFklFh1YZ7EGivsIATqlUeuP077RXQjqwFRUuj6P9dMYivixJ0
DO4BlBo/Tbc69V7dbj11fB/K4cR7Y9jens7S1kuXiCUsOkxZCmHgBu2EnVJvWqutA1dRf9w3gHSJ
AK3vZoZSzvHk0pey2oHN/sWxVjz9wnbL8BdzGm2HqthuA5D3CgxBo/sjRS+vsib9vLA8MnnroHlM
FOgpPjipFanpxPyJFmGSJ19vr87SBKSrZFayEgkLLP9c52ApArjuBHYjDl4mcHmBaiLZ3DfOZfxP
J9Apk9Eb4fIOLhi5FDSVg/EA5Bc7Q/lze4Clhbr8/dMAIxLUWQ/2rnjM+IDkUffLS6130NDcOQHp
YCftAALuVPcO+MdvsixQ+N+6yzbNvDKBj/vh31vXllldwQhizWo5FbFdNeqX2dbbR8ihE1AU6MYe
D316sMEr58+mnTZh0qIPclAstKYPRhLqZFZ2neJaO6AQrF3mlPYRLfr0pGhgGEGzNEBMvEXlay5S
BXn2VNsnOriEmnbON3MHvpjcbMXDBIXbPZhYvK+4oXQeoBneWInZF/ZHRjNMxdRPZJzzGLfjhRmp
+1bmRrcxJuW+DZJxDBSs6HoHPcZ4yKqvCRfnKik3M0tzHzJWa5rAC25RxjMoSlqWc0bm2PYeCn3c
g/fML9UHbThPubO7bcnXQx/0nv7XkmsoXdv9YOsxLRPFZx36+0Wqv93++MJj177A8D+fk6a1ug5c
hd7BANEPqKxAp1Ga4Bbwe2ZN+3oq+ZdkAmVKBUKVI0SoYDJ9Sx+rhNI/U0vTLXpDQL0zgLopKICo
csEFRx2/VzKEuxpIfMZUc+i2RU3hV8acSqxEIQv2I9MSmykapXUwHh06w/vbOBzpVafZCNtaiQqX
vi+ti9GDTAKMnSJOTaPd1c5kbFRuFHvDAJnU7bVfGkK6iezWnoWlWe4BVA9b8M8QUPSk7wpalsPb
AyxZ5yVD+ckHllMOHgV0PxzcwhvAEUiSh7QzXzl49fw2hXMAqahz37Uqo7sIL1DonHExjfMpM382
GfEnc61mvzSRy98/TcQgKc0ZaBpj2oGESwc9gWc8JsKLq+R7lq4d5qWDJt1J/NInwntc3thyN4Au
V8wKK1/Zi4XNlsE9iToWLq/7OQaTf6DxPwId6Xb1cnujrz8x/pHhhtSiA95NUgD4xMzvalPx76Bp
VF4NMBK1W6NOKoKsIGl/qcZUrm3K9VDhH/XVeuzgBEwE0XQEidmMtz7cyK6rmoe8zL/cntj1LflH
hXW2dDhsFbn0Tnc0vwArhO+Ua8pX17cEHE7/tSq4pa5PdNs6qAMKcxnqS3xMIOCjJfdhiSy5NqOB
z9agHbUPzOPhMNHILqcwz5277tB/9Fgt0IEqpDdJnCK/PJESxXOysYb7vi6juCrKJl3H0/jggrBj
zH5X2gBA0fPtjV1YexnGBQYa0JMxFYGyI0AV4rxX5RBBYHbltC3YptyLrxqNAIOV5Rx053kgX1PQ
APM8C+qZrQywYJgyiKtXRF0Srk2xMQ6qT0G7a0CP5a6L4R8R9tEF2Z9F8HzP7CwSlvs2OuA6J1p1
VzbzHxl2aLDPM9iTnINScF/Nnpwh8Uvrb9WsnNql1df/e7DsgnRt16RzrOXHxEaNu3qe7TOYMFYW
//p18I8ae97bNVGsFo8gAnBNIpyj0rtZgDzYA6fmc1LXKx0eS1Yq3dDdlKHMiSbjQ13UamCV4C4E
rWJgzWtYqwUzktFcnhjbwkD5LAbVkl+XKNjdBybBzfXfPdD1qiugozTHKRofg96bI6rBQ+S6c9/a
yBguPUvzok1n75DBUbzUYBgErZY97UXF1iR1FpZfBnFZBeMQmr4sv9WDAJL9oEX1o4XO920ftGBG
MoiLgJSiyzIsPmOut59HownBJwM2sawXB6oP5U61up+3x1o4ErJ4e5UDdpWCbDb2yFlLVV8nRxeU
6N19/Y+6JcOoWNn3tccvHg/E3VAADsCE5F9ovm///qWtkI50kpHWLjSB/A9z0JpV+QzK5e68ll5a
+Lws/p0wzp2k50MMyvnatyyL4IUxOkHmjOru9gwWjppcWc7bwUtnUyNxhxdvZaJlZe3HL3358vdP
0enk6d1cei6NU94moAQ1CrDHrfnqpY9LNaGKj4D2eyoBHD/10/ZVGX7dXo+FmNGRdrTMrcpAowpi
E5U9O+X0IDz+6GQ9B7MeCBqTWg+0jOxvD7a0v9JrKnFqcO+UVYumGPDPZg3UEcu+VkLUi1Yybwtg
SLR5/3cXNOR5NAsk9PEoWLG1awdoQZB3oUFTb547DzqYymQXMQEU9CkVUA4CV2y3HUDWGKZ26oFu
CKRbo6uCrflCGRaB0R00xJYO1GGSZTSoSUbe4Rn0zQBe/ACREcCxvLpHAc9BoeniOD4Z0ZAUHsQv
eRsXjaJvW2pkm8qs7+r3w9cv+/Lp6wo0F2CXVhu7fAhQ4P5eKOb7XVsrl0ZHz+WZWhgATwEDa+ps
287jb2gGhPd9XrJ/Dbgk0wRb2cFoOOgQtUr4DZhd537tCl7wzHK136rAHq9wF0BY/rWz0c8xAc3O
GJjrsuC+KUhXMXPshvV6VcSTavxSqJYcet1SQujFrZGWLABbLLl+n6aQTrWgDRqzCzC3IAXfWqjT
bFuwOgR9C+5YoYwVlEjq/JBqE3ir69y5L5qU68oJAzdlC2XA2BSQEoLml/m1h87BlHy7vXxLGyT5
jo5qrJwoa2P0vqEfvusaNI9BOFfQ1t06tNzeN4zkP2y15V3GFOtQAnzhVH5SpqFaHnMIxdweYMEH
yiVmBhLEwQRKLu5A8N+RB0TcRb5W0Vq4JuQSswWOur4qy+SQI5k+iR6NyGsdgQsXhXUJnz75Dne0
RNOwssH+osHTSUUeDJoNGldFsec9qGb7wPMS8YVDkGYFqrA0G8kZtgpoc93O8w4FWEcfVTvJNlo5
eisuZSHuk2vJBhQuFL0vgPMGnp3qRphYz7ML+lAXROuzuhIxLc3h8vdPywZqx1adobFymFvFDkDQ
mvp2r6+8zZc+LnlFo+vrgqX4eK8/Adr/Z1bc37etdGlxpLDAg5QCrbq8iWvLUB6Qo9zjXasGBhgZ
fYRoT7VdrcQES3OQzrWX1znu65kid85PAENGo7LWJLv0aeksV+pomF5Bm9jIofLTd3ri904Z3l6h
hXMsw5OHtlWyloCOv0R/BBoxPWs62Q2BkEatVH9vj7Hg82R0cg8BQkjT4DhreFYZZRv2ExSqRuGn
5ct9I0inGqT5pAF0WIsziHbNhRGwXD+4oItzip+3R7ik0f6tX/2jc54h2TJbQjiHDMTCQQpkEJzS
RS1gKlhgVdqu5Sr0O9jPhHUrk1rYdxl6q0zM5lqR1LECXSUvgNR8j96isV7r0Lz+fU+WP5+m0ugL
Adxw6wzNc6EA6zio5lq6funr0qEupxkM5pChiRWQGgi0BNL5voySJ+ufC9dtgT63RTyZ0IiBQAM9
sGTlHF+3VYg2/NfRQZ4Drci6JmJ3PtXl79J4MLtvtFiJ66/7I8+UjvI8qg0oXiovzqzfkwFEwFj4
dQKB15qhBfHttqkuDCLLoKeccUjMTCKeebWpIRznukfLq7eTCUrc7M/tQRbWSdZDr3qioYyBjgMH
Kmee96sc2FE3f+WOujKLpQGkI8171YIYHexHA6RPzFYdtLQ/diX9jUTxXfwbYMy6DP7pWptQWDdB
BAPSfvqL8OHoZSKc2VoQdt23ev8QZvHUxhPCEnHFeaBUPMzQJrMWh39Uzv/1SJ5MkMUzTmhKTRGb
u+QvWLTHU3PqQ4iM/e1fQFf13KwxZF13fZ7MkFUOBaoJWKc4ixgwIJv56GyhgxCSUPjazjklZ+tQ
/3a37Zbs6pVBF7yHLKHe6pMBFVjsvlnxatvbZhmoxHq9bbuLSycd8iqDTBM0VOH5On/eGiFe2JEa
gQ7lCML+uAruYf8F/v8fMF6WQE4dEWecQw2Bmu9ev0afsJAgACPcfy2XT43hih5yE71nFA9lT71H
jQDyD7r/JJohTFXiwjDKLXRPzFPV2lXoikSDlNukPlMVhNdux7xjydt8D+5z86tX0hHqKwk5NgX4
nutR6wMNksQPtBjzEH2hHvNp7rC1etsH2dIV85UZtcDolpIZVypa5UjkPon35Kl+sA/urvGzoEUB
y8/OzgP350ANy28M9cWtcuhfaDCshbSX3b72CyQPM6uZztAyKeLSZyEOZ6D471UEyKR/ftl8iXL/
Z7UlZ+Hvjt9+TKEWwDhU/8fjpVHsgpovAF2HGFnobtbgdQv+QlZ0t+thhBxdL2LV3GaAW3n8FYzO
K9NdwEaAIfC/FgNOc8XtIQUWK/t+I0LFt/bgL/OV4A/zHXgOtoGwnQ+xKf9yANSVG+/j4ry2ypcT
/snFqmSYFMXEWRuDeQtdBl85WpdDh/+mzRSMwYT/ioiFje/5gFpsrHDwDWwC2M19aFagYYDu2WH4
5X0vHuxfiedbk28F2SZZSWhc5ynTvY8j9ukXZmbaCb3BL+xgBdoxjcm2CSBxtBmxJvkx3dGNjRYF
hjHTEC02t53Q0mZLTxMmlNbJxYDtwMlqUhqiIc3WXm9/fMF9ftjApynxwXSn5HK4BqSGnXPFV6Lg
pf68jzX89OEiGQA1LfFh/it9c7BjF0MywuEh3ye7762f++kGrc7BEIq/xuGyU4fxWPj01K/EZx/+
4Yo9yaBEt3NImbj4BVD7DJOdvin3KIVu0g3bJ8fk6ARt2G28k7pFq86m2ChhsnE3kKjcDkH9de2k
Ggu+Q0YujlBycHC9w6qfps24o+fkwI9zqMGLVLAeHoPG7gvo5CO6J/4PGpAgO7BTc6aH/qzvUXR7
tMLbW710E8gMX23LRdErWBCnDQUcWPrFwZV2abVhe7ovcay+K98h8Jo9aMHke2EfKy/tfm34jxv5
2n5IIVTHCV4P5GIRoRm8o6ju52ESuLvsd/GY7i3uTw9GjBvwNdm65/7If5jbOmy2IE7C7mgbvoFE
Zbi2L0stXjJHmCjmys2zS6wCZNyZvSCzNn+1H53XFAHSsT+DkvWn9nh75ZfCiI8f8ekwKN7socyD
weaz80weQfV9Qq/OZtpaB/2IXV6pTV7VhEYY8TH+p3Fwg48VCF5hbAd6JI/tw7hrds4XLOizs5vR
cm0FkMXaVDsrmna357bgQGRAmgd4jzd22NUx0yA46QYgMF/xtwuO74OF4tNsprltIGGPVaODBw3E
HYQ4AgBA1665pc9LTyzV6Qg0l3GJdlvS+Pi2/mRF7T59qPdG3L62of6rsrbmud+iSvKzPJk+wVVO
TtkfYyXFq19c+JUjIbOO2QSPyP5y5UH3JCARjdxduh92VVge0GuyK4M+HEMB4x8iF06K7tY6DZbM
X8atqbM369SDxGxb+co7fRxP5aseTecyQoLnW3XInyGzdttClqxfJiUbEp5YXWOI2N7le/6inopn
GzG0++7umzMUirL7TFHmJEOlPK2NBHNKLUgRolpioA62MoeFR6aM2x2nQpncDN/OjmJr76z3cm/s
04N7hCTito2GCAKz57VM7YJlyhjei24TyLOxYJDjdNxvihol7dc7JyJlW4Tbu9BznRE6PtVf0BGX
/K2+ma/6t7bxoYKVQxfNz0dUc30lWmuQW5rOxfo/nWO0VboQvsOQLUS0pzxOvDq06rty5p4M5AUx
2TgqJnIYil35BdnNq9CCBc8mQxd7DX3MaYYET9eDXT77WTOxUjq6XlpwZT6yVoxjeul5jTm3/IFA
kSj7pRavVPwyoc3iditP44XrwJWhbICaZzTT1UtEbR70TYV+Xqigf6Fxt2mOdVTs8y001qMWcc9a
g8P1RXNlgNssEkythUfr55eSvILRZeUyuH4Agf3+rxFp2dwrRordQHLHT9Drk5pjAK2cUEzN2iFf
2peLAX8yVNVOFWZfHEgXzu/5j/RBP+R7stVi5cHZKKcmSh+zL90DOSQrb57FHbos46cRQR82QmEe
Jz353qH9DoqDL9bX+ql5Tb6hQI/n46bdTvYuifVj+mvYG9FtL7AQnbsXBvjP4zomCC7sFDMtfeBO
IPq7ZeG46SIjvATIZQCOvzB7oH/LqI7oD+9AvkD6NLhEDmvO+rpTcGUNm3p2CbEb7GfPxvfO3Y4Z
pLt1Ht6e4Edu69+bFRT4/52gkaWzU1JMsN20G8tX8WTvd+Opx3OxC7+/ZAi9q631s9mVJwitxj1e
7Xim+92fagOwxAb/brzH6rTWx7k0WynWcDmfuxmybeCZEhA0tdAV5xI1oNzZ3p7wwrmTEXXzWBhg
M4SP7QCl4+KYlX9uf3jh1QAStP+uZNVA3dMpYKLgpt4oZ1CYxnQrIm9bnMXeDimeUNphgnWQExon
zva+g0u5PfbCqslYu75noOoasYmCaX5Pf+SW7rfeyootfVxyKCWbofw2wlONPN2kF0rzea9Y1ub2
T18IsKC08N9lgx5wWjSQ4IyNs/UOGdo39VQ9d3GyZW/5b+cNWH5tJYr08MUrpi5j7FJzhqBziZEc
Lw9VUULcnfo0+eqOT0b+1wEZ2qzxtdv2YrDXBpMdR43mE12FNbzrwXdA08OX76fSxwP/9DM/bH82
/jb3v2QhMkVo1wm8nY1kr+r/zZAQK/y/8dtTFbzdXuEli5eiCj6KEkq1uNwq1fhr2e0GMsorn17I
gLmy1E4OxW9QweHbzab5C7FJAe3f1J9e6bPzxftOHvqo3RYgf7KexIFvICEUF3fFsK6swzOpLiCH
LTbTog1g51C1H9dUYZYuGxn4nyTQnNFmuNzkdQqg5H7KD8U5iRJIDiBPyTfKTj3qIcHjsAIVx5fb
27RwzOReAFI6c6ESxGejejLNlzr7MXkrGZ6Pt/oVY5SpfyhI2pRqwmLxrXLmRyvOn+pX9ygO7SP2
55CfnbBdGWvB2mSkJk3T1rFMrN0ghqBxJ585K8kB5/qJkgGatTeqwrgc37l4bUBnrEFGm43WxoL2
mjBXIs6P5/i1pbrM61OgUaGHpGsdjCLOxnk60MjzwcKE/Jt67jbJr9t7veCJHMk56HWvmJ7AXqtQ
BOPsQW+RelOhAM2yYwP1ZnWy9nVeryzc0pZIDqDH1WBDBvdyVF6o8aM1Vr67NAspdKi5OkFA6fJC
uhTsp4cCYi/TaIV1/1xlPbSKwRKmr5jV4r5c/OynfTFGVC/RbofAAAjsnERd0wZQVwVSFxnuHFlR
rfF18xVdsce2fRxKayXWXTiWMvxvVLXC5hU83JA8JvZD0byl7vfbVnC5QK+Ymi0FDMRVNHBQYV+6
YX6lSRWOjnOYxvqpV6qVLVrYehn3NxlTRUXDnMgr+BxCIrv/YmnGmmF9KBFcm4EcGsxVUs9K7UD+
1GBoUAAmcsetwYCSi2ZHCshGt05Fqp1oKvo4KeawAw4A2LPec/fC+dPqCQsMAjE4f7K4cDfcdcuV
C3jBW8iI1i4ZvKajphM1yugX7Tc0a4be/OR51DfydCV4WTIOyVnYZUJSXntu1PHROGezDqndwgY8
oGjWfPfSEJKrsD23ZAxt/RGIR7sfY5HzXW1Cgt4wVHPlKl0aQvIPmj0DjwmpmKhCRtRP5vTUqN1v
CEGvZFs/rplrZiI5isQF1oBruhMZejrEupl5fjWzIpztZvK1MXd/5+DV2LqmcHfeUCQvesPGfcVd
Y2+kTZv7ZUcnZBSL3op0kA5vehOiwbNiaAFTzAz/q5VbFTSH23TSkAvMaP9W62rzomUNedaFneHm
Lqp9Ps/ek66Xc9ibDt1UdtpFegotybzv5q3TeyzIC6i3g7BQedFnpziCvAlYEjGAAMvXy1xE3PDy
2Z/nFhUmNT30gqqHC1NxVOel+lXrGvEb6rTNT6esdTsYVECfQXDOtag1mz4yVc14EwMzXmqIHG9q
1bLoltkqSnNpoTtBNSKD0pERpGHQXY8cHazWqDmN6hbi6y044opSR8ThMh729aCdelJDR10wh+5m
s0YJL00Hn0B+PWyEB60fiNnPx8lp2JPiTew81yNy20Lt3m87sAXDkZFulVcVxMo6N0pVO6o60J9x
cWoNbXv78wtHWAa5VbOdtm3pepEnjNn1oQM+n3hpl+BjAf8SAZMOVMtHkkW3h1vwlTJyhU55X5es
ZTGx+IXYnRdBLtbaDxaWSgau1GPl2MTS29hSXpT6QZteqjW55YVP29LNWA9JYg89BCV6RW9xsMwj
lMoNX/TpfdssA5N7daJQkbacSCh5DV36QvhtBbqgriVqeHvtF+Ygw5Mdljr5XKVKZNRFIHBmxvxY
aDS4/fUFQ5IRyhC9zfTcaNxoKIYXmI0WKIm99wzn+0RdJbTs5uX2QAsmJBNhEdeCiF/peZFNqkcK
vEFViZWbfCmGl1HJXLGIqVWmFxGjryOtNXhQMQbKo7FhuA4SW9mBqyh0jd73SJ0AQV41eyTiUwPE
3QjLoQEzQqVs6lkeo52BrSCNF4IYmZ+ZNLrBe6E4mLK2m6qdaXcQXrPAYblyeyytqXQB9qyBOGfl
eFHJ6GOjojm+mVaCyqVPSxcfR59N3qNpLUosm+5EStHbl1T2yteXVka69XRntNQUItER0uM8KCAy
BrYfgHLU/pyCE2MlPl2ag3T6y7QiCc89Jyp7+0vqTnu1GdcKUgszkIl2WZMCa6I0SYR7xz2BG8R9
s9yWP3Q6Vb84s7r2sls4/eZl/M+xfcNyICBcJ6L2vO20xNfFsBfsvjBbBv2y3lB47dRKhCYUFky1
3b5w2zAgTM+Kb1xV1jISS7O47NCnWaggyAFBJ1YL/TNfieW+gObg4OT8723fsrQZ0jkwEjAuubPq
RqoAIEQcZy0N3fZQipWAeen70mHoSrMoAJxNIs+ECuNoVWbQpcmpLbuHuaYrgyytkXQmHDPJGsiD
JlEz2VFTacQ3XQKlxHbY3LdK0nEoymQudQuuviyfi5QHRDv0NRAL1oobXrhKZCQwVUet9DrgZztz
cgOXt6g1kP7EmMgOiYGTVzli5WQvbMg/eGCeOPnYCy2m1pvIqT9aqHq0tV+MK7mOhc0wLnP8ZLDN
PJuVLjoWa4m7aQiicp1l51Lwr7f3YikjLuNpc9sbWdpCZrptCmXP0Xn8VjVevWcc/dSO4ZTPZadV
W9tVpr+TWbdnXZtA7O/MObI7I8seE1j8k5dRuw+ahLhHYyQDNP1471OajY+N7U1DkHqXgEFNx8rb
csjYRoyOoCG6PQf3+htdRuoqWuGx2aVTXCaFFQx1H0LCBTRIlPta3T5BHel9TNc6wBZkQ1wZo6sq
HqkSs9di3gwOZB4S8oL3XzmGkKhnoZtxiP9NA9oywqRQgBKrCrR8MMMZgnE01vzYRxbqynPtA6H1
yS5Y1aWma4K0KnFGtJX0pt1CcCHBizo0kxyhxeQa5U+vqRBujq3afLfGie+zTvQ+qJ+Mnd6leKRU
SAiojWb6syDdC3Fm7tvg1QtKNrgPo7DzH31ZV98rjVXnuqXsB5/ryR/TLDkn7SSehWOqG9uiRhe0
vdboeIUZCHbmtoutSZBHgGnoI+idvc4voLS7gywZ2hY5md64y+ZHFdSNoW01/UZVG96HnjsYYTcp
w1Mxdl6oU6rvUjU1v04A7PqOSsR+6Hprh9QcaK6E0uMkj3qoMqsOSWuw16muq8G3imk6ehASO0BO
et6OigpAWkrKnYYWikA3J4LGgMp8wtOFbSbDNtDvWKuQJ0DhI9ODUah5E9ZNj/ylU/L+MHMyxllH
68a3iW5pPhG8+3XbdhdCAxkrPZR5z3POWWyLeQpb4FdDCEm593kPGS6domae5A3v4q5Of0ER4FDY
HvFLmMHK0VvwfzKc2eO6S1M8veNW+9bBs2r1qUl+pGSt52XBlcs8pQb4MGdq221MKjwCAM7a2nhJ
ByoaXwvH+AaO5Ze79kEGIfdzavaQ2XYjr0RJIVO/D80aHePSHC6u/dNRRQ8eywhrNLStI6vBqiZM
axrlJj9PDI/YwSu2981BCm7yxqi4ckmLp0J/LYzmtc7a8PanF66hj9vj0xzESC7UV8jswq0gJ6RV
WkRUyLVVnbVW9F0wJRnEJbKEWZU3aHFl1U96Nyp+PqhvvKVPiuP+uD2N66fNkLEq+uBStS69Nq77
o0MsP2vNlefr9TvIkNEpNjOVTAMO4FCRi9yfPRpRpVuxlnl7ZZ5SJKayVzKLL7fncX2tDBmY0rmN
GLXOhvfnIWRWnvggjrUoYhCSPd0e4brRGjJCZaKagbBbgHlRszZe3/iGwwIClsesynZgXVjxH0sb
Ip0Nq7KGDKqhc9xN1cYB0k2kd2WKDE86DCW4bGitGVrcTCJwGFS/68n7dntxln61FOZro1FNijeA
iQF3E5rwvxJGft/+9PWDZshIkqrnk0uYqcVWac4BA27/QNrE2thjtxIdL40ghfc6zQg6zR2cgSIr
4pl55SkTrbEBHbS18qpeWh8pwLdcBdSLyUhitSu+sax6KOkaKdjCp2VoCPJawh4nRzlQqwmy9i9J
7mOAMWRoSKEXaFw0QPGtGHRDrLhv6hXfsLDiMvKDWYPo5r70DmZNByTUjQ4wJYOUv1NaZytLvjTG
xVN8ctBqPjiWptsANw2tb6llKMR301hjSlvwNzL+oyiyuiv1LDm4ZlwD22XP743+pqF98y6rl1Ef
PXRGLBDlegd9Og2pDc3ivw27SzpeN2RWpf9xdiVNjvJK8BcRISQh4Are2u69e7pn5kLMiiT2ffn1
L/1O/WkaE+GrHSFAqipJVZWZTeUOfVvTGSy1fbVrI9vaSL8UK32JCxNvlu1n2WZ2n+fVSYLmNxCq
efL87B4HzZUj3OcFXGbW6iXShDVSPBHkgQsWWFkFvky6SccBfUTkd5+VdcCH6ih5smJJC5J6zKzh
Qx0UJRKP9af+azeH9Tf/3UEDbRaIWzahrba8J6/j95fyyYuD+eXy+i+08DFT1GdoqnmGamh9GgvH
3kTg7uFhOXj5TzrM0R+ncLKdI2QH7mcrQ8NW3TovU5Iku3KKhm1fplUcVM1EaGipqvpbQWTgATy1
6k9aMBF0to0+h2Soh30CVRgUe+qkfmdKe3SXepR3QZwBgRbMU6p+W7GdrXHcLbiNyQeUFmfLiDPc
rcscONWpwnSmNN34BXPuE2uOV9xn6Tln2/zg/Gr02jZqahskaEPQK2gRnEDqtpmaFRtfCLomPVCL
C/YAgVL75HtRYCOqQL/nutgojK0USskCumoEFAa57Hco44stWD2qvc/HNd2ahaOMyW0j0hQdO7zj
p64Sam930ZaO/oQKZHcHGfn9UKuVBtiFUCCMnbXMequfpTecSoiHvVmeR8O+xVk5IH53HasKM7tS
wBBLRtrXyQkik8d+4Ld2zt4vO+HCKv9DJmbRtOYa7FVn+UocQl6L3P59eegFAzUlqAqZtjzPqX1y
yV/f/xknvxTw8yy5cnjjvOHlnrRpF/GTG6cPtBoex9z6jT6tPCCl+nrVJ5g9JpE3oO+f4DxZIlJ4
dhbkfAa+4AnsrVd6sfdfL27mxnHUPPJTPvJtpeawH757cYYYt3YQWahPgQ38v4+Qbdw7dezykw3l
2xu7rtROggPte23b/m+niuUDiLr47VQPbTgmtbdNSYVKIuFcnYYmEzALUAeBxETyHRnG8aryETOr
o6KqeZ7NoHm37FvWjgF11yLjgkuaZdESpX8HL9ufKkghO0NQWUnAriurMbMgOmlSM8WRd0y9H52I
cwhWeQyT431lczJuL9vd0hcYS2Y76OCaGYJKrdJ+2/XIfiR2nwZCjiub74LfmwXRRhSQ63Dc4YTa
tB1wSUC3N6+VdZde//z7h60JTNJoilCWBSnLCf2fRQuJNxAS6edEdpO7soksfcH59w8PAVYEtLGC
65Nq1MZppse+7Z4vT//SachUnFVp3gsk0TTuMsV8YOBQAM61zEiAM4u9t9KBbDj3nKfZFajuVp41
fycVm6PAF0UT5mkeg2kgLn7ouvSfWO/rZ87xW+sLel1kcozox6NaWu35qj74sG4vg6aZXQ2oflRR
deBdtIYxXCCoY6Ya7uBUgPr052vdGM8bRjsZuGVznKYIjdnW10ZajxHOp66DxLDXraUAFxLuzDG2
VQijEuILqATIVmwjBVxJA8bg2BE6RKY53sxp5RxI3WlQQzvyoLvGC+K6W6mGLZy/zf4ZxYjw9exP
SLR3771f/lagSw/a1LqfI3vjl2kTWGN9zwXk5C6b3ILLmC01wHlTS3eg1VY97omjQFPA1zqyV0Zf
WkWzYIwVxDxKkMx6PA5T6YSx1WxrQgMavbGp2jbF9DLqNqDZyoViYfM3K8fIjaga1zv3yGm1ta1v
BXgedHTbJSu7x9L4Roixu6SMNBnmEynvQYl9U3a4mED9tkmmlWTY0ooY8cW2U9RRmM5PfnmXTOnG
7n/4nK0Er6XXN07AubYTV/oZpLhQx/HnCm2WKH1AfWGeVpZ84QBsEkdpx4bknk4ADGqzQNYPlKsb
lrwU6DYdkiunyHDSCUJoXPZwEzd/EGCriPhvb7V/YukDjAjn1Tl3lOuC3nOIQx9iX91434EbJ2Jz
mHRvl91u4SFm1RiqOA0pY88+cYsdsjpVwC4K0DB7MsBVLQ24fZ0OLzOLxo70CUCTVo4M3LsHrI7y
5aaMAQqiazQzCwZrVo2RVs0T7oIqtrCHv7yCRPmsh8PgsGlzebKWHnA25g87Lmp/McggJnFMk3wM
ZT8WBwRp+chmuialCuF5DPZvjZOZ/Xj5TERDNEj6skmKI+sjvaFVSzZdNLUgDqvsGuQ1IipO3gSN
zQEIml0EtXa9cdHye7Rm7kNYq3C23hxrkB/2+aHM3BnypXNcBB1qffeVS8oTk255a0PNG9X7qT4C
3IZ6qDtGt1DPQgNd0/EvQ5R1D47nF3vSl+1r17nR80SbcpNUjffM4hJAMTTnbqqElgHUHOgGeNt5
U1vqp+hrNIIKL35QbVVt0fI5bHU7qAfaos0rGAsyPYy5B3jRqLMg9Wq1U2M/vU1uM2y4X+ubtFfz
QXjDeCwcKzmKyAWunfW/nEJHOyDw1BHnn/h+SqbsvUv9+CeK4doPFNRh/qoomfZCt8W+mkl1W0Rz
Glayq/a5DY7RqIya+yYq+FZNYGQfe1aFQ+nP74k/FzvNrHorqlTeeW2abEVLrTOjagVpJFFADK0q
PRrElNaHFLol753w/wp0ZIalBlcmYox/mu122PeezcKpr71Tn/hN6BHp/RSDKHY5KbJ3l87xe8ti
uZFe3Ib+RB4koi26wXO2neehueka/afyIG6VyiE7OJUNEtM+fmugVPoljQeAOx3oVk6osoRMuT/6
jMjXDLqAdx5P09vKbfJn5XZOIIbO2/kUgnTlvKbvteAGJu/G1OZuE+FedGRNsy/sNA66pn7qxmQl
+bewN5jNGb1L5qQ9R1XOZBQUCr2BSau/jzWFBEk9rt0LFz7DbKDoW+R0+l7XJ6uyniB0+Rj39Vuq
oiuDBf1vsBB2zDLCQZrrOBqdI495Ewf9dB1HKzM7Ifyug1Im2k+OtXYfCzt5RaD4eTnKnff3zwKQ
se+I3pOqcMBbXWUscKx7Sq4b2KzLO2UlB2355UmOzptQ031n85W618JamhV5lXVFP03DhNucHbTV
vhH2RkQrV42lwY3LqCVTDrhGD8UUaNh5kKKoLBZAh33loLI0vLGrtHNid3MxF6eZ581GSscLQeQI
uIOrrRVbXPCof+jAJsey8jIXxz5Ck0wq5Du32o0tx2Ij0FRyld3Qsz193B1FpEZHsPyUlt9o8aVr
368b1zgqgitbVVmGANgz2TwAIg3RNjpncsUqF05AJrGPVmy0HI7VHVL4KVTe7PY5VS9FLQJGV3Kk
C8/4P3nMh6mJRSGBdXDK0ygoWEChQgphdqdpd+35VOp603Rvk7Lur7Qo41hqoVXL5RM4lnOKJa/F
zo7rAOT2K2f3pa8xAoRdlzSqlcVxNVX1Me0g1FXZ2ERxOS1B+Zv6W6ob/XJ59Re84/9I2A9TR3LC
U9my6TT66PgEuxh58ss1teEF7B4zqb2ULLs2mjH6nKb8WA3ueGNF1D32qLCEkebRbpya/EQt9YXq
uNtP6AwL+2JkN+jcKLaXP3Hhsv3/JMyHT2yhFtNmqQSyvIn0y3hGjkbFEO0Kxw/8Qrg39eh3Owah
ukNRlvbKFX8hzP8fOffhqYRYQ8/O5Ped8LC/PjRqrTPx0yWzuUf/GwgmMiuaDTw9MieWQdboL9E4
/JrS9M/l+fr0zTG+Yd5qAtiglUV6dGa6p577KHi0ghlYGto0bQ9i3Z0c42M2esld3Frz3o9qvrLQ
CxNjordrT8WKO0V8JDLe8flVOmyX2Ws0oQvvbsK06xZte3rAHWBMvhMkotDOvxJPlkY+B4IPpoIm
H88SI0aukz7IlA6cbq0G/unOZHOz0FtqZJAbv4qPLkVeCd02Oop37lQ+5snjZWtZmvTz7x9ePu4L
NesxA9ETWmIc+qXv5sBC2+Pl0T+NhXj/85R9GJ3abgMdll4fu5KBK7waSDIgS6fp7aDa5LmdZkyX
J0l/TVESzzM2wzyqCyCze3mc3LG/m2MgmavEvkq2CqMbnls2ZSFa7cXHygJJmyvUYw3ap9BdxYwu
WZLhujTJvVRVTCExrm55le9FY63Es6WVMFx3BE5TybZSx8HpAyCSdg7afPnsbBrX3tJuZSdf+ACz
IOa61FUTvuFYzzN9qaYUXQJczWTlHLvgDibw2lPCgnDPDKmT2f4rZnsP6d86QPL1nPpdPR8sfYTh
z3MCLSDpTurYCgVZ3nfP/XvZGz7dyWxulv5jWxdnfTt1zAaKkwD55jWoRuri5NRpCFL9P9ns3qi1
7NvCiv8DpLZdUrX1gGCt2VsEiQcQScW30hruai/xNmd+vBUvX1oWw8st1lPZ95gwd3yXTXJ02Ssd
IojteCsP8BAu/rlzYeIMt44J7TumqTqSsvvtlt3tSLzA6R0nYDIHWG9sD5bvXsXKiKcZbq5dnYA7
oIQX6u7OaUFYpkdxB0G/q5L5eIDh5tJmcWUPRB79aKemacOd56lfU4RaCOhm3bQDV86sVA2i+Pzb
BHqV2n/01drULLiGWTplbVImFODoY6LIfQdlz7RrVtIaC2tsFk7LKXYAw6msGzSW6A3zmTzyZJQh
d2W5m2Tr3LmyUE/xJMjKjWzBbE10ae4koi88Zd3QGbzeVTtkG8+dpoCin3BTN71e2ZQWVsSspY7x
BPkK7cdHLSVg8yNV9/kIwFwBpdGVRyyti7GLT8LqcuTaAGWqhww6by1S4oJeF3VNpGjPk8S13EId
ua5eJ9Q+N3HjHVrNIVrO8qfLsXHpCwwXl1XjtlpP8ljQHLU8J3Rysbk89JJlGf485xAxklyoo1VW
mzlH+M2GEF3AO8CD7hKPfMksGl5+1NJXGJ4NZaOIRwwbOEMNLeny30JOK5vH0tDGBo58ll1EUGM/
ysR6rP1yI2i94noLjmCWM7PGhU7yNKpjI+obIf+MudgBkRqIaa0TfmEvMsuXHWsYLylOH4yB0zB5
sG0K6eQXRX9m3toyL0yQWcPsXWyuJcHcV04edOUPfa0BmcVKqAU0SkcRAhIVtykwSwHtxm+kcX9w
Tz3OwjolTvZ82YIWgoUJenU99A75CSIsj7bT7IRZ9KDbccU8P6fjtdG289/zeOGhl2ueR3Yc0omk
IYm4FxQOaU65tK3fuhBdaEk13kZTlN+0JHNuK8KGrezo9B20qkOYOXaC1hYUpYbGI/dtNtubTtnv
NI66HSCiNig/mmJHSWXdT0ObbC/PypKFGtEBaMIYxWIR3WCVyWmcy/zJFzL+M3SiDNKqX6ONXDih
mVXRCaInVcdTXOXs9JvKvDTsKXsiU/1IqP6RZPNjoRv7HGCvqVNjQYyAATJrKy0KJ7pxxGGOUMQs
oeB4r9K11vglczKiBleJ9IjjRigO6e9Zyn431ZkPsHm5vC4Lw5v10TMyYeIcr+/HoEpUHYQNZH50
vfzt8vgLodusigIZqIQ9g17CBfGtM0H5RpL2p2vzI+T7HFTy+j0EoTaXH7YQQMwCaVYWcTTYaJJR
FpGAYFkv9RmgennwpZk6W/aHmzBPOry5PUGQhL6NYxycIdQVWQkaS29+fuiHwdGLAvzSbFs3c15D
UBw0M/qBTbbaXffuRtSoKcQ5x2yWRyo2LBt3dgkuUSFW7owLvm0WmiB/21guwc5fVjc91IGarNgO
OS6pcMPL7/95t5DNTXiu3fFaxDY+IE10seNjRZ/Bh1ndVxNSKiyJ7Z2ddekmJa462FGpXgaByqHL
y6vYUfEChptDDC/2p6awbpqcMhJYjstkoMGOsbEre40VY8nEDF8vUk4aYLXhjA7WJ4HgVapDyNet
zOKCkZn1KbdL0rYqaHRT1s6NSMF9RK1r79z/VKh6ioaHzopupukmQiM286oVx1t6bfM23zIkhc9b
RytyAmbuCAmnAl15K6a1cLIxMaLCcnGdKxN2rHjXPEZ5wg55U5Nd3TOILiS5vi9GboVtUbWAMiPP
W0nxx/E7R24QbbxwpFN7IllBbzxXu6dkhJoyLEOKlQ1mwSjM+o3l5UM20zy6yeNnJ32l9q295rhL
QxubcsoB/OakjG7oyCYdCqvwkYZJrTbQrvJ/XJ7gheUz1Rcqf8gzN0ZSeOBDHab+LH9BnXxNHGYh
9pgCDG3TMppT6t1MGVDnlZU9lGnvgC+6+wPg14qNLHyCWV5seAXNKAoLFFTdJvGwLVW54pMLS2AW
FduStxViG6hLxvvcKbekmmBq3cpxcWF2TICvZ5UWmASw+46jF7rpvOGjjzb3eZut9VctvT/978bV
AuJfOM35/YsCfTpKb5rCf7WSeq3Xe+EAYar/aIIEUVPE6phCULjZEGHrJ8ur9bHvrOor2o8zO+w4
vmdWbK2OsTBt/2+y/LAbt+C8rajg1g3n1qms1VM+1Ps67n5SYv+57BUL82bKalBNqSAgDrrJKutY
xeS3RcnTBHWI64Kmibv2yiweXbRAHa2m9jZlbt8Qma8p0ywcsk21DL9DOwLwpvkxi1zo8yCh9B16
X/62oaCfUJTPaDDq0iDNSVWGUudr5rxkC8b+mKloTBOgFo5Zd9tnO/Ral3aC/PevhAxhk65tOAtr
Y5ZkiwqJEfRCIxtaDeg5ZRunSgIcoVac8nPebZubRdkRiP6yG9n5jgKV42GEckomhwKXEjfdOJrE
m4l6+Saa0I/G6tjGqc3pNr4N8gw+JOj3yoT34IEeY+WFlszd2GCTZKxZN8LFRNc3ew4Y/JeWz9oN
cmdCdWRMoAB82eoX9lqzJisFWGQygtSmm5dBkvxRNYipQSXr9Lfau4rVANN7XtYP3tt3juUlIHq4
gZzqpvZAQQT16CL/evkTFvYCcp7ED6NXgLWDqyfKjmxEN1obgQq5dpp0d3n0Jc8y3h19SbpRFs2P
XJZQ/HETu3i2hIi3bLaGzezVv4Y5h+xPRMt32kzxSll4YV1MNZe2hlauThtxdHlNTq6t2j2D6Ppz
m/liL8oBiSVW+9eZG2H/nUG7H4aiggTUEWemY0XlIQG4mVTJrVzjf1taI2NT0mVktQn4Yk61Ned3
3QC1GNXOcqUQt+AuppwLuHdo4kYVOSXZnrjTfoj+NHUcOqvN/Euvb4Q5Crn2QvTODFB2uesidzdE
4uWyfX0+9D9UGQ1y72AnzMipGQj4WKNHgMDXkCSfz8u/ZBlIvXjct/HawxeFmE/c/dAhjR3/vvzu
n4flf+gxbBUXYDN289PonFWqv0auFfbWyuBLE2O4NWiVutqrLfdYK/YEWOCD8LoVn14a2vBpTPCQ
0IzS42hlOvArvwp6uQaS+hz4Yf/DiFGWCbhtgPE6jmkHhaxUlWEs6fe4xHkJ/CRec4or2t12Eiii
1ImTfZ0000rRYmnFDU9OionEdBb2cZxAX+ww/5uv5VbM484j7Zqs8dJDDGd2alDIdG1B0G2T/aQy
f29otfF5fWDtVR14mEPzcm/TWs1ZzI72nAA2bid7Rw9XepzhzH5SD/0gSgD8kZvfj7McNl7qXtWE
azOTOEN47eigOkyOXeLeowf7ZOM4SXp35eKz4HIme8bIutrJfNCWZjEPPUb2E0tute4Plz16wTNM
Cg0gF9KCpPZ49AsAiCrsa6X8e3nozzdS5p2t6cM2nTgiAwDHGVA7lyJ0Rfx37n2owU7Vsxc7Y9j5
DCgQ0D1b0lrxhs9Pp8yk04hABOQhao/H1hah4A70AB9jyBe74TzvvbTdXv6y/9fM/62lM5NWYyoJ
mh9Bi4Brg1sDO1egXbCP/CQso3l4QFYdVLQFiupNz9onv/crXF1wf4nHMjtAWsO7TYdufAWmqgvc
nmWnXswuFtZLD2C9G3+UM5m3c27ZN03XAypTQK8FAK8oPvqg1cwCltXxW+w6MhRxRg5jL+s9rM7f
CKDlti2zxaYbwTjOc9keVKScfemqbevkvybpjzsn9eJH1qbkF/Cuz9WoS/DKQh9mx6yh/NrJTh00
RHVCUvlQzZprC/RBdq29jbLz5iA4Z7tiSOd96RF26jt7umW8QkGzpM1GZ1a9K2XWPcUjiOjyruYi
JL5tbVk7tHcWKdldhJLJykoseIfZBUDBv126YIo8Vs2fOv3qkgdfr0W9pbGNsAHKPw+C60BlUp6j
matRCge+tBqg/wTk7YrFfup/1DPbdhFUVQ5MTHsCq4GL4lEun9MUB7HLhro0uhFVy8wSECZvx1Pm
kK/MzbZ2pK/JmuDFjdkpoN8A4PZsn6bMf2C9eozd6VH08Upc+nTyqWdeADMftLX5VNensrHDJDlT
7gSAQV2elk/3Mwx+Dh8fIlMLME1S5zU7Rfm9br6VgE4T95dWv64b3rjMgW93bvK5aU8ub61gmuoz
KGgEOtsC1b0vrknq4SOM8OpP48CmGbRuA46naertFF/TLFian/OifJgfJhJIB8wwyohVdNN6Pd1W
PorOjp94h5TjSHx5oj698+ATzmb74Tk1A+h4mH1QiRVyH+MOsh14mQZeA4r/OSnB2l2t8cQvfZJx
TkL5JbF5AvqvlGXsTyIHqDCU0Fnwu5Tsea+bzeVPWvA4M9Va5D53Y9WCzYK3dyIqD7NH3y4PveQS
hjMXDBj42oXHadYVh8SenZsSxMh3fjRcdS/EgphOXScRSjwTbMojO4vPYxCP46+m0a8g/7iOms4z
825jI2FbmY86Qj2Reycl/BBXXnndAvyTGCPO1HfId53KSkTHhifNVrF4Tdx9YXnN1MPQDiBQGrru
5Dv+seIODvX+yosvOIOpHVuklU6HCgSvIwXDr1sf4hyMFB3dDRzy9vbKfrPgB2aaQSOd4PV1Wp88
W/8hqaVurGJ8GiOfBeDBslZSnwumauYXQL4a5dBVhx2BCMWORR709jwiscZleNkZPj3pUY8YVxKW
MkiKRAAVN6UKuuSxil5oym70uapauuGQWyu1n6UJM7wOmFY15ykjJ9Z+BS4IEiz3s/PNif2VfNzS
hxguJ0H0CRJwh0BiiYKVQFvVpmvtgxN7t4B2FmHp90PozdnK+n9uwK5J1Klbq0jF4NcAMOtbbovA
zeOny0vy+aK7JlNnN/NhqtBtcGpHKLF393yUoFP7dt3gxp7q5EMDQiYEv3i4tbja+CQLXLdasaal
Vz8v/oeNKAcGmKncsU+zOx/aAhB+eq4te9epSLr++bkfxkeDR4ZAAZom3tKQTtVLm8h9ByGjy5Oz
tKjn3z8MX0imJ1J07amNqm+dQ5/7AhrKl8f+PCy5pgZsnLdnXkUwu5aeAiLxG+ixD658QUk8tKrr
yMpck5wT1xaZDRVOTJPlvuaJsAO71C8tDHUlIC3NkOHFDm9IB0j5dFJd9sD8bF+Wzo/LE7Q0tOHA
mfamNDtzuPVt9jZG+pbK9Krju2umFoiegBR3sB2n2goItH9EvXqFhWn8c4Ol6Ij7r8mUvYxKt0HZ
XKlisKE4A7wZn9PhUEE1bevxxF8JOAuuZSYYPJc2PnpSySkTeR52EtB8bQuAW3uyBlReeoThvQIX
fm/uo+qUTNtJ2ZBvCBu32Fxe3gX8nmvmFCAPgKZ1Bh7/rAbdvpVvvCY942+692hkh0nzv8wqQYTb
b+12RluVvgUq5PnKhxue3VjaaxrPwu5TdjLMIwiuBVWEgmzgjrQI9MTJpqJYMZ+A7iQQwvc3I3jj
UQfO+0ffiZq3y2+yYOUm12c0xr7SE+QSoqINcsZvISC00ru0NLSxlfesJJ2HA/ppEKyHpGFJHsG0
v4aLXRrd8PwiL8BQ35Xtibtfnf6NTn8uT8iS0RluX/IJsjwlxhUgucBJ+oA0ygnvvb08/OfHAtfE
8cUJF0004dg3ia8UkP4KPP15rHcEmVcbiaau2V9+0MJ3mJA+oOOGMqtGckLB87HLGA8QPnTAxmIt
j/L5Ccp1ja3bTqifSpa1UOAUXmjVpNyhkK83DpJgYYa6zXWRxsT5eXYvYzFAwkx77PuI7lrCsjdw
JF+ep6WvOM/fhz0WGuzYXDvssU3ESRg5kfVSCFY8ILOm974dxyv77dJ6GB5fiNTx/QqOxvRcExzK
O2szo4wKJGpCVk5qC3u6ifAjqEDhUgHbTW0Zxl56bLsvrIH+RPWrQFP85QlbcDwT6OfObXPWImxx
0gQeRJPkm9/6a70VS19geLWfZDytu4ad+JT8IKU+Cp/e0GTcxbG7Qw/HysFqaTEMJ+/BEsJl5NNT
HFXAyhV1UMTTnZVPa9hOm32+D5tgvyx1xnFuUuRRddX9AYNdvfGRbdxGkR3tq4o16E7h7saPreg1
gpI1BGBS8gMaou4btobs5Ps+2121YCYwUCS8UBwxB3IK9ZcW2mYg61nThluYSJMf05for3L6np0S
izqBcupvcyFjnGeKw3Uvf3bbD+4JTsCUNfGAl5/B3SDn/n0i7d/LYy8YmwkCdBI3zRgpnVNHv5Wl
2Jaxs2HkJnPmY5q9XX7G0gQZbu/0guRZ1tOTFT8nrhdScBZ1bGVyzpPwyWHPhP4RUPtMttPCjNG1
4mbJc5z7P4RPXmehV+Zo6f2NTdwqWo+gBZ+digh6b5xm6qGUYx1EcphXotbSVxg+LwXoLbJJcHAY
TEENBSB0rodtOYaqvm4HMWF/ns9lxyObn3hZ2RtKS3rXpVG8dSw1XvcIE/wn48lpYsgcnao4gpPH
gTu4oWivHN041fuoVAE4nGUnWRJwlKUaTNg6nftXpxDA1V9lqibkT1VQcZE+COtpfj82r6T9Jvzv
l4de2DNMlN9co2Y02bIB1WWSh5PtWUfaFflKqmXBj00RSeUoCw3GiOYI5Lcq7v8UpHlrtfxaNs7v
Ai2Zlz9iwU5NqB+4RMAYznAhHER+4Dh7BuAvgf5Tx8K44snuuqecN5QPAc9LLFdRv55OcaFf4lE/
T1N/z5r2aUrXMJdLH2L4NA7iPfpKwbI+tc8EZ9ByfCDiTfV/Ln/B0nIY/uxxCLfqorJP2Hjq7eRm
VRSQM/NOy7JvlgAgqmGd/nL5YQvxyeRyBVEZyNAZnKIRgKNMZVYemjF6rbJ0DXu7YLsmADAmLFGS
I/2VDs5Bji50NdsVw/U/j98m8i8fHF3HCcRcbKiKA/iAOlJU0bs8z2+R5f7uYBoDH4KO4N4D0Pry
hC2sjokEzOeWRKKHDho+RUJ6QYz7Gnp88qbz3PZ7HqHQu0GvRv738uMW7jsmPBDteyNt+TSfZt2r
Hw4t/V2sM7KzR9S9Q4HkGZgWnQgn77ERazeTBaMwcYIQb7VsL6b9SfItUAfbNLtxujUHXRrc2NGt
eW4Ti0W49sTEDophHAJLyteynVYy00sPMCKA1Xi+8us+OqJl9G4k5GflpbvOsuoVC1gyaMP90dYZ
u5pBEebcqFbEkLzSsd3tL6/30ssbzu+iuttgSvyjbf0Y2/u5Bu/gdZsgNw7trIlUPfWzBVWY+wEC
S2JSQSFWDiEL722C9SCcBwJKPUXHyX8sJrRWN89Nnazc/RZm3ETqddCyQg5JWUdNypcsAw8zQJtr
bWr0c+AqhcTkf7cMXPXzCEUTfT7g9zlab/rir1CZ/5yImCThXHs6DVydtQcQXbKwK/Q76/X8q8FR
HZRlzIGEO7gzo060NzUOGMdYgwRUq6n40fgZRbl21vQElp0Z/Nwtet6jxhqiMEtBuT+L0ieBll1z
nzVVskFxi/44by9h1OrhlFZRE05J1z1wa46QKciFH2bd6H/v8rIqA59rHwrcFnqhey8CsG1UHUjs
mqL8WvmjUwe5246vDXhY7pqkyZpQNS0oy0dfWn+ElTjNpoKG9EMdWegjKKjTqK0veAsoj4AYYe8l
zi+tdUQQQaV4Q+P1HA4NCFidkbgn3Peqdx5b3fdBC1cHfQJUNFNA19WFvAEnKgukjugR5Oj1ZhYE
gpRt072Cbe1vyuPiTkrELc8GccFTqpI82hA/Ln9KyI8GqSZV0GYZx6MSbzgwb2yfhIrrHY3K/Dma
xhl/tz8bMTYQdBwgZ9357RHYZsQV3ZNHz4Nferbt/OKOcPY5osK9EsLZUYWemxgIyY10EnrTQkQz
LNlYhr0Yq9CdqLubASh/AMFw/5egWVfepTUia96D7jXIcjCuZREpA97n3XfLp/l7bQHFrG2OCkbH
xrDgAmJIRGabcVAs9KJK3dGJSoiVjsPGgmLasE0iCfI5r+x6fpClLLPQggxMvdG0AYFUMvXPBRpg
vg1ckXHLG8dNdza1/Czs8igFgJrNN3NPRLWZ7EK8V8qfG1AGUX2Ye8m2KbqmQs9TrAsLJ3HAJPw/
zs6kuVJcicK/iAghMW7hTr54dnmqDVHDKwQIgQSI4de/c3tVTRsT4VVHO7q5ICSRyjz5ncwOdqNT
D29yKJE3yVy/3kOnYkQsWmYfvTZgN7lXBI96zH0bppqAjPeoG560CSsdVcYTANN6AEjuW8dqIuKK
er5iZhDO3rddnijljge/KGIYZTonsOnaaMY2gGMCMc/Cmtmw8zmVB+HW6UPYT+MVutR6jkhfQwXi
Cb1XZSAPaVmbi31oUJNYNx3sn0rh/UGu33oPeZa91EWJhcNlzbo9ZN/NFUsddqxz17s3dV0owOhl
fVOA1OvvuS7mN0BwSOTPenhBTdcpIdfKHR0PWstuXzN0g3SD5R5w5hggAXKtK9kS8ZKWY/AcmBC+
ELZxYOCEPvBA1dNDVlvtSTdegQxAb5Le9+W+akj+UtUoTwZwo31L+9Y69VJa+6CoviF5YV9NTdi2
EVzgzXeVjbgdEsrd1DgkwtsmZzJXxX2OzidxtEPf9Tb2zLUNefGZ9S5wRWwFKgmhVsC7KMEfCUmc
zWL/pS/VsrXWC5wm9/KuSzLff88Cc2ErTm7kqK0qzz+yow+O58vOWupkc1egRnOe74iO+P3wMv2A
u6y6yZ/HB+s7fQvehm/dQ3eT3jqPnz/USmi/7KXlyqsdngdgo6u5ilBiSKFPKmeriLSHrlHJ5y3a
9Mfvx1vSy0qVt5ObsT6pc3vcpT5UPRUVv6W1lYhfCVTZ5RH/OgilbCrhokRhXBdOUed1MEP2dhl/
bHr4Ijfz4fMB+/gx/CUyW5CygQfU0CUVGP8HI9P2WzGa0Y6EteVY+/FPsH9ShH89SAfpPlRjuk48
zW6gAfwFq4ITydIvQmCX0iQIhgAxrGqVpJl/Ldv2IKsCRrySbITwH0cvbNkHWnp1ylwrw4k0cO65
67widvlSqMv+o0uytTDCDark0q7lM0jEqI6Md//5u1258aUgyRjH1E5FYTdjTVfcZ8fQz75UNWDL
HsDKrRyItvI5yfrnzvsDWSAap9+9fouCtXbry5DOhgkfYBv+maPOelN7MACX/cg3gvSPlxYMOf69
tKbQnT2QuKuENgWih4olvRveDkV903Kyy1RDvrSJs6X2qeuCFIpPvF8bvROjtCMDSWaPqOLzF3y5
3/9usGwpehpDio4bIeakIXxntfwq7W34ajfIsG51FK4s3qXiSTlh65X9aBI3J8PV5PeI9eYecUfo
qx+fP8XHR2S2lDwhdLdd1+UT1OLqIPOm2IHO8wPBF6LtWTzihH7ozfgl6QFbdlhVWYl8dGnLxCpl
lPZXZEu2uvYuFqezqU5hRuzYTWJX9BcfkaDs7Bl0OEWvwQzcaoT6eF3QpcyphYpeDiZ0zmQQ33Qw
PSs5bewW/3yW/zub6FLnNPe1O6XAXyVtaLOnqnbCk1eFHOFkaMEoBTkgOLVnqh9jz0BLH4eD1z3q
psmOmZrIcXAIaJEWTIDzYx8O5ncLS134F4YiBxCooiRGiJgfetezr2ndgrhlW8MD7BnsF9tYcA8I
dfiHpxmY+D7NaaQqhczP7Ob1LekQP5DWHX/mKB7D/iLX3z6fex9Pb7r0RS7dHLGqKMHLn5szzeS4
C3T6pOrg+WvXX+w0YUfNqIu8TlraxO3g/iBTcyyb9kvhDl3qr3iHc0mjYeDtpOKKN9kpa+oDJ+2h
mfONBfPx6qRLW+Qgy2jXp2OTeOHET87MnhhlR57ChsTqgicaFqe8q7da8j9eRXSpyuKkD2tYrtVJ
qUSMbGbExf+U91L3G5N87X0vcj9D6kwyT1ExYrbB2Tlg4jVjwj0b5dKNAfv440KXHV8ipBlsekd8
U5o5nghMpsyrHJ+5B3rNVkFnbZgWmw1qpTN4yNDujF5wC6v4DBGhe5q1us5gZLXxdfkHFPHBhrCU
aWXlVEI0VelEing85Lf07MRtLHbEiqzYiTQsMXfWjdmTQxqdn7Jdelu9evutn1/Z6pZKLodP0DoI
SZPRqOqlHjg79CqztzrxV4Zwqd/yQyieL9q5pKx/Ny4MoNjdmIqds0VYXbv9xcq3beQUOwpzRq6C
OAz8a3/6Ug8yACSXyf1XQD2MOS2QFacJsfUTcscPXrXVlbc2Kpen+evShcptMQtcmnr9VWVDiuXC
9iaq0pogNT9s6VJX1shSddWoybWbYITnRAbScNCVI4BqTvY6FsSLG5qXWQSW3Jal4NpDLRZ9SdNe
lxWK9B7ofL66a9V3FpioKTcSs2vXX+R8nayQyEfAi5hbh3nG97J8g4g7pt3GpvUPRemjhbhY7g3V
tkSGz0lIjF7JlwHg2ah67qL7+az3ZaxP9B1GXc4TOVQ768p671/r1+oneRyLyN/5V4jWNraEle1z
qd4KTF3OWcZRItXh0YE6cRe28il1ld5//r1cWTVL1dbc9hCOTB5LlB3Ot23WFPD/sbeaiteufpmO
f81uMTlh3fcZxtFmV0aJH7XfbeTP1y69WO5B2ja2hLot0UNTICFl5BOslWCL8fm4rA38YsljCqPb
y3FZUo3WMSBI1rhjrqK023IlX7v/y9//GhrEDmiS9PFmvTG70nq8LtPw+LV7Z/++dOVaKjBzD5mJ
XR87eTMHaQzLjo0puXbji8WNNkBrCIFVhSqg/62Jh2x6evjajS/WtWKD6xpau8nU+5FoXytgT7Np
yxlg7ZUuFnUO283RqVqaeHlz03n+vie9vy/zdt4Y95WRWUqwPM15TnOfJSPjV0o1CNiqcGvYV3bw
pagKoEvqEmL7yeiji1aMHL1u6S0tKx6hX1bH/uhvNGSuPcZi0aI0EQwm1W7iKr+K825od5lwNoK1
lZewpK6HI9ov4L5lkpJ+cyfQExTcXqavnc+B0vn3zEcvKc0c4qBnywy/AjK/edx5K9LwNrXF10yg
gY76929koa9Dux6wulgwP0C0y/dDWyJT7s1erEtH7T9fDB+fA2x/8SxFasM9gUEGwKn65cN++TxP
kwRb39FyhyoDeSad15oINcr09+c/+fF3FWTExaOxS8dEWQRn7Zg9eOvhLnCnYgeU9bVVOF+UKtKl
ikzoiqQcKqzE0uAlQYBZHtoMpnut4v4BfD4HBRTVmPM0Ng16zNVwAC+1PVmN358aUtL3IMc59/NH
Xpvsi93MG8u5kkHIklZOIQqPdm+/Q3jm51/7jiz7ymvNZaounykfXtyM/XAK96qbtxoW1jaFxZY2
C3/SoV+YBPj0Yzi9cNCFEP4eiuCPX/z6fIQ+nhR0KTQzqSU9p72EIMqP3AZqlOqEJtgIgoeNMVp5
B0vYvDA+XBRD7ia5zMI4KwCF9Bq5kTj9mNBF6VJlNnLlT1mHPQG6mi4Ggoc/8k7qe22MddvlMJiI
QOyar+eQyKucSX2Ai1NznI3VfBvowHTUZWUaZ2JWGy1oa8+7CF38El3R2ECcJDPixgzWYzDPX7z0
YtOYHBd5+VJT1MH97EYqw5Hg4/nXvgxLQZqVFk3RwvohEdxMpx5VRCCNancjorvc4wdB9398vB3h
O32DyTx0P2brTjUSxfm3zyfx2rUXy5zmU+oINzcwxtYHOfHITsO9zF4/v/raElnELUJK5IUEloju
VMTJdTGAJuWIyBJf64PFl/7fO/Poe101oiCLBq7gaqicPBoL592u7a0858dfG7oUnVW8LlzehQhH
A2UiUrXvlgOAHS/wKbXaqARCHz+51ZSy8jqWOjScpykoqPi1InRBrs3cveY+j0Ir26jzrLyRpejM
h/9p4TcYr2Eo4TY71HvKmjYCOvkhHOF69Pl7X3uMxUJOS1HUHdAeiXMJ9uoieHCkuWbT14RZdCkr
a6hph5bhKRALRLnoIg/6PD5t6W9X9qElf35Uo5UNVScT2YLENHXfZMe26kkr3W50GUt0A5py3Aab
3Oia/aQA2PaL9MXjFo+CwIEvHVx0S1in14H6MUzFLcnH76JIvxjsL9nxtkAcDjtgLEkkVd6I4eXZ
cpxgb0tny7R7bY4tVj2o0Qq+8jitjKH35IvLJ7FtTjkU+DHKcy+fT7G1d7RY+LIHkJ7N+DYGQ37S
okPhLL///NIr979UoNm5n1WzRie0zJxIDrdj4MeE/UnRJv75D6zsKUsVmvQnt5BD5iagLD7JuYgV
844GfbN1OTwYBwbzzddatuhSkUZmSacUNvNJaWP7QjIe5TlUFcEz3YL7rryIpTpg7AO7CgvjJR5i
8Mp/hiPO56O09houm8tfiQCdpXKA6ojA01P4MAiS8lsGY/YYgMjiEJTVluXpyma1dCq2/Y6FMGfw
ICu2IwbDQPxjZhtR1tqrXpwcptYlgE4NHnxhEbyZ6zQU0TRD2JaqyK6fiKp2n4/Wx4w8SpcaF160
Is0zlJL7sfCPacuCc8rK+tswEHJigrt8T6oUcL7Jd/s4V60Qu6BUfCuNvXIDUKn9+315HmwcAlej
Um4A4YnJdKwHGD9HEzRpXswsUGc2Pi8fTznIZP/9Sy2K5nnhqQF9iNO9yab7svE3MqgfX5ouZTte
i9KYG5ou0S39MY7ih663OBRr83mxY1XO4FbExlSoSXGc9C3JHn316BRfI6fQJfneMmI06YDr+5Ca
wmQGDscbwfPKClli73vKApKXgia2zKsYsA5xGGuXxnVXbYGKVtYJXeRWkFUGnHdK0S0PKDBj9ymt
vxH7XrfsaGmI974YmSxB+LaqbWnQgp6ASBELO4uk+Q14+P7zRfjPiHwQqi8h6qNqRoS7+Co1O/ZE
z15cndtn/2eYNFft3r2fYmcPEfxT/hC8k6fwxj7318VJPIjv8rtH91tO0SuTeMlbr2TWV6AON4lL
5LfK7276actEb+3Si/0MztCprzVBxYe2D0z1L4GyN76K/7zrjwZvsYEAuE1kpy7EGfj/QK3rN3HK
s+7JlMUE1iAZ3dgvgI6X9TDfSb9P90U7sDdOPX0Hb7E2Alk42+Vz45zBYEEaMw+q79aMxGYIZOgY
lU7aRZPXsR+8M8MB/gfkrqqyLjadEkcLpMHYHbJgZ+ei/9IByF4q5W0ZNpRcqBhT9dvy+sMcil1r
/YR9z8ZW+PGmAqznv7dCoe2gNiaAs3J90xXhXrvjlZhueuvt8xn98fXpkkw/jEQZg1bZZNY7akU4
isIX+p2PZuOlr82nxabYdOhH8waUwW3u3Nlw9LJN9fT5ra9cegm4G6AKMUiIoWw7M38v1RQc6Sy3
5IorA/Mfwh3vh4FLTyddSV506p/4xNFYVYwPTeVuNOtdXuJ/FgTAp4vFVlc+n7AexjPp2WF05zxK
w/GVjsSNoB34IVwrEtU87T0zO1+ZT/jJxRrMYVrB1EghJrVSEyHNk0NXj494LaQbTzDo+Pzd/IMM
+OjRFp/w3OKQJ+QdT6rCSNTYnBCLu5zptTdk2cGdB28HkhZEOr0TlJEzltm+zlp6mBhFS2rQjM+T
4B5YtqG1U+E83A/G8l5tp7bqGKpv/p2lQX8/tyNhcF5N6Q/AxPOniUvgPDLXanZTXjIA04Nu13Bu
7zRyFfey7ux9WYfqBD58a0e56rJXxVNzDjvWHtqiR+AWSA9ardDelbOqYQTQWzivNc5L6Xnlb8Nq
uQ+8AURUBzJpa9dmtLoVkN/dg8nW7lhaDHthF8PJ1Go+FKXT7ESh8yj07PBQzYLuhG+Zm8JwBw5A
AjK0cXxvYWcZO4KGN74fjOcALRTHAogQeIoj5V3Be2RX2fV41ysN3BSHA8kkcKoAPcU8WZ7JIzIP
YocX+2uA2PXQh9gMP3+PH0YGwFEutp+6FnPpBXI8Z8Kgeek6bPs4LLa88j5cY7j6JVj46wSAZOQY
2kGhEoqW6lvFEdIWVnkY7SZPAo6MwucP8eFGgZ9ZxB45K0fRoI0kscNfIUeOeCskXrv/y9//un9R
FwZd5qCWjH1xcGuspzEA92M6lsPXfFTZsuO2VWnQNQOVCeHodWm7M9dVBBX17vOhWXm/wWJ7FgHm
LyRE2IFC9y3MpwfjsleT6a1wbGWElmV8BTfVktSo2XnAMvCsiFmLHgNdomnb3ojJVjbRZSE/qHsG
JZ+P0heo1Lk1TDchc/44ZfCiJnlTa02BS0KLDzIjdOMnVybUksfSMs/iKRV5gjao2zko0TG8BUta
u/RiSo1jmaK43w2J5w1R6D70ACF//qrXrnyZAn9N1slNS1huVHmCD+eDN6JFCE4WXzqx2WzZo8Ct
wh4bnK0Sd0pANt5NVbMx1pfb++BDsiStdIRTy/IpT3AgfCjz/OTq7Npq64fPR2Xt8ovvISFOyZXC
BHXl9H1gYteriyy0drZqPB8efDAyiw9hZyF8lVZoksCDEYqpzt4Q9NFkhdd5wPdjntqHsQu33sPa
4yzWM5k6CtaowzEzm1cIaPCZpyfF6enz0VqZQ8tCP7VISzKjeWINdn+oeg3/10a1G7mUlc1iWem3
bDj6ZRV6xNzq3cmtGH0pUTWHO16+fH77K6OzZKjkDbxwNccSqPUvxKN7i9y447D//OLsn8Dzg6m6
LPHzsu5c1TrpmThWhQigDdNT6fYa3mvc00gzMvVHDFZProYZp+GI5pl7Tkel9S7vifXAhml8c2tS
+Vdd5jRP/dTlb1MfDN+H2iFJ0InsWTqF91aorNoBK2h4TBWTcHOGn/ARkEF6jUao8V7CQvV+VGFz
5oR5Lw0+gIe2ZECWw+b90MLuJTam9X5mdhu8Bxla8HqZhyIGicl/RB80e28q1LeigrplHjlVXd+O
vCt21C6gwdVVvQs5FGiOS8skt/PiXbjU29sZ13uPjUjXF1Nrrh2eiVMKsQY8RtLpNNj4WKJlVvHr
Am3Lj6TtinMf+s1xage6D9Eu+KcE+Rlf0aYhv4qJqjseCCuLdOF2R6g/2uPkVfJKz6TdA/Tq/xzn
ML0TTeAeGrcHXJGjCysxdief6mrQCYOUk0Z+XtVFBDxu9eAHlkLnYJo9i66vgKDLXH03pznbe0S5
f6qwhkXSIJ2HcQzx+J7kYeSDtr/zdNkdbLesz5Ops5ip3PyCS237ZJseDYEcabHvzkTZXrWDN12L
3g7kNUmVvg+a/NZ1Ug3To9qOg9Grr6lwPABXfQ13PqfYVZ1iB9+zqhv8Te6GsHRiL1f5PuhsKy6y
TMRK0S4O4FV1DZNboMXmxpex52s/HnU778vebl+YR9znrugv4lw+7aRB72Gue9TlWEpymJjMDN54
sEbVro03ybMggke0dzVZzI18d0gjKBPSc5oX83WtmvQbWKTpqWnUfA6wGE9AF0yAwnr5sfUM2wVF
g4q1aeyfmpX6NZswiXRohU+zmsKDW87jHaCa9CcsNINf4ZwPL36N6WFlJP9l+RmJJxigTDEOAkHc
zHT6TcIwTq22i0Pqynmvcie8Ng7+i7EDMXYWUTmET9Uko2EOvqMHLo9Lk8m9LuEyqT1odoR6hAZG
Hpqa1fvWQwsunpYdWJ+3e78q7B8dBBV7XgnzPPgquDEEmYFASH1Cits/o/+y2KvK+Hs/VyjNufVw
4n6vI6foKzRl1qY8inIWN0GasUPKreGQpVnzrQhxz7lAvj+eWYtmVAvmhhPssW5zqwdxHbySO2k3
IPx7DbtjQWr24PoPUeUB0H4wipCdU1n+b9A1vJhjVSpU5S0TKWcazrSZ5pfM4DURNI7fu6DTnGyT
p0kBH7zYclL/drZ9/9GZ6/bYspqctFci82xyWLznQxvuUjvsT24e9odpZiSWGiPYkEaAiGbEzvPR
b+qkxDuUTQXLVnR0Qy7XtLlAVzCQInNFc3ZGCz16ZxuW0V1Y0nLntvhfOQCRQO5jUl8asmOJ/OGB
5IwegeKXOw+m3UeRM/Mj94u63AE8K7634FEkXinrRx5U7VGRmr96U9j8xLKu41BnKg6d1naiKfMV
PBDKxvIOWgKxy6cSUj5iOfWdUCK34SM2gvwD7uacFA3GJgb1hMyxZ6PXKq5UKR8MLHvF3nPLVkQh
9ewdrGLHF+Ga6saEBHNeMzI9gg3pHYtCWk8zdcDVmighLlxlAU+NXNdp3wXX6XdrFOM5bbJZxSVT
892geTBGsEwN77E0IOl2nKLDTuOI4qrBGeDkAqE1RGMz6eGcyhaGCoFr3NthwP5U5/Psn4Rf5f1d
Q+Y+Qidkae9bS+Y/uOiyWAEdgFh/towdddo09U4XTSVxLLLR2tFD1fEwSQNvYDkCq4U5k28hRNa+
j5e//xUish62dK2qx7Ox2V2a5YhTZP4+emKLaHc5cX30hbzEFX/9QBU0ad6iGJPMvb4OdRuXIVrj
0+rJRuSFdbultFqLUxaJFcsXfds5SKyMJn9wOv+QlfpLggGbeYuIEbkHoooADimFlwcHVbBr6ARy
dP16HOmb9sqa3TsnHTaKZCuvZKk8sTvkamqknRNVPsH7fU+tO+HaG6f7lYBrKTyBUTqDsVNTJ6RU
9Z8A4d25c6h6cuoOAIPe2tKarT3EYsiyop+IXQkcwDPYTQfVe19+7yvz7fPAa+3qiwjbQ30yy7JZ
JhV192poh4OttR/NlPONcfpYSoUMwiKs7nxjGrQO1EmOEsyZU10hX82blyGEoi3H/nMN1gUgT8jJ
5Jm6Bu08OzWz6fZVOWR35Vzmt7LPt86IK69tKVnBawJTAAIGNHxALQRAQwtsCFjb3TPARvefDyr9
J8PwwVpdSlUsDciIqW2daHwAn6Z+8G+GTqU67gYk6+bKDJDLKCTUuOjRoAP/2vBdjSl9YiXw3QA/
mP5H59Ug15feJG+1xBkuA3Dx0eE4de3scmI/gNIPKix8eP5EutFOhVYfv46DppjjygV5RqYUB1bm
BM/Cm/o0dkLpXmXEaV+b1pm6XUCR2YFJetWk0Th0BMGEG7Z75GR6N6pYKu97yx4fXDvMY65YbkUU
RaFd0Y7jWxOqgOwtXQWvbBymfWO8dE/YaEHhp60fYnaD7/YM126UDoR+CVhQTzGqydNTU7vdbhqL
GWlFogCULPwTKPrOjTFCJqXMmrseVPoYCA8Avinti3FX9J0b7uGcBTaApiFuvSZWv+O9tl45uXAD
Gml1x9atRZw7WVnvADLlZQT2bvpALDfFkHvds11N9jfI3IeIUIAAaFDcd37jnCj62WJRB/Q3q6ww
OyiZQz1q2c3T6JDprimIPlVUInLK5/Mw4ytYiQBqsK7vzkiQhlfSFchl5LmO4EtjR6RrzAEtiyNs
e2af7ua+qO614xa7OoCpZmrl1rFKKTQtpWvddK5WO02G+r00Mz/MU46KDav4ofdteShb6wcK0egX
9FjqRtyMJSgJs5IRR891HMLsGPStMEMBfZTsHtwnmaB1uXkrbQB1YgnBxr0NqXG+U3oM7npNITFr
uJXdTnygfgwxGAYOQVyCvJu6hapKw0R5lNctVxIIAwcbdGzaWlxQrYP9PFsVvXLTDPtbOaFT/Xed
t+65pSUA0UiiIhte+L0Tq1Cmb9MAcHgABX3sBI6KrYmIndWENk4pYUZuyeiE+P1hOgkcEb6B1D2c
Sk4vRRSnPeuwthM6TyCDVGWb8LwWT2TyioMeCGwjlHBiK6zbE2foQeSpU9z5w5jF3mj0Gce6Hvxd
1exct/FvHIfSY1NbXTzllnOHbrxUHib810lHszmmlktvhoYhjpGjc/IGomMTlsUbrOzh/hOkzb4b
JY9Yn7EHifdbDZTeqQHTNOqmFswzQRovyfD9v+ZjWu61p51fVWOcm4r0ZJ/NyKWVrfbekaIsTpMG
TjdMEQFFAYiDt7Tl1m04mUEe/LTKfxYcvoklYs8Xyx/+ACdTHhsV4lyjjR9TIN4OEo2eN3nXjy9T
EIq7GjLwIc6GuX4C/yCEV1ff4oAyIG1/ctPA3OYCTNqoYXXg7tsgaE51YHcHMbFuRyaFnViI9Lkv
UnMsmKADfMMsGxtJaDe/7VCVOVwgnPLkQXnPdqiWsm/AWqPMUlChVeSERf0Nkees951nQLcb7M5c
CzJPb1lI8O+h49ixDVrYrQWjiSISHmnyuKaQhcK1bAAeC7G2xNaYCZQviD/aPz/fhle2+qW8JwCU
x0wF3Lmsy22iYgOMTSQGEdf1RoCx9guXv/8VkuUz5mNqW+as5s7FIVORmFbmDKbNcwDrmo0v6EpA
tpQlooqjW60Q+IlqeHQ7cPjq7vHzIfq4edRmS/AdFyZ0ux7pfe8BUMpTG3nxoY2uil36DhyP2rGH
+eyfraPcP/HzyS2i8nXcoBuvPdYiYJYKHOjaeDLxOhFr8lxt9gqsBDVLieJU6LaaOQovU0eeeJc+
ANd0Iyrvz+eDtpKVXIoUsa7RQJNOTUItcfRAWUht+7Four0WLKr08B6SrQr22hjRf08wfIJChLAY
o06joWbS4OJYwgkOnz/IyoliKRWaUkr8EJStRHJxtm0GMhh76Oh0nOufqtryelgbrkX8J4CIsGVZ
D3AVdq4ap5IR8myvmk53qhgeSybvM9HWGyXzlVe/LPmXOOzh0z7z5KLeeu9yj75muhY71eLT+vmo
rTzPfwSKA3CQBOWRBHvXYxCSm84KXyXtjpUuz4ypJy9rjp//1GUf+SCMXGJ/OFqqmzwT0znECWwC
lxkYh/3Y/8p1upGUXvuFy8T7awezIRcjzpCOZ5jEn8esAjpUnOD78IjWp93nD7Eyy5YEK5uIEAgz
F5rwsoozKnZ0OHNUtGfWRLJ4+fxH7LUXv1gphV1ZTFU5SfQbe1O387fyPBSoV0f92/ijvTuH7wiQ
yde0B0shnA7RzqBt0iYtXIegQNe1hPzD2MFhKjN5tssMXnIFTK5B2LtAMzxrExK9siOwxWpqCsDr
7Fn5iCDkOffYyS23enZWhnCpkbMzRh0OYcg5528svCzTV8RfGx+xtYtfVtNfEw0JaTaofvbOVE7f
8kn+b+qhfc5U+rWvyVIjh76cVFNT+vBc87ujHTDvNChWb1TBV+bwUhk3MJkZi8MGt/S95giNbQnE
lIWkVD03aOlj+f+q3N9K9KwUZZc6OYnAqEdF0Dt7VRrV5tdUtzgmTRH0yTHL22i0VGzEFz8xSz1c
5o08QF8RTyCs1xEy1fyd+rP/4/N1ubK/0EUyqQ4rEK4LZzxz5/dkzxBZA4AJDXFYjxs7/sqCWFqY
lnkwhA14O0kflH8qB81yo9mob669iEVyJJhG5CqJQvlUFbEz0wT58Ic+nFG8Kb9B0bLzTRoNgfjf
18ZqsbQ7P1A4eZHxDC8zlE4UEKgwT68v2Xv78PlPrAzWf2RfE/EANK+ns0c8RPh5vkOxaUujuFbD
W8q+pqBiPWB7MjGO0+/TeYITktEAuPDRuZ2ztt2FKqwPjU29F2mXBLBEnFJY5LYWv5U+Kl6VNK7A
+SnTr92YOlcpjISStmiLt94d5G9LBFsWHmsjsZiYngWPSb+1RYIOvhyCo3FvibDbGOaV7WLJuiPI
c3JDLZmE2XjKUMmoKytCo3c81vZV3YiNn1mJRJbIO5hopYWcSJ9U3D54rjwitRqPfXYb8OLsEPNC
3HyrFL82XovJ6cqyI8jqFEnrvimWTPJLXECbLfF3jdEsmPxLktYUV7JWzyMNTybgv78045cIvJnY
3liMOWrFuQMJXPCNkvbP55f+WNSPW7+8/r++aYHrtwEsIYIzvdStMlhZx5mL+SutvD0ht5OfmtTq
I7BoZeLIKd035eh+LXCzF79NWAUjzREXroZLNQMMgQjW9feFDVJ+Vcwbgc7aDPP+/YTaro3O3apJ
auQe5FhPETVXFbCrAtbeMqjO+bihX1iJD/6J6/4aS1Q2UjufcRCdDexNikcF21HBnz5/U2sXv0zq
vy4e9GyuWBFgPZZlH/+fs/PojRxnt/AvIqAscqtQyeVst+3eEJ2sQJGKpCj++nv8rQZ1x21gdoPB
jKySRPJN5zl8TGDaGU0Pm/uKuPLxPP5foB6kl1HZRFDKnB2np5WaE6HtU93a71vLT23dfzV9+q8/
Ikgvw7Nl8EPMnwb01LTHtn9V3R9H1BeH6GfXvojOvK2icHSD9Ygx7hgkmK1J+G6iX83cf/J4LoMz
O46qThOzYfSl+jl4MBAYFsyejrx9nU16/PtL/szM6DJIC0PXLHE6gADqw9+L236X9tOz3/cvoUZl
ubO3Sbs+heE2ZcSL10yp+g5p+5I11VeOTf+68eMdfTzff3xorLbzGE5RdwVHuWZfE6EL6LPU7RIP
pKhZ6u/9hXZfhNT/uiXjj1181Rq99m1SIOS3hJprIPhc/vHjnv7+OD+7+sUBKZNaKa1D8Jf9NzM/
qvHPf7vuRaKmXSUxqdBxdMuS4AZFIGS0DPX2v1/9sw/5ImQzjLcj2SZ9Rdkyu4zDXiGbNeHXLpLb
F7vJZ0/m4igkCXojNKrsFRzi++NiBrMnLpl+//0XfHL1yxCN8KkfA8w8XCU6Xu7YbPTR2Gr5j1e/
WOgLAQ0kUAE/RQZejo00N7Ahr4u/3/onD//yTKIdIOyUpQL4I1oXTvHk6CpvLRyAIF9I0D77ExcH
UtesHE2FgZ/QoMxZkxa02YrqK7nmJ8v38hCKozFRnk4EVBEBy0IFzrysa7RDB/WzQk80D780xfrs
h3y8/n/sFCs6eCA1WpwQdO9Ygh3JlZKZL/bCz65+sXhtF4UdmsbiCh6R+brtB0TZKh3+S+wRpP8v
vBUUeYTf6ivbfgcvJwvETx0gXWFf5F2fLYGLRewG66OLw1Z0jMVYxCzpnjlJ1Vf75ien0f/CuX88
+nBb0mjrYaLRjipvF3AKxtvA8iz6apF98vQvQ9oxaBh6HJqf5Nq+BYodMW32hIm+P39fZp88nsuQ
dsCzqWbC+Cmc1uqsRw+mSCP7L3FYkF7GtOiYAlfsgU6AZsYJk3U/mi46KTl/NV3yycO/hDqvCQGc
zsIepWEvmDvHYXkUNXAR1f7vD+eTJXzJck7qKk1FVbPT0HU9NAXtjY+hKLagM4OxQNKTp7//nc9e
wse//8dHpDE/1CAQBDUfA1g5eCbBvbcEzRcr7LMv6GL9jgT1JqVWDVahKDoD+cjwJ5Gvf7/1z17B
xQkMgxoRpO0cXZEwQK/6t2WYFahfBWyR//4HPg6Tf4mGL+nNSxUnLSPY22DS0QDaMLMHzD6a3KiQ
EziAVMsdXFjmBcN77qs08rP3cXEomz6NBjFiwGSMtz2Lhjtv4P9pO4KH8cWrpkGvavjhnsYocaDD
UgCW9X+qyATJJc65r0W7DBxRPRH0etPDa6C/YgT8+yNJLqnJo4agywHTe9WPLDhPpGH5VPX8i5Lo
v3+iCbs8iQdo5zFIQ6Fumj8GVvIFLfLVfGX/9O/rOLlkJsPNYxRLvSC3HvpfQ/LHyuvGhwmNL2HS
nP43++HkEptMEniiCI2/Mk4+juH2UQ3r3o3JF5vpv6+05JKT3Abasx77WAjkMaga6CPgJQTLSPPV
hNtnf+BiKWPgX/mjF/NTM/0k8LHeDRG5aldygwboV4aCn73oi9O4Gqu5XmO8aM/IcnXeYfZehlXm
f98rPrv6xbqFcY2Nporg6hBsRlNJR5Yl0xcX/2QFXKKRpT/DVcZgccGLcsy2bv5pwuXP32/8X4vD
QXIJPuaYOOkAeacnOOYAV8GSnI4wW4Tvx9GEKPWk/MxDJTNoa7/AE33yqC5ZyCucb7yUKsBxKl3Q
DfH7HIcFFIZftFD+F6f//307oRdLOl0H4SDjtFdtT9x+chTZTdOMz6p1frEus8DEjZp3y4ywI4aT
zjPSXRjCs1ruu8BnxRSviZ9F2+wfMEiylroDYhJFC/5V8PDZ+/x4Mv84dAMKaqiPRBiKuP53mnhS
ZLz16e+/v9HPnu/HX/3H1btxFqg39+xUY67et98b80rcF2fuZ9e+ONAby0PWY7blaiN+kFnFfibA
cvR4hv/t3i82gs6EmPn6wJqkicBQ0jcxPInli+/uk62YXmwAxlgp+g3xZoCBa9hK7qy+gow4m7eh
HL/y0fns1V7sA3BjX9um4ghqmX4Wnnfl9eKLKZ1P7v9SRwmA3yQrzJqdyExeDNveg0CmXrZNvj77
GvNaov4ScvHJhnwpqITVmD906wBKX1vfBYs6TFVyRVJ526ZfUQE++xMfP/Mfn6mPfcBWrYeTUXOX
zU3Ns47JOPNhKcubuPj7B/XJ+7i0s4cNWgytNH6In0S7zso9/Hu+OBU/u/TFKp58l9YhSgSnSQ9J
ZifXlMqff/79vj9ZaJeSR0b9dGYGp9VoqgIFglMqkwfr/hvSP0kv1hkJKz75CYxC+dbdkZrkfEJ6
NML84qu/8NnXerHaei8IJxVu/hWnzVXLdVi0a1S4CcOGMlRDYdFc++J49On/1Hv/suWnF8tOodoe
Dm5wGAGagjJoePwUoph9XPk47IO+m95nKJpfsX7qZ73NdC/DBlQkCuXiTsH87kXBFabsYBSoMupN
5LtVotkza+uHcW7DbwY+X3BqXpcDYIr13ZzQ6pxwqfN06ujVhL769RhFyTEE57/wetDEhYy3u8BO
zR7Hqyo8z/iYbWV9teuXTZa08/0/o2CyDIIN7oRi6ouKDfpNw1Rsyw1ma380UounIDH9khmkZ1db
m3CQuEN9x0nd/FJeky47/OdRUUcQmSwTeAIp1DrvK8CC38aFhDulmumFoSBzB/9OTMeMS3wEztDd
Ez9dWb541h1X05AGXJXKO3odX29F63pIDWb+m5G52jFRV8Ww1PUr/MzmnxNJvXOTUINxSrG2YgfH
eAMEOVqQtkswezWAJJsQz953hvAX12MOkiDXh4vh0jykUG0NWVvVQAyFMfDNY6MR0TRs2yBJEiGk
Xgl8LMk83Ay2liXS08BlWMGbPuGHOw61mO/1RQtydVlH65otXJGrId68Rxn3DR4x5fE5nRf/ZFJw
uEQa0ycd9W1YpkNfgU7XQFbUNDTdYYV1aue1Q3rfR8EWljCtgmwpCmZ64/M5oDmMDUUGHZt5Trze
Pa7JSIp04T4+h2rcYVRd79px/pCbufZExt4ce3QqT7ZpTAm9viohm/wYEl+mgtYBDCfNYg7B4MaT
p/rpGFAdlNIu8T2n4/KqaYAW6+DJ4IAZqSlz8H48IB5JsqUPZ5Xhg2X31pvtA8TtmC4OAvICbi/f
K0uDHU0DBTMpFe03C20nkYZmzebs75jW01nC/vMbUCndtTfJscAxMt7aJd1eeW9UbiZ0D/w1NLs6
hKU9hhlD4CjxTfejoqWhcZ8Pyyj/pKhb3mEePC5w3OgzxFoKAIuGF/Ad/SA6caQFfWRu4W2sd4Ho
G9hDmf7RT0DVS2HbA9cAVPevq7mnL5X1+108ieYOkPkJQsHAL+gcQkUmLOY1N9LlUAawcgn95Vtk
th7jwivm7D3alZVu8NA9bcq0xlXgs4K5YbyJa+eF/jmZ/XWnI0bx6rZkF9VJV4YeJnPbIeY3I/pP
WR35HcRf0EQzKYbv0fQxaNwN6tw0KsJinOU5niJ671beXPsDt/kc1emrt/lr7vnEu18DORWd9GDX
CslAeG+HLjgkfeofPIsvU/jG3UiDgoStkvqng8XmnnUR3xMaYL4yjJZvfri9DXDdPMagEO7nbfYO
dtmiLPCcvSYUnplZCAXpDrZ83SHlNnqli3Zl702tn/VkwlzTgnGEAQF03m4jGuRsi5PCE+LdSwJ5
1c0T+x2A0wGFK+SjYK9UgI80zHxDz/Mbd5DKphEoLPEiDvHWe/BvJWv8ra3W6rcTVZ83qrPbqUuS
+aR1DAuWj2FqMgn3SGEDPuSMrXy3yrC7C6J2eBBagH4UmJ1Xp/3D2Gt5Wlwavqwi8Zq8MzrEuH7X
Q17Jwps0hgKzC0cMlftT9YZpQw96syHFbteaFIozOhSe84G+GVlYVH3/tkpBjrPXum+QTMinqjc9
qO9d/Qb7UxPm6CzUP5gNXHSYWyNuKjA592qrJEQCU9c/bn7bHRkG/zPpw8sqWlGGLdck5vvOxiv8
R7b5R6gtJnibhfQ3mIZdrrDI2J94qkkG/yG/hE0nfq+3Jtkspc1XI+LcplAnNlr5h7VZwwL62+CK
hhNK4K3kJGuW1ttZTBtEu5in1b6R3TBl8wLdb96ldZNHYEvvO560tzyF842dJzxIn/tlMCQDnGN9
/7RVtoHcJhzx+bL6topi+ugcGR5XLbdnsM7o3gMF/UyptUVEVYq8f9n2MQVYJmcfgJ8mnJsXh3H8
IlEs2jsM+2FUfTZXy9arZ2cGigF+3H3H/SBPsOmAjMji57AKxwe59UvZjN7ys1IEpYVVdBVkDvX9
ouAtPgW93k8DwUlaO08Xk4NpV+xrUoa0nV+TNazvoMuI9hWAqMWcRiYXhIi88rS8RrN22a31VJ83
aczvcejVDcXGv2t62n3vMGdzleo2anP0XsJrEvnkaNqwP+CzwBdCY3mUmMLcrfDULuUIJ5d4WnUG
ug7NR7ymBZwvSXfAH3nPPXzGmmyASPxeA2Wz5S0byO8ZdY3rkXFxG6/jh61t5G6aVVbfOrjgvDZe
18IMcxDXQGQke7rQsFgtH0/QdUME7UaJ/XvCpAImg06136wM0zFB85SSEFL6hEf3EuqpDJYL3ePm
VUD1VEZDtM7AGnpR1PqnHjVq+OwKsQ+lbF8AkOywMcewet6S+a7TaQLTszDMeQwk0UjdsJ/HZnhW
o9Y7RgfxLdraX7MCcrUwabqdox7vKgXK6wnBBJY8BhGa4xau6zGC8W8EreosWO5XGsbPMbZW9xAi
03rzLAhXZdc1kB4Hw4NLh5uuYZnCEjcdtkWB+Va7RZxCLlOH/m0sAXUvA0xtwEStUt9Y6k2nQBIs
rUnJQ5hC8p6lU9PrXNomqa4hqqmnXJPQmN2M7fGAuSITQOuL09dp1UN1Ljz56EkfvCULhKZpO/+x
FwHArDZEaiBRjwhHZTMDgRIpycaTe9f7XoltC6Qnf13fPToPJeyj7HgLdT564mvioN3naFLHbPpN
XTy6rJJw/vHB2oKs36/DCCdby7xiQvzzOpJlePZZLFk2ikCCSWV0bvC1yMwmAW9zf4uqt4TjAAgH
/32EMORxM4phjIFrwDwm4YVBvq4xvJRTYPmyse3pjvDO5prG63UYEb3HVgjn5J6ao+mBy4SjdzRg
MpItOvcHUr3FhIkrFUReKb1xNXmCrTSLEaiRQiYhtsQtTWGtmeo9zG7draE9e47SzbtCqTqEbxaU
/QOWwm9Y34ls20ZTODPC0higBzCvYK24d7bxRgzMcVcXQ4M0IDMRTMdBCSD2Lq4as7PQuV3NXYiW
EvBLpUicwDRw05+0TASMpsNK3Ca0hgwScwpPkYG7eFbbidyEpOrB3xtbbPfhQoJnCbbZuyZx+8Nj
YG7kqYMcqnGIl1uJnrbvjd3BLNCVDQtVdzZduz2PA/00mWS6ly0OkM6KsAgwQpPCEyGBTVPHakez
ZfTcE4BYMPOGE1LXZVB0m+QkYRUE+ELQPc+jbItqaoOgVHyTtzTxeFioRAa3qYwSbEVJt4aY7JPk
JVAOekbV9OF7lYbuKrTTeIOpDvTSmsSVK2TE8EX3W5mPyYdaTqqRv0fjNufDxOPvepEQ41gQRFSU
ho8LDeyNWD5EcdXmIphnVwP/PXspiQ8Cl2oRXn6wdzABs6iczt2yI8l4aIcxAig4rVA4hPxqD76A
uCKJSuB+aIW3cw1jcHoKAns3SwwWVSuy2YROrlhnDaN3ZjaXt6vzx1yFEsGMtY169HTVlHp0462z
a6qzxcFUO5NDZO9Bvna7RH2UtAhz7UdoT/CPk24ywBThSoKpxtKfZwRN/YQYfxpRKOlWG0BYP4rT
hDNW5mLU2OEaaP2TPEp4/9Bxz6hsWnHHPeK0I0BsyDDhr3WEmJ9fNY1GkmMWfhxDqI0y1hGvtH4g
jzNm28oxVuo6RGJ2wuP1cxBx/J3B0BZGYPz2ZrI93+sPNML8MWCF4MUbz5Pvi9yyBfP+DHa/wAKN
39cEw15HupFpR2TT34+UBeVc6eTcxjgvMPOw3aX1vNypcNJJNkElCkfTdr2FQZubcju32wHojcRD
LxtW9iSpx2fPDWGe+qSCtljLZ9ItyXUUDqAEjX0/7lsm4l3YaEjOFoQgmcKkRj4FcbvnqvZOEWx3
YVjJpgevIv13hyD70H/MiJnEdDJDBNYBEMc7SNE2iLAL0bs6jwdvfYOKMX0dh1EADhODYFJhTB/0
CyzcXR/6HuYyu/SXWBVsHNpOzHndwREcsV19ps1UlUSCfoHxJMhv8sYt+Bdirp69xMkz9I/VH3jM
ewDb8XHfOenDYgtoOgHZYxE7vCSUPus72y6uLdehindNQGChnvTNHjK5+Mw22WHddOD1QXmFxLPz
T5UXj00ehKZ/rmcx/rRwTnmTtIl/4P4xVtjRIfhmOdi1sOMkMF0P5MskKs9kAQoGu7EfdRF4ih0i
ES+vyQClDUjW7mnybMGc29ZMT/OiU6R1gD8c51qqhz5EnFTMsm0UqkieYRBC8qGok3bbASfnOGJi
/+OmetcXSPGg2qzZIA8NToJbRWd6700ju8I4xkp3Fa3685Suc7lsPAUoBUZraL+StnmD4xMV+9H0
yGKadUDWFQJnNsCMrGmAkvCSliKDZyZnaeMhcNXyWweSwg9gLlpTBpuI09tmkHJ6DBpMJb3V6GTV
ZYukuck9ObpvGBUIrsCpCQ6pYyPUGNjn1VTBEK+KLConj0lPOWQzULhDfjQ0Rc+Uf+SBD+xEh4cA
BPu4Dj/RLVBZoPTyGqdtVKxCR0dEYvOQh6san1rTQkQZk20E8gU9l2c3+nFdVDoOUQ/pmX+K1xDc
mNq55DAbiR2hQjq6Wxj/FTih7hCrTFkFf8Gg+EDop/nYdDYqKn7QyA8AWEyDdchdRMGnGcIRvBXW
NzUoJAMUmARVrT98HdbdqnvosVEKUXvWAu2yrPDfpOEClC6XNX5bwI4hcevPilIIOrdJ5AYP8SFg
m/c0dgkvliUKsQkBV3uFcesw07L35mxM+Hw0y6JuNpG0YMMoscOgFnkFbMCeGGK0U+ex6pyuQHVk
yuu9HZAcbaHl0hxWSuQ+HWNx3RsfxRaU0oG+EVG0j0IIPDfmTg7RdoYaEBqFVe9uOuRGRbgiAMy6
yvMPEdkkvkbkRRBNawWJNZNJmVTdtCcEavl6SZodTxp7bfUGuoxUae4705cM1jLXQ6cqpAIp28/R
ZDIMdq9vI1CSiOU2sQukP9zxNV3wfl0rS+zZj32FVClgYn1MBaR8YaSjQ8T1lnOxUHiT9/R2Yjw4
6gDkCDCiIo6p1MWWA5DBJ4olvCBaXtiPLcYyzcZB0/NAODuoSWt4p2EIalxM89RY5X4gfOxeW2IM
yNM4wgvt4LGWxaazN35HlEMEjjJGo5PkVgrdnomep3OPxiFOaNSPdg6J6b1Ws/7DVuLTLE299Fej
QMPKDDLrgvTMW/KEx9iVR6RIc0r9EhvxG6u7a+5DpBArqOhJJ1HnAg8J1NJGltzrYFCXYJIBvR14
DQFnGxamYmYXtzRBnTFs4FsM9yRkjxDe17avXj0w8O6xmqoPTUJzTkVUFb2LI8Samy6Dj7Qsw3xZ
ZzMMLvACyWZwmsGEqNEXg9gzD0VQvSGG8kqMzUGrs9nxxFrgeSei7GFU03CT0Gi9T2HJtYfZa3A1
pfVwFqGQP1mFzAkwDLoHWARirrW1fI9SYnq0VgVZ6HXrm7+F2z5N+AoWVdi3NxBreFet788PST3H
z7UQftFVMqxzLbzohEDQOw7E4P5TM+6NRKV1IltyRmkdgOoOAgaKDAgHvqcPfITAPGvbGpPQFbp7
OCmGDlEBSX4z2+Lk5EriYAv6KXjyltGnh1VyepCDpeUEBBIr+TI4m00VbVEDSUVPP7K6xeTIkFlZ
a2vPWK7LHkh8cBjBoM+2eHXv8xTVewcO6w2tIryxNAjMeYJG5EFpOoHcaNF8F4QjJuVktVcdciSV
zyOSQVT+oj++wtQtimmAOvE4jG9JgKYlWecUxkxxiqEAOClV38PONI9m8JcYwPjBBEXsVxNcPpNV
v6e0a59QF0uvbTVHK8ARjboVSwq3WaBUbxW4uAVeU3xnfBAFYI40vFeaiQc61kuxaGQ36I9GQ0kN
hRFm1I2lB4cVuO4y7xwGAz3YPhh3fSeD3dD0SIWgfkItFIiJFz430wFRTn/HsZGWFAMjBz0P1e+u
he18Pxt647i1e56E4zFUo3oK9AfgYUbP5RWgrgEQPFC+QBgJD0sipv1gGu+sqWcPEYY6tqxm6DZT
HMfvJAoAWOi2KRkKjHAHd9xSefB0g4htU8jgAUOoCW5BBmNWtcQHThSjxHPod/sID/XaYnREZ7Wq
2y7rB1rdTITVBU+beYeIMHgb1cBNUc0sRA43Ys6gHdyDCyXsJ+EZiXYuwRe/B2au4XuI/cUvihjq
RDuZRplX0e08OBTFclDSkt0aY262tdL96O0kfIyxJdPemDj4xlc7lE4Hei0GPdM8wap/MBYm3SAM
eD88BcDZx+3kBFiKMx8jL2Nw1jnAHE5cc2ChC+K37LdYyLvnTaBswb76eVjibgfcwvAKIVrwNo3x
cBsOdvuuwxaVWQpsyGzq4blHkFEq2LcXXt0XOMQKDxah64FuK9nbKE6ig1n74FsyJtZlQLEP2z28
3lGPXaCSyPzEoigfoyPwnH7EZhWpuhOCBFqCi9kVKwGKa4k1yX0AwPBJN8BNINd2TxouRJkgsffT
M44dA+d390pP0xmlC/XRK6c7pGLsoDnis6FBQV3gHNv3Un+Yu0h5qpHlrTnmb6J9XMt+b5z/06U8
feihOcLph18jKlTr7CzF79j09XlBPQ3GIf785E3gLepKJjj2uAawELjWGY3AjLkFkUA/FGuCNMgp
avI6QcnVh8vQG1q27TUJsV2HtrLA4m3pVQBpXDkuovmhOh+1BfQ0rqGaxT4vMFKFN9hAgbGhpQLw
Rx+p0kDUAuhdFz5gY+A7F5MesWuorunGodWvEAc+BqTCkBoCp30vlDt2KxhdSMWQedh2RoiNOngI
Jfi+AWPlscIAQIGoA8eq3pqy5gSoxYWkLEcDZLyJdS2/w/uszYI6xgJmQGgFkUNAVK2iDG3j58Hw
Ub4f7Qvz0w+rC0/gypt8sX09325y8J98F7+YifCST1X1Arz5u/XIlrWjkXHRUB/EQBHFBZrw7+Gm
1t9gdKAgZ9cYlWamS7GKeisjMNzwPFCY8zIXeaj0snTe0Y7RV9dL9zRstaxyEP0EErmwZVmbMFvW
IZQfEbiJpayxXaYpytAAbLijEcSeK4w8PkTVhuW/LOJBmHrcBdyjR40oBZwgPFdvofy2mab+jdvV
7Suo1/cA/o95pJuuMHAuykYzuEwiKlEQbOp4l/ppsqs3lP4QcIobizCQgR1XYWiQp6SMppCB1hYE
OTRo7BCO2gOveqZlmmgMYsgIirdpC1/jZrVl53p2FpGTZeK4vp/WCVo7IOJQZCGAJo0Lu8FUxFxC
kToVYlF9gXBV7/kCT+jMVOmScU7dN8SE8U3SCv8dppoM1dbEggwYb0tGKqZyD+p2CJnWn3WF/C3r
ly5+9mvvEU7C3VxOSuh3RkKdB4CH7JrUH26WABX7NmmHl2ir09Pm9FbGYFUVsAz5+LyQndhmgP2A
FBSoB2/NfIIzKlJN870DV7eAEVq0EwBuAgYyLfrINt7vwQMPS4J60lvTRN6hIrXZoSuNRKmahvrM
IVo9L6iDZjXwsLuULm/Yg1Ao4D0rpByWp06weGdQrDhUURLfQ6ET4oek6LsIEvoTyHiokO4tugAf
2/YAYAdvveAXBvL8VzJz/5Yjk9r3EHdlXBt4tzg0ahoJr1bAS6YM3aOpgI98XNgNnc62Xl+7ZHAF
Ih1c1fRip4jwTrNYh2MQpGkuUdvet8DcFMw0S25JLwsuqT7UPr56q1AiyDbE4Q+UDGLv6Zpf2bVf
C8ucOvUCqWTcruzII4dIemnFEyhHP9GCUeUqu6ZkS1ShDI+KKVkbb2+dwWu1rQCGEZHVDb5QgPwQ
iBy3DqbaqPxsJ65rsNjQoyu2Bfmp5K3GVxyZu6lSZo/4gqZY29FYjBXvYImW8A2E0ak+8KlZTh+I
SaNuFabLU0i56fIT4mtsFWrd/EzHKj1Bhz3vbWWaD7n/HN9hkBgi5mbuY8xorvPvAYX+2zhsJ/NY
o8BaZQ0FWsduBgvTA11tFwlf/fCjLQLQYfFvg25pTnOK0aV81QKdqqZd0gpVbQIXJPR1KACGGyCH
mfUNemeDRjWzrpTMY+lLIO0Rn5RiiP1Xyoy7ZtJFC+BzY7JTqwuKFIDZQtbYEeHqMCQ7oob5RzCS
bodR+rYAv6wrBoSHL+vsYgw6jaz9Ae/H3gCGO8iwBFB0+QVBS++gj/PMFWuD5pSESfIdADR1qlJl
fy1ocYGyUqnkOp0q/47VCCpRqfSvg7mP8D3XbYZE/7qB0dY1Awj/2sz4vzOKxlkMMqkEnylCwxtA
JFrt1eJ3sgwrNR/CGT7cGXpU7XEioi2bWdRHOwzu+1xv2uaAdQJKANzSD9Ol6wuouvZmHatoR7oE
4EkkH1kEcuP12JnpRoYgpCVNED36XUS8QulVf4BAbYHlvuxHNbNz18rt3rqFlXG1bXu/r+HoUo8S
Bcu5Fjs3L8jPsTuhRDsEiP87eYMKXl0CCgt0U+qFVV7rxfzQJIVqNQiEh8KYxbpgkeLfo3kIy9Y0
1R42rs0O9sLLvfThCtejXpKneqtOKKCre89WPvw5x2BXgYL6mFaVfUobFe89wPGvh1/UJ/oJM/gw
javnYIJKYQiH/kbPVuusxeeXRytKrdmKWuRrvHF8OjoV5zQQKW534zuAI7ezaAWyN09P8Y2XmOEn
2t6BRYoRJG8IdJYoA2srNMUSpEsN7KxAqWMmU3dGSTxuz95S95g3choN5Gg194Bmo2aQxGFSrsIX
Xdlwow/JEnYlDTV4WDSy1SsfY7LjQyzozqySnG2AdZP5ylffa1Bh3lXnNQ6jZDF/Qe4jCkwF+cc4
HWtIeiZZbhgLQD7kog1N52ix+UDpR2de12UcISFCGGpvOcPdZ1EFk/J4a901BQ/kd1MTkvfCkNL4
EO7lymvtrdgC9+B7tv5OqXJ7B4hjAMaU7fJtQwsTu0Sjb0YI8K62sH6jTom9ZXH3R+tZnFBi0s+B
DuN8CQnKNksPK7QlXl+HRuH7AODgfcW6ex7Q4w/BNhXLgdWIEEDLS2/Z2oTXMgIu2y7z/O7Z/+Ps
PJbc5pk1fEWsYg5bhZFGnOgJtr8Ny5E5R/DqzyOfjY1fFKtmOzUFUAgNoPsNagrZLatulJjvA4qS
Khvy9Gf225ihJ9rWo2PwTheZxis1nx+aLOLBF3MK7voYvM4hU4yo3Tipw6UsUFV1b1kINlKHz6tX
r+c6vekdnTJJ7NWFtbcitbuJWgoo3ux0+45X36kXEMA2aaJ4P53Izl+yDqrHpmu7+tNcFkPLE1xU
7rYwewTxokgcOw15vRIDpKc8xexgm5MC+OHgPaedOoFGWC3qdi94QVDoVQajQLwUOzcSWI4H7EPj
iKySnIIXCB1vSyYrfJ5NXr7xYIi7jlLE19R1rVenNrN7Lk3dJzx+s2Mt0nzXFZQpXHToSO40+qFz
eU+PzM9TUWj5nnMduVrLCJ9rEYxPzjje21X5K2oL7aG2LITp0oFKOD6Fh4aXykYVZr6fSlbpJjn7
V1tGrP0eKfLf1kGEHjQH485Ku/xAOri8CcPR80U888h2bWuPuIG6sQ2rJa9jl7/ZbcmTlnvjTR1Y
45M+zvEtKR3nCdsQa9v0SbSr65Lcgd505Mj7KdhTMRJHgezJZuRR+m66dvZoqa754BmddkeZJ9ra
TNDe6Bm2epjHXSOAQbRG0d41rW4+G0Zo/uZtXR6rvOlaUCmjejD7gNyUoQf686jpyc25Bj2A60jh
wOq8QaiIOuRtkYLealOc7VWFtZl0ZKBKO63utZJ0eB+R09nBCwyOrOnEL+0GIUHDQkUrwx0shDLQ
cKUvnCbQ92G0aR/IekRNIaxNz7v45FDQo77EqTvU5MzNyJgeKH/0mzHskq94qkzjFm2E/HuRFr9F
FlSHNI7sfZmwgq4j5xZwhbI+feqkdea4uYYdE9CZvFCtG0AGd4mCL8cwBh8Dqso69WYeIG0IcsO3
SRsilsV+9UjaZ+nr9V+xgP/7A3T7Cx3ZtBrvTa8Wflx5EOOV3C1BUOnu7wi5wv31PhYAjLJWvZhB
f5WDPvhDymvomYh7vd0FBrMtO9HzpEg1d3KVU510p6RLeYYmEfaaOiLZ1S6J69OUGCSAhoMBWEyL
7NsGTJ1SrWAnl37X+e9/jZ0XtjPBzQIAnb81zksFmPv6D1uaFAn9nIcurzb4Ob6ZUTGpN73y0wbn
f73xpXUrQTLJkaUdgRRCsYCxpjVbxUrZty9orl7vYOnrJURmpXAwjGEc+oNIeVIe4wFBSFBi11tf
+nwJgYkKkq12FI/9mUqfGerBjlfpjWVTG1dVfKU+1IvsRSQ8ba7UMAp9sI7cdR5UozoGrbWJrXkl
fCwsHtmPKPQas2dSRz9FaDs0fxZhs7v+7UstS4Bn8q4RkpKdd1KT/FAa6V6dmrfrTV9mqtnWeVL+
WvGl3gGDCq3za6h+AH34qw1N1M2nnKew3nhb4Q6flTlc2wcLc22dV9hf3WlVSx0vmDvf1r5a4ZOu
uds2+VQ2ysosL43U+e9/td/xKvEUxEd9KhzdfViXnq/Vbvz9+mAttS7t4r4ZS4CANWyaITmlvfuY
kdD6WNPSHp6AosVUs7yTNbvBJqn2SuGkK20vbF9L2r6CJy4md+DlkT+lZmSMx5Zqz15N86frH7/U
gbSDs24gqUdN3O+L6sGIeShADP2FsvXX6+0vMI1kyWrMfa0paKcczLmIdmNQGo+her5SoN5tHJys
6p976gjPaJG593M5Ft3HQpOsYm1jcTLMNqQSV/QwRXXlYeTisU3H8zvYbFZ1o84DdQGELguctiE3
MdODLw3A9RABRtGz+hFAHXfK6fuE+oxmWi9B2R9rbY531wf1DyPjUqfS1g8NrdAVA8lpz5mMB0VD
SFeA65t3pP5Jy7hhtY9AvtxkSm9tBjSwd5buRDcYr6D5pZvKtlUQC06aCflfK0huhgpPAsCM1oFK
tznw/p6AFERkkDaKY1S/Sd5ji5BkTXKMOlTWABCJ+V7vquSzkZXdEV3k5iGe3elem6f0qY0D42B2
WnvXut30Ercxr4qmy0wSJ0W/72IW8Z7PzV/jvtcxeB9dl8xBVXAxKClM36lOIp7NJvO2ljeFN8Fk
2wcvcJ1kQ3kO7JHbxPF7YNRvwK+Ro04140dOdu1IvTM7VE3T3/amc0Yau/hPQtLwh8Ced6j4ia1I
E/1BeH22TxQ8aFGQN/bpjB1La8+U1z3Foqo6dtO9CMBbR+35Fpll9lNim8NNWVs8lSa3c3i7ibQ8
pJOT3DiWMO4AnKprh8bCppSlMwdydTqlGHyeAaiQHtSC/tbuVlQoFiKh7IqdGwMQAQjGJ4dLOnzO
MFqjMS/sdVks0xKWMieJ6Z60qnmqgrbfWYHyOg9hu1W5ydZdue/M5FYDzH19Hyz9FCnyoh4Zq63B
1cxBFOFmyuGcw/jQVy4FC7Ngnv/+14HkRkZCSUjxTgYFahfPLtv6RBReiU8L3y7r/GJCM7j1OBOf
SDbfejnQrXow7eP1kVn6dum4a3qRuY3FmeQOeHlQ6i1Ji3vkGT/WvDTwilJVjlriwQLu92meJ+DM
Kg68uv38sfalY29AzpOiP5+viWJbBMEuKx/iZM0Qb2lwpDNPbcnLJz07IKAQrh3b2KE4taYVqv1Z
7heCsyzjG6SzmmR6GZzmChMAUrf94ziIG496vu8U+bCdG9MG86MYu84zf8R5lX8fc/5f6TMe7aMw
3swmMnZTdM7tefAs9+D9wpsCNV2wClX8hs1UdlCVrLmjiAbqswiF/ewZgGpRB3MeqQa2BzPqtEOg
dfhVq5G4DbHTizYYkoJC4wx8VcPAveEhNj03avct0jClAb40jE8oNGc3eCtmXz0b+XFywwHZ99J8
mTziW+l6xg2FLd7zwOwfHQJVuG27KfNNN3YBz6kOR2yP9YMx4IpipvOhV7reD2YN1D0K7/su0ZST
PQBMIG3qkQ6ezG+k8IZvVp4Vp0Kfyt923JUAITr7SxRr9lurdOPjpHbzg52H87kAYCG+2mXzjadr
2ZvWVN3DKBRyFU7eQxLSps995hhfBk8rHxSkWusdeNnkTngo6WEKZZKOibVvQZG1X13TnItd0Kja
WSOzOCDBZX1yKHmegBE3n/R5QAd/tkHjC1xSjv1Yxke7Hab32lbcO7wzNSplKbBSXQPbwgaLSeGZ
oMQrCwHfRGTQWwRAvkqdNjH4rFfobbbf9bUGfJ1iIHqoE8YIsQ71wp5IsfRB8ROqgPJiJFrlt3ps
/qdYXf1di4LpBsmm4S4OUvDN0KnvTLQltwG0p1soK6T5NCBMTaS9xYFigVpwzeguc3qCb4SYr9HX
6atS2cm2y1pDXQkES69+Q9qpsK3yRms1Lr/WZPmh6Ls3EGrR64yCFdi0pjCPKmXsR7yP0LEv6m4H
7YhUHBST+zQwpz3523nlZFvY17K4dTB0JtJso3dqlbtB9A+qp9yV2rBy6Vp4/8iK/MMguE16qney
+29QErYiBANsP+TjauQ4R89LgUO61WU2eHUSPWhZj9MJLwiseHIKWY3xG5rSgK/NhGeXgQ2c0XYv
qu59nrwECzJnTbjlj1TU/36AJsvRzo6ggFm0kx8WCVSFYmoe6nkQ3109xFUimn+qaWPu9JCHMmr8
4R6HK7Bg9gyBS097cRf2AXDIpOaoDLEmuX4WXD4oNdmoPC/s2pgNd4JTOu4NfT7lbbO/3vTlBaPp
0kEQcEUHCsiFxZo/2+FwGrsvmAB+SGOEzN2/14feBv086VWC3CglVLK0Nx0gk8DWjZvrX395QRJf
/u2gCo3WBIOFBX0D4m36ZWNDPTo/akS9r3ewMDyyJBpYlR4rv8TwFd1+Ek3m28jCbnQlXRn+ywkM
TZPWe5tZY8NNXviIUzfPpW6EEARM0OoaNKR9ZWTUJijNoOI0GmsZq8sMZU1WScNgLqSANMS+GoL4
8eZ01+T9oW27L04ZBiT4qx/XB2+po/Ny/uv2mJklz64pmn3Fu8egaAtjaaPg0IeMOPTVaCUoLQ2h
dM8bnXrW8s5LfGy6MVGjVBh8bgGIU1bOWu0OUMd4F6iG8ZXKnPmhyxklxH9/WeioatIEgfCRJT1l
OIxG7Us4ta/Xx21p0UkHCqhgY0i9dvZxKj4C/bo1AuDh2NJ9rHlpyysJFfShxfaxCLNdWgFD7nZa
9el64wuhStZOG9LMG6bEdvD/6Z+htD7YdXx7vek/usgXYrMsnAajGv4F2EVGfXoM0+gByCgJG+Wg
CQvHUO+lKxsyATW3rloxDxiArozYQpiRRdW4dTZ666Qz9s54WyoQ02/n3gFriucjvEtMalbCzZ8F
dOknSvGAmuCsJULwfhxy4xDMSnvbDEpxG2X5e5Cm+UMbVONmFEI/AtkuNqXhKg8duDwe9aNYe9ss
jvR5Zf61c3W3Q2W8cYU/qeKurFFiKCr2V3CT5mrwBVkwkycJInAd7m43gZ4Et501tSsJv4UNrUph
Q2BXqBkDQb2C4JpM72hOQ40bT0P7vU8eu3hNR3Bhm6lS4ICS0g19kc0+1M8CYHA3b5sp0KDm5x8L
E6oUJsCzDubcopRhTv8N6s+CxImjiJVhWvp8KUr0DXitNqpc2PVvjg37Q8P1LciO1zfb0j6WgoSq
JZiHhr17GgLxZHTerVX0Kx9+eX5Bdfy7uJAfIjvcO6M/o2MXb7ouEqSjK23rpaL47jaB+p9eYMpk
63O9drG8fBSpskybmXtqPYcoSc1GsmnV/xLx7rW/leaHE/+6PmCXp0OV1dqcQS+ADoEy64FLPRQK
DDKFHLjJM+zmeg+Xp0SVFdtcCzaJDRvIVxvjnYs4JJLhv+tN//Fz+N+4w6Pt3zlRCTt6XrNSVTQr
dpAbJwBfdbPVzeFX6gDRQhJdxcJZ5SGp2tmhnxrt2eVhfrLAO9zDHfw8AUO8bQG9fO0ptW8wtoZI
isfrHuLd8LkZY29PnU89jkj4bLzcAe10/eOXRl6KFzpWtPE8sFRza35BttA3Ew9IXmh9sH0pThgO
gofVOMx+04c4C0ftXlW9GxV78JUN8adcdWn0pTjRVr2D6mUu/FJUyn95F/0UZjJ8AuToIM9V979L
IfKDnbr3uumKHc6Kyd3k1gPEE9X7WtSuAjrZwQi4ydKnAN7ff/BvQe8awXA/2kHzrYSVgQyAgJqv
YZzeNIYBVSr7AdYy2c9ZkW27tIcmI4T2rvdZusXpUfzuuXccUqB2z6gBVPsGjM6tPVCdraFVYirX
NcdCx0gJjf7vYQ3ExCqC8hh4CfkYMICdDw4wahAioGldN0CMe275ZJsl/kHjszWW6lPeIAIjjCz5
Vg4VlveRcKt7C/mcbaX33vTBGZRCpYcpXunademP6tdJBR5UYmox/b6+/Ja2pRQph1TUQa6UjW9U
fY2TZQO0DcWWj+l4q7IG3ujhTo9Oo30amUx7mn54ivKxL5cl8Bw3BR0UhTpW1nV3E8ww2+wmrlbQ
EH90zC+salnvzg4wb1DJevtQE3ZkSTZRre266iUdVTQR3A2spNvRnE+eRrhIs+GY9J9aIfYJjKqy
GQ5CQNKEXRJZ9V545kOopId0Jg/GQVdTgLHWcBsLMyjr5sVWRUpKjPjkFVa5EfZ8tqf80BWAPM+/
gbVGi2MCECb8sWg3HZZJXf9m1WvmOQuhz5VCX4eIYYKDqXPiqhTf9yYWw1DJ01PQ5MOaaN9SH1L4
i4BOIyjQOKc0PY7zM2zX3Ph+fessnMquFPdwZreS5Nx03WLrMEL+SNBeaJHS+K/w1pRIl75f2vwj
MuyDPqn2SUuKB6fL3ptBO4yZc7j+G5YWj7T9Hd1BRcMseAqWJMSqBo4p9ngfaltWvhtIHZbc84Sv
IRYVqd+qbGVvLgy8LHOXmSoyaJXo/dJUd1mcH3u73KjeJ7VNKBGGH0pGqs65979eEQ51+35EiMA/
I71d7fOQ/G6c/fWh0f6EkQvhRVa4I+gKC7PiwdcVaJ+VajdH2JUjBHooS8rOSoCckPWep2Gr9Zq+
M+KsO2YDskeeicGgEd+iY60f6rAqb5sOvpgHTd7e9sY5nQSYV92MgRKSRYA3BAncqLppYyOMhdZT
YcYwCUcvOYzQ374GavNljMD1wfEQ+1AtmxsVvaCd5yrjDcen+2jbtUZmhYIEmZ0mq754VpBvHVPP
cIUMIn26w0cZ+QGAadUexRDrJYXysNNhGG+Al2Z3rZXEfhY7ydEAl7+va3P8nYZO8m2IUO90rCbZ
wwdIOLdTnYpsM73A2rfQ7MBi6NWrEY56FloI5sApc1DH2Dzl/qCk9m2pRtYBVbzwZUSL6TYZtQDt
o8FBwiOadkGaF7dZj2BJFWOHozY6YO2h648ajtsbI07hAwJhzDeZ2faHLu/NQwndqEB7H1wvzxHM
nhEHCVroVjm059GCH1YaSumHht6+wpaEyQkWiyJLkNhHxRLOZ8Xz3H0wdgJpJV3svQKOoFPY3Qsq
zvmNGTruvjYGaG9A9hPUm6bKfEo6zUb9JbHuzSF2tirffUzdwXgL9BlStiNaIKeKlk3fs3yaUYyf
kYxR8+Q+gue4b8Y2f9SKpLjpCsjqvVW1x3zAbBa3vgCdzFbHLHJuJrTNKnDcpqsb+7DukwcIZuk9
qmflLxTTKIuUzZwiKBYVot47jl0es8nxTjryAk+1W6NflXktWWwzasO95ggj3OcCvL2rBu1W4Tn/
uR4bhe80MSAtWjja94rugTLPyjyJoJZAvo6GRLkphBLhcm39eQKAq+6hjeLCNB60qh72mm1VL1mh
Wz+sSqj7LAhGVLxttzyTK7z4rYlg52zq0TWeK6/lPUqGAYpaNs/jy+yJFpaBgOGA0FfPKt1Vzoti
ctYanmL+GOq+/pR1WnyjZmX1ngTxKyUMcdAx1LRu7WiA6OJGVNTnudu2Yd4ecQ79POv2bCMF10Ly
VtQxh7sIaG5bN4Fh3YUqCjxpb4zxzkzD/mPCxKojnS0mOTSB5ot7Sgyl35aze8gM/c1SMY65HoEW
zhVHOldQTaIiid6er6M53U88DcKm2Qc6wPLrHZxzPpcCnHSywIPRezNWrFMFrgbpNoyx0SZDLMNx
YGQGUbCSV1s4wWTgcD4Juw7nMUHHsA+/Q2VTEAXGnXzldbPU/DkN8NcpEEPkgBaiIa1opjpeMUlx
i2S3vvvQIMl4YcVyhQBzbp3Q8UCiYxtyBdK1h2lQVz5/YZplsHAkjMLCido8IQGhk+irvftk7dm9
1Pb5738NDcXxbNTdFNFckOJPAhDsr0kJ1N3gRdbKHX8h2eJIXejhNOFHCfynFchMJZP7BfY1MU2L
jqmmPALgPmR2+8FrxXkJ/PV7vAS2UWeCho+tL1AEtg2FOjPmTldD1yja/fUpX1hQskQs1E8rmkVN
3q5Al6I8KwB35dR9u976woDZ0m9A0ZTkEyxkX7fm0e+1CO5pBGCuAJe+N9kcZw9MsXG8vFnBJy/s
c1u6YBtO6ThWbpNNrfu7QoPG6Gntj9Ftb9vMXhmzpT6kaAglqgsURB78CHXjd0sfxUtblQp8o8Ta
G1GkrFz5Lnvq6aotR0XbIFXdWrFvOS7UUWic+8ZxjG0Ta4irJdkYv3mJ4/llAAsJxEe4H5pm/HR9
7hZWhi1FzEJDqG50ASLqaAZV45kQ6lFvut74OT15IRzLEGw9zMy8mTLO88AtN0Ezd7tRbX6qXrAd
XLrktpmM+j3s/1/XOzxv0UsdSoGzjEBCTAbwTcNxq6Nmj0fF4z6qRlq9siou92DJAKwoys7aWw7m
aijzFjUklhAx2Kfrn395MizZZl3RIP+hN9b4g57eJXrC0aj9+FjT8mr2NLtCBcw5eQaZJeddFCtb
cembpdUbz0aYJ7zmUM22N+70UIdv17/48v6zTGllTuOgplWSYZ882O95A4qJ0vIG4ZBho47NmsXg
wufLsCsLbjMqez0+fUG2tWO4JqPhrOUBlhqXlqPpTXjVwdf2W14L6MPAPk+KlYV4eW9ZMrCktAw3
65Vw9muYYzPsdqr6ByhMd0VvPJAc2PV6e1OF9sqbfWHdG+dZ+uucGqrUTJQ6mf2qunep+ITG73QV
ArrU+PnvfzXuBY6rqFCefa7Em0xxto5RbpRxDW60NA3nv//VvFJZzaiWbu5bBkNSZPicJfGwEuMW
lqkMXzVFAPuwNayTFiJYCzdU+2217xoE2Q9tA0PauAmMGD1Xm9IX7kMJgBhQfOp+UvuPhRwZiSWE
acOSb0sf8HkM19H5iS7Lyj1waWikHZxbljGrZlL6RoK4TWK1/T7SKei5fezexGStr4/QQunVkm1C
8ziekkKFIN4Wde2jQzaMm3iER23GbnEYEYXgDi1GXyl1/cY2NVRcNQxjKSyqye76NywsMV3a6X2P
2mXHljx1Sv4p0cVNU3avH2taSgll0aA3qd0lPlTkgqLSuEU9s1hZXZevbpZsIGpifYITJS9ugSp0
id5uac5P8fTVFi/Ib4PYr9fW8cIe16U9nsUd6uUAJ0/IlU3bzivUrYpM5oaayFrNYmG9ye6g2Txm
qip08+QB9YxV5FhdRDHbV6P4dH0qln6DdO2M7QqWcMmRlJk2Sa7PcxPvtHENCL80F9JOR3ELUU6z
K/080SESC629iQrHPWaZWZ85+iB/UcyJb7M2c35+7AdJh/fYw4VGFtU+VeZ+BMg0n7m707iyKZZ+
kLT/rSYNxBTY5knJinuhmhjShu9iSm88ldybEoWbvu21lc4W5kYGzsV1qAAnty30faB6xGP4kDjx
nZaEqyXHi3dL8qT/niIoc/eZ5/BrzmwRbml3atucKuODEUSGzU3diASYfn7YliSgPBeYcnr80CzL
iDn0jUdtdIsafT5jA6h524sX74NJHUvGxrl1ESe9O7PrgJzrA6o4BWLC6cr7eGFPa+a/o+50c1fl
GbmE+uy49Kn3fun9qU3WMlJLzUs7WrhQLS2Pj9eT27w1n+16pJpFijd//djYS5t60roGqpwz+Y3a
H2zbfhcJ9xrUJz+UibL+nIl/3W1KBH1M0KgahxuacwhVVpuzFvPHPl7awGWZANhTcW1youwxB7B7
ToEi67t6Q/gzjf/7YLNk7JtQ3Lb1sqgAtwdY2Bnn6cFwQRWV5I4xUjC8Tevanm87yJrWsx6+waSH
hYkywp3j5Pmj3bUId2pZ2q8ciJcXBFYH/643wStmQrHEBFdQWgA7ox9TpaLc7jyoKWI918d1qRNp
UTd5liNF0Vp+nVPiCFH/+RTnLvCCL9fbX4iFMuoPybw8jDkAfVUZIOT9HFNkH9QPXutkaJ+DGq3K
gwbDpxjRBBRW3KnbVpMJf3gNP3IeiEvL4jxwf61q18x1Oww90++seRvjxFatHROXh57c9b8tW7Md
pU3Nx9v2Lje/1un3ZvxeBh+78co4vKkshzxVSwTW7e9m81bq7WauP6XWCrdsaVikaEV9ww3rILD9
s9jdBl/Is9ZjuHJKLI2MFKmsAjhzpJ9HZsw3fXCnJMaud7/V1rASqpZWpXTZYDPDeTYSrgHYx6am
sYVog53jyp66XJ+1VDlW6S0ko1rA3Czbx9pE3DhDQwphcHBHtgHjpe9WjqTzgf+/i9OUwXhqg6Nv
ozeW72nTpsVF2WheQRBsBj3fmvE3tGNXftLlAcOF5t+1WjdxrY4EJN8q3SNGFe5N0CH21iOGdz1O
XF5PpgzAc9MsmeqIX4JEJvI7L1G8EoAuT4Yp4+4qkYWRY+u2P1DBuvXKOt9RthPgpups41loOGPb
9jFCgOlJuwL3qTnoLNBE7jx7CCan49ekGAMIjMC9MifRUcxEjuMYzZH3dH3gFn6fTN9WNWfURIZw
TJsdtb44FCZahM33PO9f0jXL8YXJMaUYGFpzDA9Pq/2mi5Ejq4P7Zi68lUC1tLSkzd7rvQ3SaHL8
Suk2bWkDQUMm0lq7Ky/ktE1P2utuajTpqDimj6rYpsOWulEPFZjIEbORmYJAaD56aIPr5SqjfmG4
PGn/JwgkB4AFUBTF2ctzvsfzdzR9N1N9rybvRvtDdZ+K+LOKlxX3r9b61PHYvb4Y/tyjLwQEGW+W
FVOqYy0G+lrvtlGTv9saOlxVHm+AMh2xKcDkrLudmujQF92vyUWjKRrsVzUKb2PNukG0da/VTv6x
qCFD1MyuV8rArHHTi010yM3iGR3YW6coV8LfwkDLGLUBW5apTwvLj3AVCDrjGIr67fpILjUtLXkQ
x50VBY7tqxVY4Anod7VGE7h8upkyqGys8Iirc0rPGcXmxEVevrmzAHzN0CKvf/yfVOilZXD+VX9d
Wro4NyqLUOcnpjEhdNWmB+RJWnhKgUdmLQ3OWCfl2FA/AEvQaOVRgQ73aGMHfNRGe8KGhKJZaupN
tM2SVhyNjrLj0Irxtzdb8W52vHifmciSFq6mvs9R3n23NQXprLHswi84E1CBm+LoqxHq1nOs9fm0
6Wp9vLP6wL4JEax/CDX0V60Gp7Iqt5NXACRiQk8P/f2VQViaQWnfQ0ifS5GIDv5S/RrNMbYT5q/r
47tA9DBdaYd3JqzUvkcbIyvr4WdQmMpNGMTlcVKd9kfIEfAwicwqtiIuo6ex1YDzkm8KnmbRj4ex
7aO1tbQQPF3pwNEGEz8op2T1t9jYuEb6nnf2C8okawnrpQ6k6Jxha20WjWv5CdZ2IWoLBfjOTvl0
fSAXDi8ZItdZLQLgukBjpFCMe9BZpg68V3hP5WBhtYaABp5CPZrvH+tOusUoqBImGqAmP8iw+iM/
etsWCYHZnp4KN3owx3rldny5ImLK2LlQdMigtZXug4w5W1E0PfLNWarj/APrY4sYK9rcZtNtnXJA
qAQD92jtCFiILrJeTdAkNp4AgeqDUxq2TaUfMSmJAYeXPzBqWykUL3UiDWSWlLUypo3mp8HnPgVN
lz1jGrlp9R/XJ2ph1cnowDnFdSlzVPLkjvkeKzouFqAF1Arl4lX9iqU+zn//K0YqGABlLWw6X0Ti
PQ7H4TQjYIxj9qrg1EIEcqQoXHPc1liDgdA2rIfMqn5207CGi12YARlGEVgeQp1xPvqoKf7ImzLa
oHypbUuhfxnV6vn6NCz9AGnzY4BGrc2J0NLVw8cYM0uwOitbcWmHSNFZ62dlDAzAsX0R3vQxxhW2
cxcJfMdisihA3jTqn4a9NlxLky0FbAQDg/9nAjdFeWcU4qkrzO+oKq/ddBamQ0ZhRVWmFl1YGX4Q
Cg87P7XH4Skvvb17PmczBDO63fU5OW+xC0e7LOpSZOAom2a2/QLTj+OgB/ddGD3g4LOPrdDecLf4
zx7XNAkXfpZcanWw9dLVRi18B5Pg9tU1FeQ3cbyespVfs9SBtAnHCRyLZfHSr6pqo7f5oRjevOE2
d+qVl/5CB7LiZW4D+kWYo/bn+aEo701Rfop6+6jhrHZ9Phb2iAxhU221qtQsrn07+Gw7TyXmvtcb
XphoGbomACK7pVnqvijHm0wo3y1FmTcgZO5g+/ww5uo/W0m/X+9r6UdI00C5ymztPjL9HqNb9Moh
E03t8XrbfwqPF1asjMlC2bjSkygmSTfr9UutT+6TYaQusF93ehuj2dp5EG5+h1WFA4Htob471di+
pdnZ33m0nWij4qOJWKwT7sdswIoaYBJGvboHcDkn54d661EZDXGLY7r7rFujONlo6aJYXLugq2vl
pg3b/j4vnRZjHVtfmaCFy4t1Hsy/DpCiRtQxRQLAd2PSwWy/tH4ycEX86trF+DBVAdUl9H8P14dx
IYJZ8k1PMZtcw7PUrzy8TMdup4Oe4dn2sdalSC/yNCyMuOCoGvNnqw5Ocejdp3nz9WPNS9G+SvHD
sbWOsg8JvarK8dP7AlFuZSKWhkYK7viEoxBqh8IP67PzdVA+GpP5wwnaD6GRNVemGBkdrhWRG6pI
saXzf2PdADeJ8BfZeNOgfLk+RBdXE31IW1BQgcbS3cDniwv9m2ic+TGNnfyk6WG0DcrGPgRhlH26
3tnFEaMzaelGTmBEtYPN4WT8Sqt+G1m87tx2d731izGX1qWl2jSuQ+axME4Iq+SbCIvaQxa72Pao
4su5zvvBbqQ12yJ+7dRDr53wibv1st43LZWSX5/u4fGsFWHOI/I/wYvfIq3c2NPNoiyQP4266dTF
8ZOXDyuPhKVhkpatUyZoqggFcC/SaaEijp42IuRSvUYRtiPXp2JhouUHFjUGnAyapPI7VduJdsaX
d4y+64Hx/rH2z4fXXzEwMlFUDDPbOxU9Kop5PIk7p3KLnYJnwdP1LhZmQH5LCcNWIhxs1VOCVOwW
6a4ftemuJJCWhuc8NX99/hA4gWbBuD3ZXpvtMbnL3sr6zB3i8F35/KUuzn//q4s6zCDi16166jDh
OQ344eDukpI+x6Xj+gAtRA75mQHPSUm9XFXBU2LvBpgB5+/uJ9fEfVHOn+PJXLmyL/0SaVsjymZg
5NW0fu2ZT80E7jEzqhMCrGu4nMvoKbhi0o7GBb4kIyXsk50OoN3hTGNlZytbF/HwAkxnM2fbJuCh
Nmb3uhqvgbbOG+7CHpe5ILOdxpbALOLEpDyisam9YUSrnKrOyN9Cgwdnp6jeLyedxs+trZ1q5BVW
hnRpbUshoHE8LU51o/ZR9MPl8+s0rW38hZblB4muZNhHDWbt40aEsUucvLrotF1fcBdvppBrpU2v
Wrxp3bhr/GZu7iaB0Wrq2xVYCBV1fvFilG/X+1lY2PLVWlipEtZWrKNMm2NC0g+v0Zn+FjrNb/wY
HnNzXpmGhUgsX7XnMpin1o6D01CE2zRHfa8DDJZs6/5DKgcMmRQFTNf1eoT8OlQzhokgFme3/RiQ
BJrndkXmZmF7ytdsGlYafGPtU6Ik3YOWa8kmxQF9V1Txj+vzsdSDFACiUOAwDKvphAP0BpPYvRoi
D1msUY2Wmpd2PzwGLBq9uvKrpNraKT72g7NpPPX4sa+XTnLHhvQx4TR8Ut1+b7gqKgeheEcida3S
tLQtpM2M9uRsjjEV9ixxnquguCXDPW3HQsePCGQetFNcZNSV2V5YsjKfASarW+BopPoC/4+dqmOT
mun1vMX+ZB+6HxIt0VxZVn5WLD3PXRvCp5f+H2dXsiSnjkW/iAgQg8QWyIHMmqtcHjaEn+2HEJMA
MX59n/SqWi9JIip60R3VDinRcCXde4Yvg0zucnjQfmo63Mum/3AuSgNGpqy1gfblbQas53SGhTJu
izksR273sBICdXn5Mq0NRwJxdp6NPnbt8QBTsf3tpleWqi4lDw/VpnNmxO22c4MLXXmsAmf5fbvx
lbCnvyvBNWhrU5rNORmsPqqK5Bu38xc7BxAdvhc8yFm58epbGyFtQ5vFVGc4yE2IQ5Wxkwz7nKrX
2x+xNkLaZobRet60eWeezYGENsXVGRZQ5uF242sjpG3luqvTIr9UPaBmGljpDwb7WM5emQe7xHbL
kWWtE207UyoJGQGkPjHuPPUQ1hg7FOh6OANGSPjs4MqzVWNZ2ct6yr4dC2YBjpCcBB3AUoYSQeky
M1ygdRo4YtpQCVrrRTu1+6UxW2vBhnPmo7D8YAQBGUzyoBRid3ta1nq4jOSHLe3gFVm5MJo6GS5A
aik8HCK3A4+MC9Ed/JmLz0VyHY7Q+1XfMbf1T8pnP9yy+VIbxj3NrI3QurIr9AwrNdtWyt5tzhff
MClR+nU3nhtrLV/+/mGAIIRKPakMiM1MsP9OncGKGiNtN1q/jmCEOq62nY2ha4eJTvW5lvJJwl14
DylkBtJ5OcVFU8IdGkd485TbSLFDliCB9VTq7zNVAm4N1VQRCLubD0JOn1wPWgwoCwBkmANCR5nP
KYw0YZh8P7JSnayst88lhOc2Iv3awtPiQW5xkiG5gExAapYR9ASHXzW11A6Pd37vCafaiDsrJ7zO
A7PgbQqVqgofZF98QlUgpiokF/814+xXxUONN8rtrbSyUnQumLNYyOiL0jz34w8jJ0cY8H5uUnSN
YV8V6YjFgIuDaUZj2wGgAiPz5DXL5uj2b18J/TodDFegwnZMZCrtKQewpoUl4w7+CjZY7+m0EQJW
ZkIH67KqSgcHCt5n6f7uKji1QzC0SZtA2VA5NO9QsN74mOv60BbTAayOsJvU7gEjgGRidjDSrDik
EAr5A7XwXZqh4gMJCw/VKylhb+bwp8Rjw6EkbDomsO475gvpN37K2pq4rP4P0QOeddnIiwSm41QA
7ZIA9Co3FsXKcOp+DRZ0Nowe8nDnxHS/pRP53psUaIy6+QZ+VGT38J4rZ/NzNz/dv6GALRs0xgr7
lDvzCWqCdWio5D41tqqWax+jhcGJQznNy0p4+40p8FWigYSIVL86l6tDMQB7NcO97e32Wl+JPDol
ziH11A1jQU5dFnsw58uS31RMgNR44e0O1jaTFtoyGKCb6pLckTl99of2nQ8jcKX9ljXVWvvaLYch
jU0ZIBcnWsNMGV6tfHhHZfZzU63T4azJ7VoY+QF7I0kM02Fk1uDPEkDfd9jfHp+VTaGz3bI0EfAE
aJeTx5YHR+THKq83hn5lbol2nWmU1ffw/4RiVu6eYaEWDFzGkn9L7I3RWevg8vcPG5ozhTSjq7rz
5LTHOsm9ADLlcTry733ZbsGgVq6xOtkNZqWQNEqX7pxQNyysrxbMFQmQlgn/Z2HVxlCtzcLl7x++
xM2XEjVWrFIhzPeZ9K94um/canw0cSU591fz8kPT1FYlxxvaPDEpv2a18QL1KzfEmfKAXRByaQGU
6kCPfym2sALX0V0W01Xkk2LufRjkkhP8u2Mo854SMBIN+Md6zmsGGFSdm49zQfZmMyCHADRc+vtz
i1nb7PCZhQF5YWMYFXmCTsWLvVmmvq4Rio/SNjrEbnLJFr85O4nMDowM6lR3xSR2qpnKu6IZRRks
pS9k4HSsaMMCvtCv1rTMMfyHYCZP4X6Oh4ljWXvbdZYUfhK1U0HKr/k1NoMq8SzlLozkXat9Khup
mmDMh1QcZL/kIYh98wb0aCVg/Ydcp0bXgvmnebLq6mVKFHClRR/0hdgCT651cDlWPiw4OG/61TTi
+DDhH3BWS9l+hUxNfQdfXv50e55XNr5OsCMeN8qOYp45xoa1D2Rswsl5XsTGnvk7GFc2jU6zGyZE
E6h8TieYxiWRITN7n0Hz6wnZ++zYVvBKNaukfy8MgwrgTqWAApvf7l24Nh0n4fpRT+fyxWpRdjdN
BYakXSx4MMI2gdeiOnoXE+/PDcVlFj6MNvFdQOPzqTsPmf+AJfVi+khHzP5pAfH0dhcrwUnn7UHu
dQIMBH4QS9odIREGT2WE3c9Fvr/Xxg+/nxnIwTGImJ0aSu6R03ow7C03i7XfrT2ffEg2lKRDfbDk
U/MD0hPygdLG2xJVXluEWrARGaoa+QwOf5Emp7yoD7YFX9hxOi6QjL098itnz19I/ofBIZMomUW6
EciP+5LubQJ8j3ohtQ8RtS2YzMp21Slg3WIBLQgPuzO4chDwSpzuiZiC7EogSD/3GDO1c7pzmobJ
gaszIUl/7Ep4bw9d428k4dY+QNsBNjc9Rg0PIDt1qGka2pBxsbMtue611rWTeeIFX2xy8dhkM3RL
8jnpoqzPyUM2lHIjs7QyzboUe5vbTuF2o8K9lOZ7Y67nd9e2ZB80zIdwTF7AJqih/SA39tz1/qiO
L6hlCqu6vFTnWvVvBSU/auE3Yb74PxKre4IPyq/by9e+nI3/DaNUVzhdFDA2s2eQUzWyF1l4DXTm
ZRG6djLCQD6Zor5L0sgWzUOKzFfgUfeQW/MBB1QTFL0bEXhuH+aML3ucoF2YtXQvTSCc284OIKsN
I3I4Ku2LNjeOkB6ow2FJ+wgohmbHe4Ks8kVqtsuF/dVowMR2e3+rZHw9tJh6apw2qWkDYYJHbQ6D
Pqe+66xqA9Ww1rS2nCcKCw8TTy1Uib1j1rl7T1kbhdq1prW1zOtM+IbZwMCVvCX1S+5vzPP1PWLq
0CoHbiNjBkbGeRQzFEPB9LVT68njG9f86+9R09XiOHHrupNjU59qh/MXVRr0PM90iOA3zUJAMYD/
Hur65NnLFi/mOuTOMnXXVe5hetO2SkEK67gISjkvb0U5sP0ysylanLpEzqcCocsCsXlviYQ/gEjr
Qs6/y6CM4hQZeNaJc7Abx67CpRvH74aVpYh79uIcCZuXLHTrNLMCxSSy7mIezbhofby3vU500AD3
+6g2agPXSDp8MXwQw188mMm8396ZKzOme6P6AjacLqzLTjTt2HMDYdMdQ70bsu6s3lhs1wWwLVM/
2U3YjbV1nnPQr4dFhq5bDoGXGF/Hus7r2Etd6cMovjDOI+QjwgwJ4wj35vGkSCrqEIwkleL/t8oI
+BX/3WpKJ2C+7L+lGKA5HGjX/ONLmS5hTvLiqVaW8d2e00HtmsEbH1gGsfDbg3X9oDdd7eafK+p1
LWgPMYrN5sGBzuIbrVJfBI3p0TNMJ0FO/VRPeiFDmKnldnBrjWtWJb8Hw4WjTzcwaQQ+xNVFkFae
tbGpVmKBTnscYOOydC0TJ58Ddx1Y46BCAejRZwCLlqmXGNQgWqTNu/Rkds4/EHC7V3OVBoWAReDt
oVr7/VqYTKnVVBVyiDEQSA9tQh5dJd9uN70y37ouXDIO4Bv1jMaDZcBjgJ57sTwIFO+DsbJ+3u5j
7efb/39tN1mOLU4Mip+vXtuGRVVWbszs2s/XwmXZzZ4UjLOYpcvJzF5JI3Z2AzdwsYVfuZ5SMB3t
5jvmfVLScqQxcf17+K3uXWGfhHzKoAHUyDECDvZ3nX1KvBFLSdt+NXZeC01KGufu9EIs+RU8yEPh
2Bn0hLfgJStj9p9ygeE2jsGoE4smWY4evIybWTlhSe0l4l23MTMrUVcvHQxI8PTAGCTx4OWvTHl3
rjW9tMzbWLdrzV+uex9eC1aL3534lR8zL/O/TV7dvTRF4kMMyszG37fX7VoflwH80MfkQU5YTB6L
U6sa4XI1ix4K0b0REAF16I29vdbJ5e8fOhm9waeiK1hsNcajtQxfuVHHWTNu7L215i978kPzMEJF
WgYG1XE5uc9dZn6BcMyhqYbd54ZI29p5q1qkbX07TpkJiTfwShL8TxZ9rnVtdw/e0KlRMTtu2QGm
PqDGzSFopxu//frLwNQl5Jp2GiyJ0BRDZjsZl3s/+e6x/gA0X0jY/vYXrO01bT8nXdIZLXZWnBTJ
b1lBbnmkIFl7tBChWw0bKZzLZP736QEvzP+fZMbSikvu2DEeVl8sV0JujW0Jra6Mkp4z75aaw0mW
2LFV+9HQyR+OArCyEu7T7E0ykFnzenuo1jrSdjRMEeFBTTIaty2R35ZiVnEi6z4q/Db9VS+WgoZs
ITYSg2udaVvbmNWYjbJksTKWcBJHz/Hv8vZYLgvk/7/c/qAVhKqpZ9NF5kGW3LW8mEw0J6j/jt6v
pfYSBeBJmu68HE6iphytfbv0CoUza3qFOUMigowazlY+YuX80mWu0o4AfDsrDtJUf4SRwX4uvWi0
+Nn0loMofZwu58TecoJZ600LN5M7JJXvzvxMFi82DRZYSxI4rL7Dtr2H9v2+Gy809i37xJXudOU8
wroagtOTF0+ux0DrcRDbpG/GqePDswC7OzBUCTWBAgqCscpkv3FLvq4TYZl6oaFRhmCNYdhxIRID
JiZzi2xnR8CDh6xG+uhDFzmgecKgTWwmc6SyxX0nWbIlgLKC3jD1qkNms064LHfiWU7LG+HWhdXd
z7YTodaQ05NT5iMEDnp7OAEmOSQBa3IpI7OxSGAJUewyZ+4jG5zKb3NX+RsR1V2JQ9pdqe4yryss
7sa2Pz8nUw3yt+inwBDT0+0ttRbotHA6DjaUhIThxJCFa0tArXtnTwaAoDYO4782u1ciqV4wACIp
m7mlaMyyJOqWbCf5+CK7NpzAzAbbN4RuVLAs9aHoymgEjhLX5h3gOaP6IuQSmuabC+8rx30UVhuU
dnmE4cPG4K4cJbqOXwMVTbdJZ1wNBWzMjSxsvGNVzI8V+/qpwdULDTNvq2EeXYqnX/qlxlu2sNKN
eVsBRsAl7P9PKK83zYy0KYvFMle4azoUShZT0sfj2GXRTMBdmhfHj4xucncwjIMhrlG6h2ysh6Ba
WhU5zLN/3/7O6z+GOLoKO8zIRj7K1AVeRuSHDBdu2JXNqvwKwYX5Ts5d+bZUZRalKjMim1ZJNBs2
D6eBGHspCx6Oss/fb/+YvyW1/6w44ugPsLKf+v6i8nHuDTY8DXOZHbmR4mRAiSw9CN/nXySlA8p7
lpe1+zZ1lBsVcFUAWMbAkYwTs9inBRNmyIXCwC2pPcQGlGt/K7+D5ZpEzvu773BERM+osi036atb
kTg6MMMnEzzjIAFyhlvkQ1V6ZyK24MpXwwia1i6Vie93rgdlERhpzQDLZOHEsAq2rqwrP9zTL5UD
q+HEDJ466QVk6pexCnuebsABrwdmrC0tBGaZUoPNBxsghvqCLFoCxRdwUoqfeZLLuO67f5aueKv6
XOzHpN113nLsa4HL81KmgeV/6jaF36FFygYcurnqOZBzsv7lZuqsaBkRNXphUzf/NC4se24v4Kth
iTg6thyeNa3V4RkAZzl3CsoKycCKvxkzNPUgCvt8u5OVOdOh5QS62iZXqEcnpASILsFLSRQbBYm1
trV7ZzqJPC3s3Dqr0oYrYTI+qWlTXGetcS3uEZINKiENDmc27FvvnDf54faQXL3BYtwvm+fDwy4r
MicvmLLPM0zIngFynp6NomliwyZ21MpyeJBe7m1EqZUdqYNFWToiTucldA0hWOlcRISHh2nc+JKr
lzhEQG1D1oOJNOCFTw5STdD3L3SBtXeOBCi052GxGIDrHZiVv7Fe1z5F26BmVvscm945I8xDkN/G
rdECb3bjEbOyG/T8TSFSSX0DV2qV18EILwfIrAMGXgVVv2WHtjLxevpGVYMxCiOxzy0UlFivjj78
UA1jBK60Dqx+i4m/1o2GbJjygbbQVm/Ok5WHch5DuOPEfX+2Z9h8yp+3F/HKcOnoz4omPUNGHJKE
yoEdRQrZs37vLqB911v5FSTPrt1KcZxo64tA5Y1SA8e9FEsZTkvFnlUt4BoGOEoSFn2SPOUCgr2B
05v1z0oy6zX1U+9emB3mb3DrcCILCdWIfxr4jeEfQN2BtSoqfuXRURbs3uyeFNE0mVDVm0cfaWY+
3jGD8J1TlvQoE7e/k7SiUeWR7pjlC1xTM1ewN8vMqp1R9zQQpcp2iVBwl4OzyKh6aBHPeM5UGey0
pAOptcpPQGxkvhP3XHnPhd/UIeV19VgDvPGAi3ZyN8KbC3MFib/AAxzjKOAiAo1E1GZaT130w0Z/
ifpJQk1ZLvPbJFV6oAR+abY7jnEL9l+cQOvED/iQiIe881no2b4f9ktGltAxbedXArnnc4s35L23
TPN7ZVvPjsr+SWABO3YEaZoJPneoJ/VPuddFPO33qYGr9DBk2Wk2RRa5tMGe9lnix/bkyrsKFZAu
6qG4DanwxQavtulCh9pJtExSvMzQSziZ2KsiqmxUNkNuUvUPcmRWaKUVeyuJnyxROaTW0WzgoYMp
JQ6GnTURjK1ENCjHDBw/L59UCummnYEXYx7xNq8+qaqlp5Hy2lKDKViPC5w7H8lgJGd3Stq9R1zx
qePP1kvLllXOjYmH9SkTYwiXtSSwqs0NshIQ/9azPxwkRicqR0hag94PTaBRpV3oOlkXwgPkUzV4
4uj5KXuoIMovk/rcOnAOnto+VKbx08BcwVxkuOOjsbXbVz5Gz1ZJyhooCNug9/fNFHNj5s/dzG1I
LbPl66dilo709B34mfsAE5wbYsywmvTKgz9l3felFDOIxjTfiI3X00cYNe3uAMf6rpAdQOMeteWd
KJr2ULeS/wYzsXZASoROo9XV/bijVeE816aZ/ys6R3wFX4eS3e2PXYmd/0lhVcjmpJ0nz+nYirBu
5n2JUzq83fhK9NezN8wz/DnPLHleRAuBl/J31+Oijwge0Qn+h7c7ub4ibF2ToUL6h9rcY6eJ/R6I
GajyHU4bG5eJteHRXirejHSesdgSOz479Z44Mv4pfhRmXzu1qmmiXbcU8lz1/bMnEjiSDuMcNJDD
L2bU6m6PztoUaLchOtle1s+OPE+yCkXefSNdva9p8mDX7v52F9cnwNGxpNloKct2MwkgRg/dxyKD
oZZh3lfAk26kv/9uvStvaD1r0xJIpfnlQs6TKVpAr3PF34vJAs3D4lTGgPZXT4m95LupT4bj0I70
iO7T1zSxx5DXyH4y0LAPfu4vry6Z29D1W+sRqdMu8lEcPTjSSt9YMjtNYHeGebK70QoMZDLiVDEQ
kxgEMqsAEnfwOAEGeQtcunIF05MmFBVys4Q40ZmT3wPzgmHkIOebQWb87Pqt5/DKCtDzwwTnbwr0
MHgCLrCbUzWlj9y3xG/TnNx/rcrdQq6tbBU9fTVNrMW09N0Zbr1f5mZ4TqvleHuF/U3cXJv/ywB+
OMKq3h+M0gRsHUfKg2UrDqrcQvgDJwQCFyJf5mNr5vYQQRJAfVWF1f+QuELfFbZRHgSprDvZ9e0X
+NS68aR4ed9gW+9Y7RVnMAYbMwTnpT1Kxq0QFS/np7s0fM9kav1qeqXOJiTbDomoGvh3eKrfIVMH
ceLEt47dYCx7qBmxQ1ZP89FpQFR3HC6fmMnFu1koArSWk+0TrhiglKncVbk3vAN7Uccpn2jQl5Yb
0ZaPx2nOq9hRzXifp9NyTFnjhJ1dZCdx8dmBLrUtw8kYWXpkjA87l7blHNRdPxdhx4l8KAvmLFEO
MI+IfY9XvznzYVigOACWVma+WxNev7fn4yqGiYAd///T0cpqpn3J2amdbWTF6yD3IqcdIyv1D7JJ
g66Kb3d0PbTYumCNAuwlcXJJT4ta2pOTJVbEvH6Jaka29D7WutCeQWReLtmZcT6L5OTLuFrusy1q
09qOuPz9w6pVgJ+2S9IA8Arb6YC5vfVlAJJ645pyfRKcv8nPD63D5H62QQMyz22Tg/dvPgM4dCry
8WWk2UEV7N/ZnDemYS2EaEdVUzaCK8RbXBLAye94DKZjULCvBZ8Ptyd6rQftmGr5wmBuClluY+wf
zGlA6h+15hQe0wFIN1tcjutz7egIZGsoYbudkuGsUIMj/fc826VI+X/qE3QSollLn6alTE5L+yYd
FdRQWqnme8P/93b7K6tJpx4qwyBjxcFz5o0oo3pYQqvjW5S/v9m8KxFWB05Pdi1I2WaXLPUCbFZt
wmxpIKmL3EZGI+I66dM0qiysZO7fjbyG77isuQxFZrs7Cd2afZE00CRI3t0AbtvE6YOMMPj35pA4
ApnJDxsOVRs5A+gUuCzjOwIh4dBlSXYqhtbdAT4kn+GIPd47LpO7KdkNyTQ8QCzD3cvayyq8oKGH
k9rzEHmowb1apPaCbG6ECucxS7749UC/d4ZtPRGr7e/ysZhiH+Dbr5NI0jth1M4Y1CL/tzUGIyKs
7oJp6rsMAblr7uXoTjBJcPiCy5cxxZVtzm6kpMxRxZ3JQQlmPEIZRpq727N5nVZEHB1GDg8IwisC
p1jkBfalzKNalTsogEEc7WAa7heafDW87M7p3yAItsMLYSN2r9w5dJ8R3JVpmtVtchrN5l+6NJHo
JahM1YuAzaFDtwqYKxtaNxyZAVT2JoKtlkwwZS/sKLegR+t9AbEwuj2Caz1oV/OuWkwxX3QSLg7r
C1sCk/3s4EvP6QbAaW2ktKhnpBYemq1pnFhiQmoYxo9WdczYyarejGz6ZNTQAp9jSGWPNb6i8V9H
pBATPsMT8E6pLc/rtbChndU9d0vXT2ckX1kNnwvlPiXc3+ITXB0i0KG1IXJpzYxxxsnpuCKcXWJF
SdHew6zxDwCGJCwr9uX2ZF/fLuhJG6catH3fXrrh3E7LBIcZjsp/vbxndfOS9h7Zec7yXY7+c1na
JyiL3idARQU530I4Xj050L02ion0i8rDherUShEpZkBrtNuN05bk1NVJsqju3FKRampJZkOKPC1e
7Kz9kanmc8I3VDdrcT0fGVMLEPyWAcI9y3trhNfJ7Wm5ugfxuy/r4sMdZPRakxpVoaB8D6+R7rVH
DVLO8+WWvLHLr9YO0MOl5w89ANzim+4MQk83FXS3iOW9NO3Hlss9t2icIf2Z1uVTaVQb9b21L7os
gA/9ubxhWe0IBVdTaCQO1kLfmOWT/Tgb3y2zUxvh//p6ov5lIXzoZvD6frEMozv3RTQSEQKnE257
jqwtJy001u1gZL2XgnXBvmVAIy1bml9rDWv7HZ4NcKqgKDaSxv4uoZTeSHm4vZSuhxJI3f3/iMi5
SlJ3aC/EJ7F3ifvQS//RQq48KE1fREk/bj0m0eB/bjpYUdpWTmWd0ZlIrKj2Qq2qIi/9nbkvS1N8
rgPddcXoDCZ7yfsz3hYQHAB5NnlKgQns29fbQ7VCRqC6kwou+ulk9wnMLI7Dfg6Tg7njYbmzj5OM
xvvl7EVLeDfeyQf1UByrZ/I1f0z3xcaJtQKNov/xWUm5qm3/0nsf1EWQ5kE+7oxpV+89FrgyoL9v
f+bKHtF1do0ZwnkMYLqz4z80PaYJqo/R7aZX1rEur6tS6i1OZ1xogkVUQ8dcqPyTTV+6/LCz4Uhg
N4PAr14M8z0RQ1DTdiM2XcceWFRPdfouXEaIVyTxbFnOcRQchdNiJE4d+B4pzyWz+/s6A1punB34
1BjtsicIBt/GZEiGHZTuhq+Z2S9fIHBINj53ZdvqqYCxkhYzUjmcUHWZA0X8qAK/oIH1SFdDu02U
brIRIFZozFRPBuRNn0DatE1iAZuT3ZgtzosNZ9LLy5pNIBZW5XMKitK3yi3+hUjAvlu8sJ+XJxvM
U0i8dwr+zsPwdZhI9QY8JswuM2ry0CiTJEg8K/lye22tnFi61qbVZAOzzUydYBc5PqhK8Kd25E5I
84LflXRIY9vJOyT7mkk8JY6zxWNYmQldh3MEQynrZrM/KaBe86ZmO7+ZY2EXEKGBL+bC+g1O30pH
VM+YTGKhNEFHhQtRyaWFZd4DzUjgNd9t3m5EmbVOLn//sI3mglPbKuz2NKJwlQw16EIzKwJnqnaT
7SLL7/BPIYWp7i7SJH7Jl6nuToPlmLuMld952b0oX720JGcRgJ1q45uIff3ooZdI9+GjrMFHLjrh
6TlJ3GEO06Xp+G50xfxv3RCgC2dPtL8XOLernZ3K/KnsHevnPHH6qITV4LTyRs4DzxQDBAZH1zn6
njs/yrQc4mUQQxosqeFHDJnDX71Hl1+MpHkViRwnqj1M9gYXbiV46kKsMDjweiTM2xPL8vqhK2Z3
3wpjK129drzo8qt9ysrGymlzUrPAq5+xpX/IJxgAAPOeoJ4PjqLxJPIBeE25+HTf2SoDnqSp2n9v
b+CVK6CuoNwZbjWD/tifFvg2v9ZlhscrbY0H1o7msex7tXF5Xjnf6GWVfFgNmZAWH0CEPhF4Obx5
g2xCcHqdAKpOxkYsWpkqXUIZeFZkS03SnqCcy3+6ZZ6HkKxKvt0eqLXWtSsbSksllkKDQLC43l6R
yn+w08bZCDNr06Dd08p2Lvw8SZoTh7v5oQFv/XU0R3qayZQDeTsN3z/1FboYb9lCBRZXtuZkp0Yb
mr4/hl1Knj7X+GXoPswxdZG/KgaVntlIwzLJI2r8ud2y9RdAeuUiq6NcU8nJKFy0ff5hBN/cwA3K
4DeNWDiGbnB/H/3Ign0T3H87n6P7Pf7zGMf7eH8fRff3b48vZZgG8Uvw63D4c3j5E/8Zgj9qd/d0
iOPgEL/FQfznjgXh7lAEu4fTabfbfTke8V/fT6/h8XR4OIVoJ4rOxxD/ZheewuP5Ptrvv0XPl38W
htG3KDpG34482CrFrgYG7fFBaTra04i4A8kw9SNzfec5kSM0UZmd4aCvvEcrk2xn0MIKKlE2YWva
zdvt0V5Z6jrqE1TchMP0FNyVkR48ICjyOdtYImu3Oh3JOY+Lyzvh0XhG+QTkJNhSGkdz+Cf3kDld
mqNjvIzZ8NTgmYjOCc2+gMK/s7wtg/eVOKQDPO1qcVB4Vi1QOKYTT8ZsfZOWUf4yeJL/+tTw6fBO
E++tclIUyPMuC2ry7uZbQZRegs2VXaArBxtmljakdVAdgvfOkcn8R+5D5wLIKXsWgSks608/OTyF
p2FeR/kgzbfemYu3Osm8fycArw9woLSqMENx3ITkViJCgHGsaHKXXdbmEW6L43GcHPtZInt815hG
+7MdlhxKQ0u9ZIHhtpzAvH5wxtDpCT7RF+DW+t14WJYSOU8KiHCRdUh782nMYAy+oKaxIJUIgzEo
2mNBJYe6NPw/fr0ArSYcFIG9ygI+UqbKKAIOLBMAV8DGMtAhD6CA+HPQsz4BFR+44A4vAA6hcuqM
KPFCZXeXkR7/QqAa/0jAT4uM2V52Xpl6D9DJGt4gzGRHSasSvKjKNgQOoPjWDmP16HXeEDoT4zvg
EroxGAwTtuaJQIbCVjbQb60dik61d55Bt8RuV/aVDg0V/lBYnWW2py6FjFPgm4WzW6o8/xyxmurS
Flk2ccKlaE8CutJPiUjzMKuaLWWllSNKh+iCvWjyERMIPemXib0sC4DgxskR88aFcSXrSXXxZ1d0
lmCDRNHabx760TjQtIi72od6nh9CZSQ06jYqa/spbW3YtOdw9SiTjTTGytToOhgpJPQcr0CSDZkZ
IDoeu/T9djBYudrrChizaY2wUZftKZdGdxCgEh1r4TWPlCryAFpxcVIwtNvd7mxtirQ7SmlDVEvV
eXmSpGhhniXUfT46/tkxcwW9sqH9nM4p1RPUvLVtt+NDA4tY808NqTNluXkATfyN2+L1D/H0tz+d
Jp4KJHPhCePt6tK2I6/IHqyWPniqkfvPjZZ257JNTic8HGgMW/tmAJGBBl3/UP9zu/XrgDeL6ooQ
U5YPNeCf+cn1e9MJEjCLx6PVcIhhLPBmbcNWKdh8gZetrEAOvWsHAjojTUBU7wApm28KXa6sQV0y
JFUXplnnFQBXsHpvpFX2z9QPthXa3tTu0mUozyCkbgHgV05YXZ7CXZhUPkWcMCt28pS8M7n9bFB3
40F23ecZ43pZMx9umcOcm0slQWqbajrjQCByhCIfn9qvuDNNd26akdj2iHqxyqnNApTayTktnTn2
AYvOYUqQjFFZTUbk1Ib9PjkwpUirMt34eddXLv2PgvblpOWVI08+qOnH5X+cXUlznLwW/UVUSUyC
LfRk2mPsxEk2VEYmSSBGiV//Tmflx2eaKm/tKmg0XF3de4Y0pUmej/NdMzudHc1dmG7AxNYm9RLJ
3gxDpjl4Hr7HE13Y8B+Fn49KLF2JG99n1Y7mSBObyWxpsa7ExyVlQpNReAX320SaCvK+tO6OA6vZ
RvR9t4pk2//h6nGjPKzP4QwfBj9ydDg+hFk572eAtHdF4x7zZmj3doaCGxj6X65v0Hc/CS9drCPl
KN+eAoAFp4Z+70T2mxbu7vqj390CePTl72/mBo+t4dBCbJCy6p/EBpkF/Cnx6A+mPl5/w9qPv/z9
zRvANGANL3L7nIdyigaLPSDvebn+7HdXFn794qou6UxbYgIKdZ8x9t1yN1VdBnIJnC/RA3vAfzYu
A2vDtLjjZFQ5mcDLQMqgxc73wyrivpgAhe+ajZlYG6fFidij5x9Q35rOvVd8ZiY9tKn+4DAtjo/Q
FDi56azPrvw9awXHmW+BVcdDd5eBZHF9KlZGaAmzaXow62RI6Jk5Xg8kSNPFYycUyN8f62ra9hJp
wyxwp8MGr8gtn+FKMZb1zkl5fYLIqElCCKVu9WbXPuay3t6s2Y5Ayc0KhHsWOmVfJjZkR0gWXpyH
vOz1+ni9f23G1yw2NTxbGuit1vRcTCS7gVtVH4vcHV+rrDJHFUK3iqD5fFO1bnajq1zEs9WJjdrK
u6Ef717sepigow/ZwP4dRJW/lTee586DPDvNPxU1/UjUxzsu6/zNGJa0sI3dFvQcIv0/tnVq9qAr
5jvcael+ZHn7ig5F/mdjNC8b8T/XTbxtEQkyEma1ChX4X8HkPaMQ0SQzNdmngBZd4oH8/BnKNd9M
2ELlejQEMLmBCRLxKmRPPK9Bgrn+Q9ZWziJQBLzKrHIO1Nmzxh25mM7kwHdPG5tsJd4tk9mq70Wr
6EjP3PlrWQOkCCvkYCoa/B9OugWAXznilpgKXvakAsVYw+69fAxVZd0AuBHbtnf0wPBBXe7oFuM3
LdItMcL3xwyeCYuV4ndGwXydngNEpX0pgxQ5ghJRWQ9bvZG1Vyx6I2ISgQi9cT4HsFWRT2P6OGfP
12f8/TkBxeP/f/0sB4/NjaXP4+DvWTUddNuB8Fv/6Hy5V964ZTbx/p6lS8QF9XTg8qEg504mBeTZ
TaePxMhdazbKxmtjdPn7mw3rE9tg7cI/tc+tZ5LmO2Hxbx3fysv+Hcr/3aJ0ia3Iqh7qV/PcnIex
ALZ6HszJEczH5SI1ABPwBnrhojo7o+3cWmyAXgn3vfLeq3wK/wtYUB8Bd92qYq997CJeTGZy59yn
1ZlVfRt1vtrDY8yGmcKWvtvaslgEgsHYwrd8Up1LPsbg7O9rFyIstv9lEPJ+srpuI+C8nzbQJT6j
dyTPpJci4IwSlBWH7/pS57vra3ttzS0Sh2kc6sCz0hkaNlncSQv0xe4EyiBqhVvCNSu/f4nKCKss
ZBBRgb8qr3ZDgPMBuozXf/3KFCzhGMp2LYZeGAyohmHvlZDBHD/j1N3rLoiKLXPIlYW0RF24yvJl
7Zj53BoVT84hhaSAs7VK3y802eDC/P+eLBxVQdi4a890ztpkCMChjnPVWhnkuIoQSA9THEKnZ3ur
8PgRFWPYdAd1H009s8Ae9T52TcDd5v9/hzMoLxtlTmBa9CV04O9Jj5a/pXO7NoSLTIG4VpmXNbKR
7iLWRHlE3Rev3wBnrC2CxUaHosAMrpDEL5+qee81PljFgwgiLr02HnTI0MfS9GP7Zam9N5mxdhuR
mzNU/ngEhRUnku1QQ4qCxH5pttwiVvbMkr0dFgVwBD1MJCECTqJ0cNHNCd2NvG1tNhaBq4VIUV9M
Ho5KWiFP+9b7XsTbj2XWdFku6wLQbtwAyUU5ABwayuMw2JDI24IlsktkeueQWeJe+qxqjNf7oG4x
z/oztUPKY7dFLhpD2sXslTuZ756GmAxgKLQ4wMM5cHe2m+XnztHwiHKG9oKW6nPvMNF0gL2sX+4p
5OKdmAFD++CK2US6hHNyHEyNu7Mg4pnFpdd1d5D+yHd9zusbG/ZzJ1NU/kEwl97majA/BntOv6bd
ND8zCQ3DIIRw1AiLpyizpvCUl5A3gh+E3vWsg5gidWvzKkEvjQwG7DSD/B7PolFFDLvx4WWERcTe
nwb7Zy2D8rlrmiYxVt18AitqjpWe8xvHGTTswp0RXiXcY/tRzsHdyMp5Z/uhdYLrpcciX/AwqRvG
4gHqjRG3+HCYNMrbey+vHFT2LHns6hwBpU3zBu422vkxVwPLdpxDoBMqOeO4gepeOWqWKKJASyAA
TT+f56EdIvBn/LiowIyaq7KMR9U9XT8TVrbOEiTTGtpCp8/TZzjJ5rEacxNBcnlD0WTtGxapoMgH
hUI2Hl6NCMviu8l/sww6Ed4WO2Ht1y+OA1zQylpRZMqDtj8HmW4eG1SGNzb+2sMvf3+T/+XwUKbT
DE2IvhrJngP5EjcWeHMfG/hFHC5r2lUuig9nL229aCbka671zfVnvw/gQVFuEbMgpJ01vGshU1Mw
lGaKdpgfQd6fv1A3RejymtmKpRLBE4Suvb1POn0iASwyWjdEq1C1DJo5Y4/0ryidO2CbnaieWvkA
jcIgHikPThCjsO8CsGBuIDNi74rQc7uoSKW1MfYrp9S/LuqbsTc+ugct94cz7+CPNtb+a0b725lz
WLqwBl24fEvFZCW8/wucb97EPM8j2rGHMwnxwWXY31dhYGLUzHbXJ2PlBUucXT6Ek6W0MXCsGMF7
pGD6tm3qfytBR97Ct6+8w1nsg8Bq7AxXfHC6BjjY9F84CY9A1W0s1bWnX/7+ZojqJihKjeiZtDhY
C5qfFLmdsy2M68rTl3hAK0RzxZogg2U1L67T7Vr9gw9bfdWVCLTEgGU1JPnQNE6T3O5j7WVR5t2P
KE/b1lbusfbzF0Mf2ql05qCvzgOUMiG6BTG+TxMRG+X1tacvhp7NBLAcMwWJi5PRa28tfk+mXx9b
mIv4Vk8OFXWAKqjXjAfuOQb0qrqPbXerN7A2+IsQV1HfkVCQo2eoG8GJqUoyuHcSUZ68DzWs0AdY
xDngAlJoIxrE/+k7bb5a7qVrtXGRXBv6Rf2Z9kXOEEhRW2L1qYHYScQ4ZO4nsnVTXRuexWWyNyoH
VJS6ZwYvu2PR0+6Au7GEsl4DeR/wGTcy/pUPWeJmJqNLZDwTPY/yGyO/PAKFw630dSVOLwEzClkV
qpnIUkSRf/eYfa5d+0Yp1BBRmMnrLZbe2icsEgkfV2JVNPN8hi9PfqNCmr3C0lgehZB9uTHfl9LX
O5nyEoIxT7T2mw4XI5wtJz0PZxSx0PYbLgoLEEuCyup3uE1uzMlKtZsuIRmdTaHKG1C04S3Kvhsc
wyFUEYcy39OwUw+Q8R9iCveeGNzivQuE4d4b9NbpurLylpKJNimgpYUUO4Hue/rJv0jWKwaDwL5T
5BSUU7px9F0iyTtDutRVGTlrFIEPxdlCGThSDv1ZQTb0Q9HrX+rz5lDCgoYKJQEP1q3psZcFcE55
dcl33I31sDJIS0yLMugsOxZuZvV8V/W/4VMcEXNfpe3G4Kw9fxEdHagnpU7p0rMax+/+KMR9I7i1
97QOfhVNuHUCrm2dRYiERYiaCo16GG95tefSAEDeKO/sWvZWgXztFYtIWXcKcqUWvqSuf8Owbafs
LMqLYn99otfGaREmZdFLeEEKZB+qSNKRvdZTdsikU+yFATni+ktWPmGJ+MDdTUq3DVjSsjSa6MPQ
XQgxW+nZyj5Yojhm7uU+7t9hUrbjgbr5U2jkz+s//P3mBF1CNoaic3OYoQRJnbsqpsD4nWohAbpi
4VM2dew7z3NxQ0XZHKoaqozX37o2XJe5erP5LEvTvp76MOFTeW+XCuy9+YF06vP1x69M+RKJMWQd
gC6GzufBhztN/mSJ5ttUllW05Y+89vsvE/Xm98u247L2qX1GRd3sdA9Aqw3p0NjrZ+tj23upHSu5
KkKeqSDpmvHGt+q/gwpiw8IjkQBOXh+nlc/4j6AgsYieIVF3lsKjR5F2JC647naZyLb29spULEXl
Qqbnkth5mtQK2i5GQGe6jHJUDnuzpXW9kkMsdd9q1ZiBArWQSOrurZnsiH+bzs98rNGUfPnQSC2F
3wzvmmKw8Y5w7vdCkhuZ8Uf4o20c5yufsFR7C7IqretAmTMpG/KJ8Mk/1G1VfOrEUMWhC3C0JVj1
ev1bVhKVpe5bRYKxVRLqjgCMfrIDJy58J4vSZv7qj0MYl4P3t6+3BG/Xvmyx02ddcktDSPQcFjI9
swDmFzAeMXuS67KNMihRf+aQTPjgZXkp8yb6kldeXSKflI6IC2rfQ+z6s+s4n66P3fs7hixR2NAd
DskUlGECNuIOhwlAURnsF8sPFe3+61DXKhNODWqImnRfe8s/sELeDl327Gyy2t4P+GSZOPolHMwC
jwF70evhODrVUdlw8W4E+lGu3FGLtYccOvepsyWesDZmi2CZtw0vnclJkwxmobTUEP/L92VLNko9
l8f8N0n8j49dZlVFAZFQnO+s33ez9c1vw28fm237/8O8W7Xz2A00TILg1bRzDJP7fcOPH3v4IuvR
xFJFxkiQiIKDdu9/c1R2CMZik0dySQTfG5hF4hPYHfVwjYJgoINyvTuw8qFrlLtzUzruh7ImD6kX
yL2b1kNijU27k52wjn5NYB8SevNu9jXZOMxWlsAyPapxW2GkwRyFKt9J2XhRlhuIrYsPoZKBjbnE
ujcHsugIm2njsGRUYEM0g0lj1xMvHdlqq65sm2WeNA1FWfodVFFgZ1hFA/Uh/TnZ93WdHnBlfTI1
E7GR5hk6k7+vr4+VK95/3NgG21MU1YnL/NH0UPTdvqmdQ678X6U7d9HslF8u3Pi6KF50DT7k9deu
bKdl7pRSaNsKmvsJHbgV5f6kb8ai5fvrT3//OCBLk4Ac7ZsgE10NZSoOVd/8i+/aX2lJjiIcwCbR
Zsst5v28gyxRq51Da4ePHGHOS/+mJP0eGvGAHtk5sJytCs/axyzCQ9VPLKhl2Jwdv6pjLHHzyw6o
iC3X0O8oZo93UKlrX6+PHH2fAYQ1vggYJWhZVADGASU6i/9kU9YWp8b3HS+esiofbkoOTs/kOo2V
TKPrfgZtsXu1GsuDp5wubr2CCrgQ64sjISSgn114uzgY8rE4lU0x/QzLoHx1VBE0UZEBlheMnbyl
wKzvXYsqe9cPpHqCbHMXW9y2oV7VQJJwaGD6sGcjSN+Rrr4U/Jdnw1eVzLhBVHT+2qQl5hUaft8D
xbvIKXTzi86AEUQp+nctbsRl+yWrq/BU4qjaQ+J2vB1U19U4jUj3qzBBfxzhahC3PqEHpkgOND1Y
M77TBQdiMvpqu12+UyHuW75d5OcJWjhHbelJxwAQWK8e7JEO9oC2LmO6h5Cu9ykV3hQLq+anwM3k
dOPllqQREWN/mFv+G7x+tJozy7orco/GM3i6sbQLeydDSCKWWn/rptSJZT75O2tEJ7DUgX1IYfT7
Mgsfam5mbJxPGNL5TyZLF1xx1j5N5jQG3cX9zstMFTsNc3+3dfkn9+1MRnPD7J3XCBiJzr5HER2R
/IHU5Xtf5AgdUw/OIYlr5HSYx5bgtwLt95mgk9lEtrAw60HqZOixdGiSp9A7jwq31zGfvEFEIffc
vQfbjwc5Q8o9rUjHbttmHKPR9FnE8hJJeQufNgZ8ZFccmmCSNr4/0z+CCU2UQ1EF6akSRCQ+Ge2T
O6UE7ulOCuBKWIrP7izYqzeM6gTV6hTNHxvmKEjp3JNjAm9Cro86CHAuGATLGUN0OufO/AKGXSZN
EOZH7tX5N8mGxjvlxoRpbE+ZRicxhRC8N3jWsG8qE0Q1FERfXJY3JLLgtXzXsqq8JyLI9lVV8Jh0
fNzBV8H7aUIX6p8BeiVRy9yLT0sGhfQ6AFWuhpbCYxAKA/Sk3d2DWV4/1LDA+1Q6pXVqe7+ABfFI
fDdyeZaPO8HhTwq8VMbhsukQ+/n6Tl6LsItzORROY1wRdmcGVUmjPkEEZuMasRL0lor6KlXlDBpd
f4ZJ5StpxB87cG+CfD4JEPSu//h/MqfvZBVLSEYKbIGpXcbPWYlBU4Ak/5T16EaDbeeJPQzykZd5
vZta2qcxQ2sgPGTgjv2EIbDJI6sNCfyHLGX/zd0se0G9GpKRQ9nZ9Y4zn7IoEDU6dtd/7MpIL3Ed
c9gaaAkGHRR7IUMAA9sxDiu28fD3r1Fk2TPLgynErtHd2SZo/EmVnqdCPOQzzLk9KOun4xSPaEdd
/5K1mb0kVm/yGzmZARdQCMPO6EHBWwg2WKciv++zLWzXSoa2LOkS4dRY4e2QBGQ8qTRTyNC7fZlt
mm+vfcGiXFkGEi5yverOpmWwefBR2o2VLP3PqMPXfxGct/xE1r5kcSpri2UWK3IoQdvwaPbd4EfK
yvs63CpKr33I4hiuKSvtUMCPewy7g4aFoPF/t1mHmLFxMVhbtYv40Ns+cQW8sfEBFUQm5/5rN1Qb
F8yVwVnWMVg7w9RmcNU5N/2zm0IKNnNhxD0+fWiZLusYrQlDy5CQJl1lhrjCoRR7RiLVaO5Gu9uS
5V2ZgWUBowg6wUk91ais+zeM2E9ZkT2KsftT2WYjkq7MwVKyXnfSOL7boJnDpvbWBFnxMOtMbezm
lcvEskqhc1/kCrWQs8+PI4NEDvs6hHzvDm5Uy/Hg8PyQkY+O1uUT34SOarbG8NKnPfMZgEr6wLwE
VI9Y8g1dmX+/+p0TYdlJEXMvet0Q6Fcd02Nx0s910j9Md3Dt2FkxiyHJE9sHc+sf+KlN1AM5AaR2
8vf+/vqaW5uqxX53ZsngnIElPXoFFMX/uuGH0Efkn7Xem4EbkaL0XTqgxVYML5kYih3V6ScFLI8P
hcCNU2Tt1y82O5Blg+wUJ2f4x+yB3H5S7laHa+WAWorJw+gP3neBGybCIXHqSXiT6CjPNDSFvmn0
06r2Y3rDZCmJToZAWE0wBsBPhsngQL/Il91LOmc/rk/xyoZfkgTVZDXVFLD5XOdxY/wodx9M10Tt
KDaympWwuCQEVk7XEME8AL7rLA7TtAOSTX2GfcAGNXRllpesQAtCP1MunPnMmuEOYkV7B0n49bFZ
uYT+U9t4s0pd+O1kTjFJMOm+2Oq2KfxzSlQczi+z122cSO+7SdrkHwXhzUuM9scR8NUgSf3mZSyc
FIsn9+6ozdI/NIRNGhBJ/ImmKQzLB0Aph9Iie/ixsL0p/epBuWV7BsRS3dYSPYa61oGBCaXMjvPg
j0AcWRVEiC35ajlki0f+PgnbJkvN1sDmMwSRgQrlErIX3liMSD8liKSwG4SOchQ6I4s9D5PRksA8
u7lTgTc7FLaOuuaD+l7hEkB0KfL5Us46qcSrULfCCSOQKJs50Va+sXjf3R3gsVz+/mZyXMgnD6b3
mjNTX3vczUjR7UcnEWyLLb+2OxYR1iIAQVni4i7mokwww3vINgdJPlj0/jeBb36/KZ0iVQQJVT1n
N/7o/0VPYhd22WfbUhsBZO0LFlG2Kl2f1B0Q8SqdithvOPTvnb3IWrG7vgtXYu2SrYmaRGGIhoXC
3NnPloILMqCOXzH73m60sk+Gw5GeEHdjz6+97fL3NyMWeNylqfJZUpfejy6bkpmEZzY10653BGo2
6d+GksP1L1sJXUvB9DSEbrZXd5C+5fKLH/R3So+/rz96ZVaWjM0KdsRdWpTDWbY1iZSWv+2Uxo02
6cbhuhIbl7RMErgodLHWTqr0VYlH8JNuwL+DA2d1mPkHT/AlL9MG/raHhWFzVgV0KmY7MaXaGKC1
37+4M1VlI5TTAP9Shn6WWG4Ynkidpa8oRNcH+OoMMeQd81/XZ2MtyC/JkD3z0twbOjuBLcFTL8h0
m9uVcwuV4HFvM4V+LQy9ylPrWHOSZ954KFT7x51ctQ9cYu0GUA4h7juUw6mRBGIW/oAWXAUX0VMJ
8uadhyLd97Cz2zuw5rONGX439iHILzb2CI+7LJPYd2psdn0qIRjkxnX2xdafro/Ku2sUVMpLCv9m
q1mlaVCz9JF6aNAGMvtrA9e2EAzLjeD97lbG8xdbGQZr3GKqI0mBtsyOe8Ah6azi+5I24sTzFACu
NKhiMUHy9mNfdFlsb76I9jLPhJhIkvneXc/4sbfSlyDbIh+tyHyFS16lDEjbd+NAEynGT30tX+xe
72dBqySAFW7S+6juBaVX3qjc70+Z3fDX2p/gycXNEFnOBCtZCXGUj33sZVrffKwFTRzPHTKaoGz5
2+bFwzCmGawTtzTF3t2hmL5L1Hzz/K6qHQt1LJY0wsSyffGVFTnhGA/8NkUy/7GPWISBuiyF0QPI
YiyX0NF6HBsT2e3xYw+3//8LqgwUUjNjhGjQ2nvXwGJdBjbK/SGknK+/4t1NikGi//+KnrfaaSvM
fQX1b5fDvewG2lfwdt3Yo5fB/s8FFM9fBAEojdrjmHczLCYobOIrAWmYvg83BmhlipeEyqDvPW+a
Qz9xAvSXwzBKUztCnyQKSrabyo/N8ZJbyTtIYDmV5SRpaVlfAq+Vse51CotMzzldn4aVULZkVmaw
cQzHzNNJYN0GIo8d59jaW03+FW2ecMmsTO2Jy0FRc87noijiQjvyU2kBEVf5+QyRYhmon/UUahMR
l7vQ5wxG345g0AGFubqd6i91xew/gCBB1Jvk7V8mK+SyDYdbx/XPf7+fijx5EQsaaNFz0oFLikY7
3FKDPGIBXIBxjh5aOMWj22BOQnG9U3K4HZl3c/29K8PuL0LEVHbMbUsgoARAmTtiN5C28uAvlJW6
2lg8q5+2iBBjWuWqGno3KUN7fNZeq+/cmgVH30Cn3PUzHVf+kEJBp2UqyiVK8Khn/7j+fSu7b0ll
Re9KCQnRmySTDG5DCg+H6vRG9rkyeMFi8GTBZTWpixrJKD85HczpYDR75zD65fqPXwlNwWLg9FwM
FiFjeZbNgyzto6FZrCA4BMvm/cfesIivsnW7gBU+ZDJ49XVmQRrDuPmgKUQYTTq3G+P0rxTyTgxc
8kDnHu6/DRR9khIClyO3dlJBXwK+7GY8AQr1kA439vDd8QnYm2ZvIK7UV9+Nn7+WkwKy+jsueRuX
k7UpW0TjErZGNqAYOqkrWn0DfsDZj2MK9ezAzT9CKIJCxCIpm20C6ADwnTAy48nFLbpq60MYbHzA
SsBfUhoV7E/t3nEdEDn7yPL/pJUTFcFD5/vAfZiNM3FllNjl5W8SB47MvuFTyM9T2WsZ9xWaCS74
u2oHl5wP4TtpuJQ2tI1uLVe7oB5b0LSsg7Tej02T7lLSig8uPG+xvqEpPFAhfXWWNu/yaMyF+QmZ
Q/dzndXu06A1Ij7sUV3YeDk0/O2iZwytp3lk9a6EYGEWBXOGzoCVom8TW87gA4B4uU0QPsJknqmN
37my0Zfq59qrC8f1jE60NE9OSKANNEYlgyiH+Xl9o6/N6OXvb2bUJlkzSaijJuk8k6Sc5+4YzBbd
q7ryNtb9ymVhqdhtoCvmO3M2YazNX1p71W7KlU4IUhQR1aM3QcWVt1i03Wz2H/uqRYDss2yijV13
Zzdl1n7M528FbeHd3MuN3bY2MYv1oypTBbmPr/ABRX+cPcEemhFWbGXuXMB2asv/cOWYWjJC0wJ0
aJ4hLKWg50yetSch+eC0LCKe5HzIqW6KM1pRgfdsNSpqDU6rHgz0x6zfUoxf+YIlEXSkDhzHlSzO
wDifu8Z7AS5nIzVce/TiFjr75VQUnq0TM/W3QAAmeVFv5Cbv9rqQdS3mt+85MpOAOUnnwX0+Totm
3FvAz4M17OTHsOmcvdUD5g6srvxLR6ve2PBr76X/vx0rUVCoezQ2XLLM56mXTSTtZh92IUSqxASD
1f4bKUOAZpCwbOyVlYNjKXBdqgJzbjpy9iSYuvU0AdkDvE1U2hNeCkbeoRVsC965MmVLVp4DY2mn
wsgmPc8fpkzsZRZuZcorH7Jk5Q1aujy38SEFB0Boz4f98Dnb5zsX/vRR9juAI8F9/ajv+T57mB+v
B5qVOLBEVs86FTNJdXsmxrkpDKN3QG3rfZhPzS6zW+t4/TVrw3Z5/dsoDUnJrkVB84w8hdzovJaf
rcr5kBE4DtzFGQCIO5kscD4TXoKgbVAKKzJyMzalOYzUbFUcL097J9f7D7NMWzMfAHk9U3assweV
Pyrr5WPDs9g1DtBTHdTW0PcOq1fuFM9+vkVoWfvViygJhVYOvBejifGzAkpr4cm14TDtDXyjZ7+y
apcg4xGepL1nQPK04NcChZCxgGVO+h1gucjZ1NZZWT9LoHFFWJpaFKJe2Vw9lTAAHgsk0B8a/CXG
2JlmNpQaXQq7NVEr/hD9wURwKZxb2RBVViO4qX0h9C2gGBCrVJC8DjObbrQ4V+LtEjcMNYKw62vY
trY9XDAhamznEQpL7q6Siu87wPVkrMofWVseZuXw1+tDtjbnl2l6s50HmbV5RThNRtv3YttUL2VI
7Khv6vtqFC+1hGvrx960SIRyPxzKkULGpw0+a/8v5F92CuvMUz+K7kPsFQi6Lc7K+eISOzMgvnk5
jIdZXwANMDE9QLJyi5Xq/euuvBM9ljBi6aLQoj2BaqKVVYdQ9qjJ0lr9YbDdsm5nwMnv7baFGIFA
nbg6+gWpTh01soDVgK+LiAk1i8hBOxdnQ6cSIF91HFDPxbNYu691Zr4RbnN41k5sxwc+u7GjQG6C
/qCX3qDV5yeQsqziOiT9bpxT548L67sbMNk9FIdoEdw7XlojdxLZjvRDdrB7374tcoiBGR7kh94M
MGQTmr2GXRm8UGpArfWnwnvGdaE86DBs/NitlLmzJpHd2qx38ijwJVx5yzo9AnmWJRnswn+i6gTh
Ao4g1LmViPNAk0NQBPxg42L+zPtRwKZimI9+Zal9FuDhkZ0bdmooZZ/DgGUonw/kCco+010PCZCk
pZXZ8ZCLeCzhaED6sI246tOTlTF5Cio6RSSHqWbYevNf5Cb+0QNaImpDeMvNVu+9jJUwZ4v45IhE
YtyVpT3utJEkmgTDh7uTvLX6OttrCAs/DxBIiCDzGHyyLYAxo6GbGZRNPPugFYEYdNUi3ymAqq59
Ne1q6lYglYXyUHn+fNRcta9qdp1jqafyc+uDO9EqXAvdCjDneO4L8MnrwPnZe/60Q1W+eVYeuL8m
r4dz3Xvnzhvt/RiOFcS4p2wPn2b/CD5tu2sUKFG8sNt7qG7TJwi7sJ9O1qP03iuGW0o93fhScFxC
s+HMSqPvQk2zg2nYfNH1tlGVc3+1sKBEN8TxD4VDIih8AAbMKxa7BZ0jN8wfLWHZNxoo7QMLxe+s
b70b1EzJM3W7l4pX/QnuUfYvABI6GYe1Gr/ZthnjabjoiOFaKSDam3nwHUkr8bc1dRNLow3sxKA1
GUBeeQfAJXssgWt+Fn2g79tehPug0fM36dH6s1J1d59NfnY7FuavcXULYLUuH1jHUgyAzu861n32
VVMkw2yPmJBanDXEEO9z6qsDEFlN5Oj6C4Opxn2oMMK0asRNiifepI07HGsuPBE3Y1ftmsDXr2k5
TYlxCnLELdrZ2XMGiRm4RR98E3pR3XTw3vDr9tjYs/PTFkbctkUNJmRv4G/SOfwmNHpEipi3RwfZ
/r6gJAX5C4BVhf3jx7U1N7etx2UcOA4+UsCACiu62YUKJdy0RUNgEl1+KAc2PIbo3Eazm4U7q6ET
CMkiP0GWNYglQkoUFkAuBlA41aFu4mrSEq4efi7AMAyDr37j8yeulH4aIAq2a6oh23naVyeIxpEB
+p6wJULdBcpyHBeCA17Hzp1lFXGrCZgEWcDnpxa+c49VW6axCOom0W1vjsLpXHRgyz+pI90k8Mp0
lzlo76eOX5x8OJsGUR52UFpsWVPfeGoe70MJ95w41TT8KkjhRbnNUJemIgWvoR7DAC6TlfxOwboo
oKJXNY96Fo7cdYMNSQcJesNDoOvgnrth9t2n1hctRMsQO1rcNXKEkL3UVXgQynS3swLST7p4iQXT
lTvUYIaDX6Bl5EuUIKSCj2EECPT8OOf/4+w6lmTFlegXEYEQArSlfFW7291z3Ya4FhBGBiPg69+p
t+phmiKiVxPTMwGFTEqZeQxWYVYG09bVaXSxXHc7zjOz5Qr2KhTeIQ+k7duHASWcfYFs6T6De9wF
ZqX6M1a1+JxQl/6DtWOfUfC1iKdQxmQxt6PhsQv/Kri58PFQGM95RutRfQUy2gWhI+vh2tSpO28o
qbNNLMqUV8PmEMzvEbp+KqIhCtYqQCAds/JIrMOvtuLYm5WXea+mzKeNk6V855TT8L2xxtuCsW4g
o8gTKDcUOc92OWtxqg0JusRtlXvHUvE6DrLSbtrW2COnlD5ORrdbOOBWDzlQGsexZxNYnBxlt8jz
q+MwAiLpUuE+2rqkT1XmyK2Zpm6PHYxlKrEXVFhDB8W17QEuWugjlkkDmaQewkwn2D6of0q4Gm2p
W0z3pcrbLckF2QteRw+ea/nzUA09MNy62/MOmRvoBuSxyFLgiI2X/mpG2u5lp7OHFBFno/yJbkUA
ye8C9K845S7cxqk7iTh3k3GfX8FHBee4A+H6VepNAtGJJw6UyHNdmPLFbYF6krWAqq2Qxb2GmP9r
XQxJXE2pei1EERSxxeo5QTzb3RfWc/eKmqcI5t/b3HenEx199ztq4cExEaHZylHxB8B74SWHnmcM
IYjxPspGXsVBbmGXA0n9A6oq+lONnvl5KCf5hfG+2pW0CA9AiUaHfoTBZEmzJs7I6J/kmDevkhY4
upRMnvtyHH9mgBUeAJoKP9HWwMR90AL7xIW4tgufvs7RwSmLvBz1ZtncdShzXnwE72+UOPa1bNXv
ofQIzBqD5nfTw595M6A8ft81w/Dgc6f50fsqh8Rj2kGFMe33oD6Pd/04FRmGeKAwXLYah3nhsgIB
HKtoV1TaeHHX+3rrQ+39K/qM4gWycdmPEXoVW1gv+I9e2opvbRO0IB1BPdpzJw8j6Tb/MOWBpOAE
wIaHROFgSYS5az1Lf3TTBD/hcYT9jC8z51SO18tYCym9l9ZlQM9WTEArXXmHIQWkS6Xe9JAoqf64
neBxwaIQ/Cl0mYuhbwCVyvKvaSPyu4yJ7hlxe7pD6KVbN5nYc1WO9Z1GiDuWDtTD6QjsxFbq1juH
PS5dtYCgImnadCtqF5y5vhBf+9phe7eW5UlWpD92UK+7EKKy7UAnn6CJRadt7mRXN6CmRsMysqkG
pyitEM5ldGJjmVz9nLpfsFBK8JWifgLv2F+p+CwkenOGSOO3/tjwBp2/HJQQK6jcehri2hQCjyv1
qoViwZzYYSBTFjAT8jP24Rkk126T4FwyUu4ihzmb2zf+hWrrnODBojHwNayPzm5noPzYeneqcu5S
0e1ZlZ0cv2UoTNCV3G/pi66D+SaRQe08QhC9yqq20NEp6lOYFlDEK/QpcaoVQPNC7jrneKRG8jDv
lHtunVGBBAjGlVrjxy49e5YeQU6lDvNRuGct9RcIACKEqGiN3bv08FleFEnXq6JOQ7EABivbUbHx
DOJh9bGSkD8rTPikKn0pYEHiG+d7MXq/em9N12FpK8waVYEF7leVAfgQDshPxq9OShUPrmg+OKOz
cg30sGUY2BqjzqBPNw6DjXVpv91e/0s/fjYuuh9lUVa4/uEqXO99ASu30RvZl96E/Qp3fyF9n9NR
KgP6Kqo12GJOQFEKAiDY+hCpm77JqH6e1PTn9qcs7K45LyWsiDfWHuQakExttIHtD+Syejic1nYN
J7n0iusnvtnAVLnwKyp7cg6t3gzkV1MNZ8N3CryO29+wsAnmlJQghccWb+h0dhWuSE131xThSuVs
YabnfJTK9vkk4UZ7ScsvDk6jxnxqprUGz9IcX7/nzcDoPDFTBSmsc8hysUsmHFNw7C62iSoOojFN
rFpUbG6P0dK7ZlForMoiYy2KUKlN6otm0aHzq21gYErYwVAIRMNozbh54XTwZjGJwzk3SvgImNvg
821Q5WxTeoGKkTmz2E5pvfOsBUozCddEFJZW2Gyz4/ZU+0C1CBz1aHkHA+1j6L9+gYtyEodesVKH
X6jjebNdXyRuDuJ3CinQ9LmDgr9t3G01fa3SKoaOxM5030i/UjJcmK05QYV2uM0pUgI5q/7S4XPb
PrFqZzFXufP19npYWNhzYgqDwnRoGwcmZ64+1b7+yZNuK7vgQ8JcSENmm34Mk1S4IyPniZVD7Grv
S2chGH37xy8Nz3UdvNk4rJaQgPJQqBO4Y8ZeKA8hBcuf5LvWH/5xeLoShJcG6fr3N++pHWgUIhsg
Z91Nf6TnvOTtcBWsXPuOhcA1Z6h4w6CrwAKaEhgqTxVqtg9tj0LE7VFa2BVzaoopagKOJ1qWoydj
ZastEV+pzXfS8be337A0PrOdrmruMF5DR2Xk0YFX0e9EVLAunYKV+/LS+Mz2NadaMBaBzoi0E8oN
+pB16nT7py8todlmbkjhkW4iuB+k0FrQf/P0b+mm2ylDX2fllrAQB+fMByRTKCN4E1RKSsgj5Jy0
TxFNikvdj49hqvaUptPOSdJwZTYW5ntuWtUMOqIdEtVzzSDubv92TG/d/EeLMsbtMVuY7jnhQQW1
Y32JxurYoW6AEoVSf5j8cfvhS79+tqep5/iQkvAi5BT6yIrqH5Rbyo3T60dUVPzd7ZcsLKg57QEO
VxBx6H1yvqocOMP0Twl9kJUTdml0ru98EyxQhWqjhqXRGcqcn1PHfbYOjDHCFSTFwnqdu05xFjXg
EV7ZkMLflLWBYp/XRshV3ZM0vo6JAFvs9iAtzcRsV0dQzhy7BlYsXB+5cnZ+9TOHOjjKfysLdWmk
Zts6LVJX52C+XTQaFzz87g0PIpQrU7z062cbuy78HKUpIFhAEfgsa5CFCYrRFVDQMc/UWuR+/xOi
/5AfXD14STqMF6GuJoxe/kmOzEMJcVj5jPdXajRnP1RgszQVV+RsE3mCMvJvR0QrIIb3Ryia20ih
NNfVYPMhLjH/DqI4X8dc3lUueUFb7e/tJfT+ao349dVv9oLM+8mVg2dgAzhtmgCdTaXYS1WEL00K
UZWhFmtowaVxuk7QmzehziwAg6zaSzcqdA4M++p59UoOuYDcjuYcBiO8ElpJEg8X/rgpB/h2u9Jv
d2PGj6HsYQXvHgCy/JxN43eP1I9wHP9mefHUTv6nIK8/tYK8cOK+3B7U/9MW/9ufjPjsDu8aF4Iz
6Fudiz4CTzxMGGr0wh4YvBwfolqnj2Oprv6BUl0c34fznEe9k5vS7gfMIfgz7QfwoiZavfhQfYlr
p2z+AUkJXfqu7vDvUC958TWQLW03AhftWvXoe713R4n6TX3XArAuvS7mjFePkKsK7mwN/RmjUtTM
0rr8BBu8IZadwiybyTuUQiR7jKCNna5L7hNkMxfUQch9SZk9CWQ50OhRZE+mDr6sLh80UI5o+EDz
vTqj7Fd+K1XYbGtvIsdsIGKHwD1tU4HTQJUkgqNglYAyChTZlOA/AEUbbXiDyDhxlT4UA8++JJaE
xz4Y5N6mbr6tfYRlYdv+oePhmsr+0gqchUulBq7o1WMl8KpHStXJ95OVS8pSlJkHypInIAYBzsKb
g+PfifCTP6wkM//PWt5bTLM4aXVBnNJn+tKd/YO6A8NXNzG7C4/VJt3VR++xOCWPfh6bB6Rq99Vj
txJ9Fr5pThrhyNSAdPDqi4JCu9pVtuqruDMQKPWKyK7x7hcmZU4aySpwA2EsV1/cafwJh5uvpcrW
xM3ev9dFc7YIGlMwZYUi+9nAJ/MuE74TJ9Yfd63kdofitbsBhz3apuXYvt7e+e+bc0GM/xpn30S5
JKrKxGNuc/aM3TukO9RNdGQJMDaVD3PV+lXbbsup3FAIosJzaNtDufL2u98P5cG8uCKd0O2AemhB
y/6Ue/ZBZdW9VmKLTsXD1Nrtx94yC+O9TrsOlXxzzh20VkXVdMBUeGed1N+LAl1ZFPI/+Kbrinkz
lGhsQMgqNf0ZAnTf4Rv6SkWZHdp0AKyjGf/6/ZDtb3/T+ys9mKt/hGjb6wEGr2cjCr4BGIdA9ghQ
tx4h9WNvmIUegmtU5YJdegbQ1j42YW2f0gA9vdTr12pU12H5b5gI5lIfoze0WTtyfeah+ckqgAo6
NIFv//z3LyLBvKCStoMDNAh+/liYA3devcndOfqvcNcg+AszMM+vW7TEQuuV7RlVJ1wEoTBX7CQR
aPVK460UUhb2xzzLJq4Thr6XVufKgsaSqytPG6CZk8dLGNMo5sdhV/YrV4ClD5pNeK+ANkJgK895
A8P2XKMR27Z+cNJFVXwoyQvmmgNF1qdqIgUQcOQO/uO70Dsm6NTdnvGl3z87dGQJkHHUS332PVUd
KvRcT9RvSogltvWn2694PzoH86zbcgEQVhkWZ03gxQvKMNE/RBGFz31NZRlXBO3moQkZSoRE8ZWX
LuySOUHcWCQDXCflGRZq96NyXq5N7dvfs/To2ZDxPJCt6E11ZnUZPXYu+9vBtnll8b7/cDZPY1Dg
yhIaif5MBJTTkib5DoZBuvLL398ZbJ7CNH2oWCoiaG4ObvmjTEdIi2jrF/eEQu+kn6QfbJyGhys1
04W1NS9/+GVQJCHiK27l9mc5Rq9BMH5X2nzo3hLMix9oBHjcmWyFrAlQ7y4f6pMbGgLsjFhjvL8/
G8Fc9cFhDbxoI8lOtUvaXZoE9tDYZs0WbSHazmsfg9Rd1lERnsorHql85HKIq6tg6PR8e6UuveD6
WW9OVgC7w8FAwvHsZ9x+75q8TONu4sNeVUMGgGAS5Yfbb1oaKPrvN41+R2A3SLDdCtIeGlCP7yBC
VW4/9vRZkLVoW3g+xDfPpmu6HU0s0izPyJVCzvvxic2zbz3VftR16srGhh5z7Tr+QSR5EeuoApYJ
mrkbyqJfMNv9/JGvYfNU3MA8O/VCT5+nqX6WefHaVGuSeUsb/LoT30w4GSvtSDfU5wCGS5sgAbqr
6tm931bHrs79TSXMShvu/aXF5ol4Nfip1ZEy5wLZtujrA8/93Vg4R9k3X26P0/vhg/0nufaatiOy
BzJkdF6SsfknCsfvzeiolWi49PzZquozlbuAERsg8Hyoyta7SkRgZ07H2z///S3B5koCztiDS83x
80dqH6SSfVyCyb6yI5aGf3YGiaaoRMiNObd5Ar+xqnBigvS/p/rR8dcQAQtfME8MO6DsROtjjgcY
Td61TmYPZVN97KrM5glhbXrZTL6vzxnMaLapzX7JgYSbsfzYvQkwpn9vhsAmSKjBwz5D37WHD2Hx
C2WpHO3otfFZWEBzGYFxNKK2IsECtV908KUdH8tkJY94X7qWsDlTvXBsWTpM9hAyrhqAqsQQbDUm
G1HbdYZvIQ3Md0l191kNNtwlUScuYvLHY2jJsCcipTudBgpoRVAb/BSqKX7p/uwClH7AbaFPt5f4
gn4KMux/D/Hg47oCfZ/kVBUlwOFl1zafDBcs3KQaLS6qRHYskqqBYVXP2T0sZ+odgOfBJYD1SVdE
HJRum352knLNJXUhmM9J+Ek91Sm03cAtl8ll0N2dzqInScyzl0AFX7NPICRO8e3PX4i2c0K+iHp0
HinKDld1bY/vHSC1PeXuXEBV0Yu5/ZKFnR7Nhrj3syky/picMM+/mxZl2mmaHuqk/g0O9co8Li3k
WVVrIIOoJjVGp6i6BIofGs/ZZLZeiVVLT5/FKlRqXRcuXM6VKWf3qIDKRw/Iiu/JJNcabQuvmJPs
NXQpazIEzolhbTc6AIE7SA/abfjHZmHOs4dCv5tOoZecDOgnW6et7m2NwDuU5dEC+LnyloWAOyfa
c3iVD5mqQTzhX8Lur2dWbjhLw3NdW2+uBU4tiIigG35qyd0AE3Tbv2S4Q91eoAs1eRZe3/rm6UHN
HHfspuTkJnDhdSyld3AmJjHcd1OEm4zoLfVK9RvyWsEO8v58Q8aiuDhaTwc7oUkGxhBE05OQoIwP
WPYYudOHUgQ2J6HniSMoIfhw2ZgNhBS3zfTE6g85NRIWzi69bURymV+f3oDBlaVxLU6e+2tlVK97
779lHtgv/3tUNfzjE0iU46f3ooqbfOo3IVWxQKCvGrWHon8TNxFy2+FKuRm1u4Pr6ArKYiGwzX2C
fVgF8LAhyclT3WOSZvHAYMudV/tRwOLLrqz2hbfMOeKNKtzc1zo7V4bGDmx8nwDPD/cp8x+hSK5i
ProrbaOF9T+33RWQYRI1lykER/z8mOhK78NR/REULOvb07Wwc+fSmUGWMQNAenb2+RdlxcUNy5Vr
5NJvn+1dQ1I+wYU6OVHp/QhaU+5T3LCDpFmzZl16wfXvb7avhLqQIwc3OVmUzDe5k7NHRUz3nCRl
9sHRuY7am1eEfZRPXCJCKHPsoFrj1mud8aVxn23Bzup24G0B0HuBervhQ75VFQhYt2eVv78H53oA
CYV8RGfxu0cXOo+qTb66lP3obPZzkt5TOkYkHh0wVnR0uP3ChcM+mG36ofNrmThOdArF0Jx6Qr4G
onxpuOniKVuTIFua8Nl5PNWsZWlIE3B37Navnwu/hd2EXTkOFi5gc66/gDYDqxUabq0RDxk1v4qy
fYQ/y2vnwncmp5/L4GPVGeCO/r2sAkcAsTriQzwa3A8s2QZJtXJwLKyrOcN/nIKcKih+nlxZfqoh
GgxjjZVFtfTo2YbOed5UMoe/J81wP6fQgJw63q6M/sKKnZP6He4omRGTn72CVy8oGgu2QcEyCHdS
QZ2MI4frY3ew5uswhfzU8Hr84B1szvTP7TB4jhlhrAHZChbk8Cy5jKP/+qGdMZcHKqsx1E6LD2sn
GJwUe+aWmzCA20201qBc2BZzcaA8afoRc5Of/aIt4mo46hEkvgEil7e/YOn5s70tlK44Wt7OyeTs
VExmO6T8E8/5SldwIXSw2a5GhPWkue5q+PPEKiOxcb9H5SdnreO58Py5YkEIpwSkmtjXRSFkbDI3
iQXCeRmp1zyLyMc2x1yywMCdZbTQFjyBtXd0Bdt3yv98e/yXPuB6DXlzCKV5qHkKtPCZKL2d2mPU
oJFOTAw93/3H3nB985s3BLyJdG5wzQBPlxWPDmFPTvLQMbKSpi1cmOayBVQSx58IrmXgvl5Inf5J
co7drLsjqfUXkHHWoOkLMXzufFZK0jNaJAisMGUqcb+cwntOzXYssbPtcy3ylXC1sCfmzmfpCGBb
OETRyR8egX/e1NAhghLOx3bcXKIAyD8ejJB4O4Wk/yxCOEjZgryyZm2+FyL5XJ3AhlLzZDTJqS4o
GPPeVjrNy+2ltDQws92se9bDzRq7mQg/hnhO3PAxDmFI+qHHz82XsrJKpKcj5zQy/wfrUBrRVZmC
T4zId/sNC7ttTqwDpikIHBcHKI5k0LtBOP08tOVmEmvCMguDP6fVoYrge1ClSE6R0q8VhASHPlwJ
Qku/fbaPC1JlOBZxIx57s6XilRf+ZihETMvn24OzMLv0+vc3gQIArxACTGWKK0DW7w2C0sm3Jtwp
6yQracPSN1yH7c0regKKf3FNeaLohXQ4+INDHbzQ5IO3GEr//fyC5FNe+GF0sl57x91h4yZ2pVqx
EObmTs8DSO/BWCPMBVXgf4XjXbMZx+yvSjsKsB9pXipdZyvDtLSK5oeygM5FP/boIVppd5VTFTt/
YGu+DkuTMNvFgwhk6bddea5doPFi2lTu3lVlFiuAJO/LllcrQ7bwojk3LQ+4HwGmk555dE/aT1H+
1CQ/mPv19nL9/xn/Ti1iTkmbhIkCFpn0/PXr48nZPd7nz/7BP1xsDFmDGOoOG28j40uy+Q19h9iJ
/U1zQPtpQ7e4QMV93GybLTmz8/RZnsKDvoM8u4rV5gXSiXEX/779K9/fVEA7/ntFyqjvU4yzOXcy
gndgA6JRA39I2a/Zyb0/yOGcezmWbWNahoaFraedzz8TA3QXRMX45w99wH+C8iQ7CBFTSKLmAP/K
uBK//HANHv3+Qg/n8RgKNER3tjZnklf1Q+s4Zi+ytNje/unvXxjCeTBmJpqK0tr+PCQFsE5fc+JA
NJnEbbj3k306+SuFqaWvuE7Nm6jG0acFV7ECVIx3EKTw++YihHT2t79i6emzsJwFxlBQ4vW5g0HX
Y5dW0CiGMNfKGC0snzmj2e1VmXpQc4drnXMgyJTQI9H3UsPpCi7Xa+jrhV0wj8vNOPZZOY3qjBbQ
UTJYvk1hUsbEDL9uD9L7GWY4j84BmKMBHVoBwkaqdmOugSmoaVjualiG/hQqCzaRVtArgggQVVm/
lp4tLbHZ9qZ1gOJXldZnKZsoBgX6F29VuNGTzJBtZhnkAurwnDnRWiq9tBpmwdsmsMdtRMtO3CVJ
nEooqivryRVszMLT5xHbr9KpLHvUU3sK8ArPtATdOos+dKyF84Dd9y4EKsaiOsswT3canriPaOGv
FUcWJLzDOfjVj9o+THsAV6gZfpPJh8VjzZ5KWj2TXPexFVACaO09dPN+C8f/WL04nONebWBKBwW+
+pywSwmZ8KAp9oailzQcqfzYzTic04uhMt1WZcvEGY4g2eMgcuja8dyRD1nU5Cuzs7BHveuaeBPF
UqWJdQO4cWb5P0Oy161ECbFauXgvPXx2MZOwGRkT6lwtJdMJGkui3aa5X9+boFhLD5fWrvfv31/U
sutZw9WF6Oi+SYMTD+lK39v7P9Dtv3eNcA5vpRAemKCWwsGZMwY4buCXHmliiinuq7J7CmUKMRsx
BZvJC+Qh9UtLY7+Dws1YpO0WtPbMQo/QNIcqb71vkatpdz+iuQnnVtcYffTcoHq21onczeiJ6nfW
EGkgHyb1A/WK4A7mvQzOxJUxFxKUEu5hrLUbN4pyyIhl4WbSPNuMEATbDAnnL0HdDkOsM89/bKoA
VlOTaJ5cACcuPYSa7kumwzOFINNGEHqAjhn7VBVJvqk6b/hCXcb3KHfgPM4peUXBtIuBjnf3CQyr
o41vbfYqsty/bwbjPzSJ52wpqYIXe+W7wsrsB8/T5CdrJPpDLtEQG3LdwxQ45Lc/lM6XoVf0R6CY
2OdO4QOlzpxs5wZ99Ew8w+RDzQrYm+Rq6J4KpciD60i5rzsonAE24ETRBr7OI/QJk6i8Y6kbRptU
sq7beZD++idPHQIhEwd6UxOUGeG01IotInNzAM3DtXERlAW9mCZR55SMdCchePLAMmGeUXf0z0wZ
85iMXn+fUMj6JPDS3lg1svt+iPinzG2DE6wIqktbUHEPeR32ql0XOIcCjcN0gBIcpMTI956TqtrQ
K/RAFWm1EUyXp7yUzT4RSf2r6q276/hYHsOI5ScyKnHoB1cfwsnLjrQj/GfkO1CbyRhU4IimdjeM
vto5fQDRQJZnX1jSyq8VPmXauKbnA2jlHb80rWUxqpFhHXsDi/C/AmIcTflTFGQeWlkTpRsR6BJm
4qoO8kMbjfxYyxqLb4D+k182zsGl1B4p5i6WQZIcvGbCnZL15QlWxGRXQGXrzkBQ66KCNHvoay6O
AGfyWPrK37qSGjjrZtp+jqA/BL00b/iUmina2yQIZDx4FPK9OdPBNiprbwvCVHYpKgiGyT6E4TaM
xHcwGQvgvOZGe0FZCvNjbXFJ6KedhRG2txsVLBgChgPWgXTfo6NTyOY5Jr3nbgZT8RquGQICbXcD
eOZnRRPoJOXSmo1B1SLOkPz3kNwK230Q9MOehcX4ranAVlSaNhfVhOakIYD1hxeFejBG2mzjRW2S
4ZS1DZyFBiC/NgMkiqK4lkXdbPWUlgoqUT70DuHUHY9pMH2ZqOftEun6L32T+g9CkWLXBWN1KbJq
smc+strBIVG1uzrPXDRpPajUdQLV0QacLE9l8iUYy/xQVbW7waWy2Fug318IicoDT8C7L7P0OcUm
jNkUhdugKMhl8pgTD0n6N0BNfUPd3gm3DDLy2zLqxgdUUsJLX0xkEwJ6EletqLfDFXzUwhPpqQng
zXoitIv+QN8dsqwgKgXRpq8jeoDhWhtzPqbbAaRVMEgSj8CSehqgyIy5+UXG3GyjQjhxFwKplhdQ
NQz7DGJi2Frw8DEoz50Cqnxo5Sj5E7Ze1Wboh/ykqW92qRvoLTMy+5OErf0mXDguZpOQx8pX9s8A
PtN9EJXez6pxupN0Zb0JSj84Zl01PcICPdqMVKutgbjZfS4ycUh51OynBNqokNVkVG8ykBLuMxgp
xZY1gKeziJePRZmEe6KVi8x3YPCTBwtO//Su5sonB/+o4ogPgQuttl7AtcB6xX3Lx0bCjs6i8h6S
sPUvNMxR37x9dV04Gudo3r4bCcgzMEkNbAt1yzoatug6V7FfgW/ysVdcX/3maIdniS+yVupLIdN9
qdqLCsdLr9jHMpS5f1tI05D3SaQusNCgcV+zg9/3ayjbhQRlTmhGxZchiCfqErmvOdbVmMDoEg3V
wlnDMi1cHOY2l3QsGxOWqYacq/zecn4PEvUKHnVhbv/DXOGV6woxJmcwJNhu6KMWymsBpqFudren
dmF45gogYzMkcL+ok3NmhoOvk5+9phBXK7pfqFyvWRMtjNBcBCTQnIo86WDUbtXTlT4Jqc+VEXq/
rIbd8++lCekoXGP9Sl9MvxnvjbfJxRZX5/Bjkv/h3Je2rWAGNSnGz4OqfnneX78IPlQMD+eOtH7v
1m4D1bxLDV072YlN5tYxcdYSvaWJnV/H3cqLcLJgVZb0U9FMRwakS9KMP6hKV661S9M6u5SbzDod
emdAR7VfWf4a1j9vr8ml585u4hKCicAAZfqi9PQJGqafSZs+33700qjM8u0ebh3wok3MxdBg50V3
ZVadePmg7MfcOsL/J5dvQiX8VAJvKjAmuCZDGrkKDwNbaZQtDMuccWQ6lTH4X+sL9/7W+gVNgg+N
yZzQInFGNakDf2AbvqAgsHcJ7rxtcoCab3z7DUu/fLZJccA7TmEJOMBI2uNeVtCLFGvsgCC61i7e
Sa7cWU3DdNqmnQaYtE16Z++lZfp5KGV07KgVe0tAxmuUN+wYyyTZTExkn4QEGdh4YZFuGBQp7V7z
erhEOmmfHFE2+8CX5LEP0vCbC53QHzSomvsiI/krEJ4VHLz9qzIwNIYrA6ZqPnRyx9Q4HQDLnqCD
buh9HjbwM6MGMtzxVNcqi8euJ39G6airNfPfKrfjT1VFsMws0DPZugPkZ7bW9f0Ml+yoeXUDKCfE
QjN9vWdFXYh8t6xPU17bU6uBPNyAPTc8ZJknIuj8GoVpC1wUrukA2dspBNFxoNk+Ahb9ufdaHTdt
23d4NsSdap/2TgyXhHHrDP6wS0ELaUpY/jgSGWYXOMNDIKbw50TL4W4E9X8fBnrckP4KayTpQNOt
E2RiVwS2uOdCTd8g6Rtt8qhVQaz6qjpmPSRHYWvJ6PeyI1MBOXhn2Je5RgrCc+FCibhsHqDdlDxk
Y84PYiTiGYrK3ZZEwD3FPBQQcMZeTeMG0kX3ISvNd2siuYnaMjwK4NK2KdPk5xRl/S8G5v6eAJyJ
utlQvo64cW7JBHFk1Y30jLSa/iLUERfOLf0nAUt/q00aFDtcZP19mekSeWxr03FHwinfD5DK2ZSh
GjfZKP/kyIF/jLZH5s5d/7kKXAWlZe5vXMfLv4mA5xvPOOHnDHyIF39oIGhb4ou2DO4nlyns1SnA
X+MasrIXUXXsUIRp+AJ19Q4XnVwdgY1N69gSJ+LbSvvZj86FlCvO3+ir9poMmskqyMvY6ev+AeKo
9aGET1VsjIUmS16phwQ4daDPZHhSY4KcYkgguQXJXUMv+JmCXIKUIV/sC6eSGyVDW++gazm6OxMV
9QUHpzkHjA2fhiHtduBjTvtCGK0h9tvCxkjCjOKbR3woLxQQdQN8lwJp42HzfuZDHTyCrIHjlrDy
u4AB8t/WTcSvERXLR5QBge8EH0hBg7seXknlKgrthWQq94xGwaMFjwQJT2cUeKtJ84DqSHPu2HUF
THCB9yB18NTJwN1GzRBAzF2JPdTHyY6Z3Jg4NFCi9aR14Go4qqPbJxqiC6I808qvCySfA0xAcfU7
m8jx9j6gQ/vaGHfDkKVtcRVhqE1ocwzDtr3rsa93/+PsvJYb17mmfUWoIkGQIE4ZJFlynnEYn7Ds
CQwAI0AwXP3fev+T2fpGVpXPdnlqUxJJpLW6nw5cUCECBORs/Wyt0lr05cYZguMhQw5psxgcyOVI
r5Fgg0M0d6btMA9qN/SSJcAzG6CdpXmlihVoCreNmwDdiBAxR8/2oVryKi75ah6Ox4p7zFTrXi7u
AudD5eXQ5Kwd3lwB/n2oDDiwMqseAz7BOYobsGxDt4TGrMjD/koBfA2e3apvGlerK5wIw+8Fzv6b
GmP2V84w5eAkM0Z6Cgiui9Z0YnXXPRUh998UorES21b2pnagnKK8RgYwMbme4rnP8MjrGWTiOlyg
jJWeByUmhTRpR9xgSeZxIakJ7LKTHKrmnrF6L3u1xkwY8tCPoeIAmA/hVhq+voPjDAE58PCbzFPs
dQB74SMnmDDAsuy2UjjrN1lk2bOz8gpywGKImkL4HYoNTF0jhYg/0EkstyVbkRgNxksiHRHsZisR
HeXg8fZVkN/VTmF38Ky6aU0XqGp4I1JvzoOPEMFC0WpX8w4U4Rplpefk0dr3AXJ8TQmeSleliAhq
n8gKb/MwekMVN22YQ7DrqE3HPOdG0gZvuTPh9MrIUqfd3GSbqvKKpxqJgUjPAPjK47OnosXpJ2wN
QR1UMsTREhXb3in82AKQsmMdCni1Ed9DF4qTluTHCd0pdw6DgqDlTNyHbTDpaA1QuULmq+o3A5i3
B5dV8/1gvSrC4Xq5FXCc3iBUY64TNnO2mZg3oNISFLvBc/BYppxdO+2kvmeZo76PSmH2cxo/CQQt
n5hjFMAtuTzwkDRoozr5Q42oqU3dDKB9AHlevxANuEnsY/DtScNQl2Bq2GZTPf88Btujbsc08iMG
8MJ7km3WFkOA1o2MobcIdo0uSuC/iN3i6fYAB5ZO5LkejZXFXlaVAEogtXpar0atCUZu3cutM9UI
OKATh8cO80lZHcv5AHYgoIK5/XWbC/sydcGMHVQWIr6NBCCrBnncLmH30oEQk7qjruIwR/8fivH8
tc4Wee3yEYCFrLWP3RHtnM+rt5vmwCTAdeI8zk0Z5w3Vewcld3Br6IxvQ8MlDZhkm6wWayxljgBN
VFTdTV8PJkayjNpPxezFPUCD20lQCUs/5hYi1g9XB/kb8/o5BbHPT/GPGUIKhdjrXgx4r2D/8vko
riX2UnfOjO4V6plk+FWoZtoBQeE/Y/2hB7gZvTVyLWaRDToc310yI+oiczqaNHMFnCyXhbqXZpo3
bQs4NqrsTcIzi3iPnvTmHeODveoQ9dl1coeEMts99pOmV1lZrxtEsfgYwsOSiMxbHtE+2RVNobbY
LVm8OT27xthl9/Uigp8Gdb4EoPMq5bLtdig42juhvH5XZZkXNxB2budFh1fgMC/I0fLJbdERGmfS
kFtsTN2dBRI9CfSs7+ChzO7LqiLfekn7J1O66mmcTbM3orsvAJGIJALtEywN5dZhjT4u6+M14prW
zYxXcsc0c1AVzmziwkARD6zU1wqC5B9DhQUAYPu5vlZuI26MDUYcnECEnhdiflmNMhrW9vJeutS/
WwmE5RS18+e+bet3iaJf1AkU1JbeRS4AYkMeAsd3H3gl23sAEqvfS2jaDQ9VeACt/BGM8yrtclZu
23Bor/OFut8AKSK/Mlj8v9m59reOnLx5M2CmuUXsAr8zyp0jwdzxfVxC+oePId3jB8+pM2TdVVFl
7BHFArEV67I8IemJbIOZsl/Wb5Yfta/dNDRDtkErqok0Yv9ustUEP5vMyBsfgTdPOYqxCHgoGvut
snn53tnG/MEyj2AUgd7be1Xq7sGWAYwqeLr0MZDH8CWwb6wXaZmjdCjWGTQHJTvlpaysJbwsNmtQ
OGq7YocFW6Pu5bLmtsBZ/dYMUtw2NRmvF8lo2sLv9NTPLrmblAOc04pMFJQCp6BOao+P+3YNx4Q5
quBRoINwSsaZzE9IOG/xrrcdwj1qnRTILblH0wIgqA5bsG1JHBQ9FX12nRqVhxk5DaHXgvNYtHW8
aOU+NHZWN01gvK1WHlauqvWus7ruERMc5rdIskGHBDqGLTehfy9pJp/yWQFLNQeDTXM2+akYiE2w
OHvA23scKwgXYTSjULwb5lbcTwZprBJkQJTr53ZJcf/Er6yo+DfUredjO8akPpgl1xXcfQBPYnd8
GK1wXsPSjNGkJjcWgtKrUAfulVWmoHh4y5LSJs/vZOnUCKEZwhm9FSTMI82+SaCiZI/+BGZpSlFO
vytHHtyKASkDPryDaWngCG8zlt+1hV/ekoCUmxXJH79I6bUQK9I5iDA5sDtnIAlCCMGbKHl1z7Hh
vLU4lv/WzqKAnS86GrE5NwDOo1Yc+D0Y2FmHbOIcW70HNWfAXvVEPmgiKEsK7Kowx5su9eyy9eDG
3NKsCbceW/oHlCvYd1oNJFbSX9OKdeN2QV5JBLYotVHhE2zb3aL7PXYzuy9V4SDGdwweEZmiVLzk
XuknrBWXKAP/rowFp0QJ2gwo8Ge0O0D1F+vlFb3BCC/T5+fVcxc/duv/OsR7k+vowvG6Q5B1UNLu
m+EXAoo/v/a/KxDBqS9fo4S1kBnXNngPMfXHyPUI82Q0lwzC/z5sB6dG/LaljmFW9IfFJ/uwKO74
PCaff/dzlz7er7/uSz90DssGgjqwuMWyjxPIhVrYuQsf//7XhZHUysRMZAZfMEFej//U1eWFYtK/
C4TBqd++7Hu0FmYWwtLP9rMJXmSmrtErUHBied/7rLrwE869MydFq5BVFrksxXBAkSaBkiAGt6q6
FKV57qU5KVuhPitwNkTaAjJZoolC5UR+tG0Yr86lkOxzX/+khrIgFWrRBQW3u8H50fOK1MjhbnLs
JaPAObbY//HdE4R4DRZ9CsCyAZneDjJG9u9T8IPHBoe1JFgulCXP3KxTC34GfyyfddMflIY1rosk
Dkgwc8a9+hqnIDj14JdETcC15cMh9DFNw8aEQ0vk0jWS4ebzkXbmrT014RsdTk3Yo2KW8WmMWy/f
N+Wwq1pnTJyJzxEvUcz5/KPOPPlTT35dS493E3QPlYXyyd6pBmk6lwIvzl38ZGDXo3GqxUF5vs++
NQxdYl8jBqX72jx9alV3dEgWlxyTr32TkPIlYEiMAZn98xtzZlI69ai3xYAIudbFhj4cU4JNuuaX
qOVnQAj/v5T514TXOBn26Kg3XlWDRgkFxe41KWZpJ+T+WP8NSSTB8yqyqYuVGmoA8JoSJ0a1XA0e
4rRSoDdhYaBUY087kV9zjSZ+Af1aNIVQWxR6yi7cgzNj6dSCTt3KmaUaPRiUbt1RxiUmhwX6ioB+
qXsZnFrQe0o7NPpDd5/Nsr5GpBdEtEhMf+tLMn/xNxzH2F/3us4pq+XYQqjbOrAEXjU8xKP0cAT5
kk454Meb99cHZI5PdTd7iAtyEaYufykBF2UfKXLhHp15EU+t6KriYQ4QFNsPHKWMylO7sq8/Pn/J
zwxQfjJAeVm0OIqMFEFFj7od40ncLQjs+/zi5764998bY7X2OJmCFZOXfagb8sBQ6frapel/L10j
ocvNR1TS8il8WVWzV7JOvnbpk8XWGwHzmztD9zg3pyPhKKoN7vvn1z53u0+WWd2HoeUOxZlwnCKr
h0hrvDXVhZtyZrSees+tZ3Kc8vGioIIvFE86lCpK+w1YjQsfcObrn1rOC2ZLPY8u3aNUENUB3nH3
hw4u3Jsza96p29wTORQ12cj22NaDWMUAcF5r+10EbN/6zZ9Bkq9ZbCFq+e/Lk6M6sbDQXfcie4fG
I84uUg3PPYHjjftrKkB0LOqFwqd7qGvNBi2jeidwPLpzLU6hdZnV1YVJ7dyTOBm367pIgUQjd0/D
UMSCoIDnucUrJ2LzpTc1OBm75QSiREd7uke/NJ5BuVtv5/bS+nfuNp2M3jHv+Ngh0A/chXgIoE1r
Xqs+iPo2+NqUfGo5z3PFQ5TsFkiFGwE+hkybzN9gb/s0oAfyxWdwMpjbpgbE6DiY87COjVgjAnzN
einJ/MxwOLWco5a7Vr3CquI0z0uPgtauqTY++EPoIF34AWcew6nV3Cgyh04m6L62HnqkedIOxQah
dDigXpgwzv2Ik7WXoVzRh6Kk+8xg/5R/F1V+V6g/VWXinrNL6+OZweAff99fo057zWgHpNxedURi
b8ystxeiBIPL4/2TbGr6UNTVHEYLl+UGWqApJVWBflvToJqDOjykYVIivm5FauU1DDDuVSsLBi1i
qOPh2MqKMBgYpG9WrdCG8R5lSYPQCyiXYsSgdddK6xp00anT1w1p2lvkVMsYhEX/EWVssE3hxkI2
kSmescEZUc9cOujHe1kYWESlTCgVxo/cCQHG0Mgi/lK1zX7kBejraD+iHjvWbOe3hXkOaHYJxnXu
0ZxMVS5CInu0XSkaObCHBXIzNiaa1+m1hShxsF/kWZ4a6F0vNMxb3O4wDLse1dkKzgbISC+8wWd2
GKcGetT6qF36tTv4oPIPXrOZ26/x1oNT57y3znOIEnZ/qPLHEOa5dfz5pZnVP9lfmLKUWQBLwaGQ
b0OO+h06pYa9fO3iJ3NSX09FPnJo6TLmRLQs045/D/ws/dLVT+3ydgXyflzUujf2QGaRkBGZBOWF
i5/hriEz6L/DeIHNpyzDNbwqkXiq4qoc2QagOLRjkcMZ+9J0B1ELFI4lcqBJHALMlCJ9s46p1gao
fSM2XbH0ifaRVvy1H3wyf/UeNPd9NTnI4lrflKzgCemdLUGP+MILfGbqYidTF4XC22sZpmBCg1SX
3+D8STr9+/Nvf2Z0nFrrXd/J8va4XasRft573ruvuz9fu/TJ/gNpsgOnpaZ7AYFKVty746U7cu5L
n2w8wrwxQDXhjmTOvEQtx+apAV3r8699ZsVj9L+v2GhDbSU4EnuEeSE8x31COu22Apk4qiZ94TPO
PdKT8T0OTtAwyIH2I0WmdHUDF0Q0y0tWuDPT9qlfM1MB1LgtQ9pW/6FWlnbIWB/aaMEyQ8oLD/fM
XTr1bFZQhhchlET7kH8bwjepRboOQ+yX4wXJ2ZkfcerbzLz66IihSBjpZQ9Lb8B2ZeM4WVIh5waL
sxxd9Hr4/PH5Uz/zRE6NnGbtdGgMQi49Fhwc6aeIMt4F8sfnVz/zwp6m1ILGSSmCE3AoYjZq/DeX
Xbjwua99/Ptf2xoGMblB1pO7R/Qx36DjcvD1fF8MxNl+/s3PfcDpICY0n8sayW1laHdrOeZQ5IR3
petuPr/+ucd8MpT9CkApmNjmfW7bG4vdVNS73rdW4zDnVR88uARdPfc5J6O6MYEURYExYZZZp0Wn
bniFQO0FBLZCkH2gLjVvzt2wk6G9jGACS5+s+9UseVo7frYRRPDUVzX74jM5WcCLqqUSydf5oVXT
nnD2omz2VgZfcwIGpw7NWkxu7YNgiGyfDoF9YQLn2ROEyBfmPu94y/+vFjM49Wiii9w6VZ9h8gP7
Ic41sZsSesW0MgYOjwniwDZa1Vy9cz27B5yKu6cjqyCFYi3fwn9X1hEqRmPSrRKI6sIi/7KGuH43
t40QiWR5CS0V3G03pM4X6C9JgW5FTcydRHLQSxPS4nld/fV3Xo7tBjF10wOcw3Tvu9ApVbSzycQp
BHerXaZfX3rJTxX0w6SgK828fh8Oi4qK2tzIKrz3hdlUk/3DveLC5xx3Qf+4s6ciekM9XkBk0u/n
lvzIakh77HBVzOq+rkUcdPPrxPiFp3hmRjsV1UMMCeFNBwRw7tIEhqg8ctWlIOBz1z6uOX9Nau40
95gU/GEv1nFXjSGSJdw1iD5/FmfG56mmfqlZbd0KsAHY+0BU12+zmjbgMV5qCZzxCPunHuEuJHBH
dVm57wqJbpyWtIzUnHNMOqXekxL/BftlUGIhy/SvwOcAbfG1Ci6sm/9emP1TszDEx36HVPl83/sH
wVTEuqsZmpbRVxee/L9voH9qFA4njYQfEeR7qGS306AryBX4E1sgHfz8Cf17qvZPXcJikgzyBVLt
uZz8TQ8E57NZYWP0AS7XUbV47QGuherSdPfvt80/zcbJJlJmYW9zVETtnU+XXQXFyNd+ycmigyOc
9auKl3vFyukur8coQ9LwRkInnHoQexwXvwvr6LmncrLszCr3qG0JMHGA63VQ5Cr/aoWx8PMfcqYz
65+6jEYjJlqseKnXMEzNuj6ZhoR7xYObzqn+ONBLwTJbR7KY3jTyoiNoLyBbzYbXzz//fy/X/53Z
/NMZNCuKjMF+hEYbw8TfffNgzRrYuCPsF7w3kXQbmOzew6lYY9+UeyhRtpDcQFcPdy8ERdSDqNa3
6dFdmpfOxuPtTTV0t8UKVuC4s2J95SX9EuHAP52FFWxjWvpuuQ/k8KcoRVw6/cfn9+HM4D6ddd2C
VV3oqnIPRgOAJgK4FJ3UUCz0XZB+/hFnRt+pmylsK46mMp40J2oj5XMXjle9v3Oye4d/ccidzsEa
PVObg0i7d9cMhq/pquyGC1//f2FH/3pTjsP8r8XjGLZG3SHELYLTKwyaBDEm26mmSef+yDz5Vpvv
EC1HzQwG5YKDBBsPsDlfmBvPPR/vvx++OCoMzVLJPcR+/W5oQNtDqnK96fK53Wdl01/4lWfmrP8N
079+JKSZThjAkrNvx+keSJi9LZpLvdB/zyTsVH0EUqZhcNXKPQfiPioQXRNX+ED0Q01+YYY/9xHH
2/fX1897PRSNDy0+QhUAKvLmj9wOPz146D9/h6H7/vdWyD/NjuIo0Urtr96+Wdxi44x6uTNh3u0a
R2gIsHWF3GAH2b4/u1BD5o95316N2eo8U4HC5l4Qr+eR0cZ79jlp4EHvyJNHh+KbMoTDaB7SOx8M
gJh7VfacN6vCrfIq/1rnVF4NTZAdxsYpnn1frYjeHdrw2guXIosGd5IvM3r5Xox9Kd8OueeqA3cg
dGSiKzRqWJTHHRs79CSaUrSonFAHgjrHTRqwBWAYCCjIrIij3EBv7cVw0DS74ejo6F2b7zKnDiMx
V8OmZivwc2AZH/vMi59vkDpldg3gdFeI7VM77CgZHDKNjqbMQgo54CwUt3oBtKtj/jc6d81Wk0Vv
miUL96A1sJ8z4gAPXT2SF7rA9LA1rul+moWR3TLx/idy23HFrtNxqXsNXwRDk8D4PItQoQ6byPqS
JK7Q2Z2bwb0Q903Lh1hVZfGrQWyViAJ/HkroFOFsb6FcjmDsQG5PbgBgzNcJ25myiDT1s1jhfsnY
QXzNr4mV7vuYj7Bf+APsV0TBsU3X5fe0DlBwOVT7j+Okp1QPXceiLoDliY8lrEkKAB/kUC0feiih
MO+mIEuQYmB+ZnNuX0Q1L29hVbjfmtqVj8xvm03m5vx1nkaYJrhTyaRd1nDbTWr+GZTHZHMXx0wv
apepvxN9v8g4hwY2he1jTpBjLKHXHdE8X2UvkJtckhhxhu0cw+tObg18715s8dLA6a4Cnqg2dxAF
roIn34M1HLpLIBKWeXpHVGV4LRRdnuGa6lN3EfY3KQuRtmAOQForx0RxS5/ADuE0Rr5pCJGnmJ4N
F8EBz4U9KrAcuiibxYLi0+CvMYEWisd1UXl7d5D5Fe69v3UbKh57WGv+zItZp4jBCInSfND8XGeP
3CM+jXwoZxT3RBg0R/OeQOvOaL3VGRt1FJLadSNZ6yFpxgkyZF3AwZB3IftQrmOmjTA4oi1QLIM5
qyrBEyebEQeVh+AybEsf8jgivWWEB6+0V2g1ho8G+Uf4n/0wRh+i+8446dyIQDRtojpn3ZaxpYzd
mkPewiXoFk5QtTFg9UMV9SrDRTOepcafy2tZ0+FbLUIOOYka7uHRCjQGXSDdVBBnRqS4Jvqllmb8
4w+jA5jbiJxJvtThNSPUT6nbK4XEpHXdIHRz2XOOUVfmk91Vjfuj0k1zZ2xtd9Rvptec5qB1KTbe
V5PoYZ7q6nvNsCo5DRaJ2e3BkQpX4HCEP+9lB6QztcLb8565sW+9YDMj/Om2Q4rxVReoOepcRbwr
ZaybuogX+Gix44LSB6YGyxsPcTV1HbkSJh580/AHNm3tplyYvi1yoBnWBg45NoIaZWwS4hgkRtbu
3dYQC5qMMFvZlXLLjDeauIA1SSSencRNN6gswVf2X6zjfuu7/GggA41YCQ/xH0NfJ6O3VjcCaQBN
rCdvvB3g50udCkhy20JpDPbykO3caoCZw5QWHrMGSukUsZHBVSgl3cG62v5x6pq9aKT+7dAZgwVA
25mmSGg1MF5VfIiKqvOfdBjUO9i3PB8at2zcUtnDOrKM9TUVlm5BjahS7FcBflC8QL+vmAD0QPcE
B70+diegbMoiIwhDFNWaTLkKASIiDQqZ03gNHbPzffErspvgokfq7wRiO8c2IsLUK7dhJZotC4CX
3nRSO1HghGU0daSOuqGbUUwg9HklHb+3omDvbOB1tXEXADSiTFj9Y67c4KHx3eqe9LrZzqHNXgz6
ES8ZWXg8TJWJskBj+vQcdb1OYjpYpuQOhI18Y3KnSzNX8/uOt8WGOUv5Cs13cWNNxhMd8O56FY2z
zxXINE3A6F3Ba4XVozAJ7ds8MTAmXg894beocSwDoBvSfTAOy3cGqvjbsIRmsFzW4QoGHzj2Jv5q
ehu8Gxz4oEM5ghAjt/PMt9rmUxVnbB6SwJImSPDTWCL11F5VgBg/INyE4Wl64wZV6DE1TVYmJPTt
c25Z/djndflA9Cy2q/AcFneu60QzDJ2gvdYNvUX8Q/bYyXr4WdccSK0evo6d4qhkN31BbuwE7Aut
cWQOvGmq4RBqgGJeGQ+OATT5oWS8veVt678xWvmwSSn5Ueey3BMLuEvloSeU9757FSI6L3VyxHsG
ahB4/3neQhwOnI0E6zDGK9RusAnOfs0r2sYwxMzjg85CcZ1hp/2eg6iyUzD74RCvS/c3Qmnr7xaZ
nrcB0/3dkhPvbVHd+ELCY8pZ1vpdCn9cwJDOMsKgaJo2j0zrOc8ccOYIbS7Yh8gqXlRmhzUpnWI6
RmpyhE7knth2SsqbzIcHeZ5yILSR/5c6hPhXI/GKrU97gyIGgevLb+AVgJkl8nMFkzDUB3EPRXYC
OmSVYu3uP0askYk2i0EPHEGz0aDbYjtTGURe1mc3PUOuOIFX5FcoVrIxs1duVwPloOEYT7Zvix/c
dYpEj5I/FciASmabdQnQTeUtAucr2IPZMVl7esmDefwwXu/Eliv7C8bg3mzg65D3qOw7r9PQ6xs2
Yh5yHbuSSHk2g8cO4KU8ztxOv7W08XZzQWtkaLfuej0vOUrPom5iFPTaa7NScTfVoYOBMPTobfQN
bEajcHHyBGwjqsfVeWBhUMKUBA6OLGT1xwtG/4D+vL0dwFa5VQvx4tUAKw2fc19MV7KTvkwEqMzL
bV3qdVv7JXsnsIjchzCKHotEfjqYgV8B36y+Mz+3O8mypdlx1swPKOR4G1roPsU+S2LrhEJPmVc0
cdyZVDBFMwG3HnZeIoLmDXfN92AFh7Zi3LaIt3pAAVc6R/elQk4N3CeINpbztwn12cQDSCvmgyE7
HFVwCpNrXScanlU3zt2Sronxp+7VMglitdS8xQRge3HXGIpJ0B/6Ea7WohCQM5bO21iL8SmDGSu2
YmjvgDVix36iT2AaKgvZpWHm1tvKANYfjXUFOWFN17HejFwGV35Yk10HBzoZkdIN4x6svV4VT8RB
lEI39Vt0aISKrS39JjGNaucNtkb+Bxnm/q1dS/bQdTyERa4xEhLLirb3ZYgWtHUC/yHvA/E+90L9
npGXnRRYAIs4XFzYKbH9eR2Bgs4RRlF2L4I7DHOuHFxwVGXtHbvjo3+H2q6Ag9cpp9emmsJvo+Ow
fej63mOuNYXfL9A0tbktEoy24E6FPLwZlhxuuaWCkw0rlott1MSdW6jYhEmnvrK4HYPYiF7a+1Ct
3W82OgD4SLdzf5vRBrdwybV+rPRIrj0asONz8SSMh8d4LziJnC1M+N3eW418AUKqOeR2rRJZAMGD
XVOxBzLSwPCeu+a4Sabg+3Wdv9NsmuuIZ5goUH13waHyNErSQsGT1JIQWUGM4EhLGfzfcVOgXoPF
xCPbdqiczTSZGhCYwIdLaQjZk8Fr0jfjvkC+0A5LnXiFd6yHHXmGqXGE4/xN9QE4xi73toNVkHLR
fviZF7nTpCaURTJ22Rpn1qwf5QoJEEgkE2ReqiPiu7CSLxGTU/OjJCTIImA46c0gfXVj/KV6Uk2w
pLA7UFj3PbWXg1ZjslY2iKEYdqGYqIr5t5/11a1nwzaF7whssGIrfH+69eWKaFAh9RaAtqWKYUCU
aBJwaJAW4j4oOs5bRRkJI1iP57Tn2binluuDWLhJRxQWwTvD/qPshXMYZ53BG7vw5wk4pHsVSue+
ZMxeKTHlsGLCetTUQ3h3nENvRsCYDjPpkJnH8/K6VT6QCMrN64NrgOiLmqPvacEOSmK4jfzgMAu8
Q+HzFEjI8U/Z1fSw1E295Xm3/EQAX77neB92Xt7RTalE86CKbtq5IlAwEYZiw3VlY0pg+K7WNXgv
AZ170Djn1fCME3udi6w7KvzHFIZtDEii2x5ugtAHLQza+dVGHsRI+zlv23t0fuvfQ2txvGhkvkTO
ZPuNCsCqyoYSmC3SFPqDTXkHtn03lQlTXpOIPNdPTaXca9KBHBjnEt5/xFOt8zM0ljD816X42Rx9
oAk22vKx8p3m1m/rrL9GPlO4o2LtHmYgMXaDMWbbrwybIxXOdQ+TsKMODoqs2Kq3gOh1PUAzzLH5
AqJFbuKmL3H2BBzsAzOCgZWdanTd4SGrFln8Jp0P3O3oSNjZS+zjx6wpSDr7zvK7hevygdWNqrbT
EkBW3czYXMS9HOrrDE1KOLrLur7Gj3TD2A98DE3ItDiGvjFAASE6PGyK4cpg+Mcuc/TOVsqP6YjO
Bvx61bJfMBteeX4IzZNbGbgIEb2a1Hj0bRTYCpiLruplUgnVf3cqp0xgnSsfASDg73yRIIl5jhOV
+MKPgV/SX4Pwl0ejnHzXArB5sEPBN3NIXVj69HH1JQb0gqYcE01LFEU6/PkZanRskTnoj2TNyQ8N
eNqvHKnh3zkhFphnzhDOI9oJGLRlxaYAk7PnJZqXiGorvRoxiHLk5MNQZ8B2d4FHFFWcxklbDSNq
iuBRANuIV8ORDvjh+iYnXdIIIIUydQPfO4jKszjlwPmIBaU0gYlsH5iNS7vxCnVNJ+pKFxsT0Qbp
7Gb1lcWJq4TEDSbYyBmwJVsnJ0hEWOc3PRBDH97sQZfYTXVzqBfPpH2Jo3w+eW6Csrh78DDUNwWH
U0+3jG2bCRrrKBgLDuhXuCbAKivv2B2u+1hWWt91y6Tv8c/y3mu57lKIISWEPyzo3svVY0C5BRgq
EBHsfSrzNDAa539/VvaglmXZNUPdpgUd/Z8oFIAB0mpPgQk4wJiteHtdU5OlYFHwJJtRp4H5O0Dd
YQ7sBluVkMeTS9lvt0RbRVnabLx5ae4bPtLNOtXytQZT5noKsXlzglw9Bw0O/9045h/tIk1qrOGp
naZl3+GwOUfMZ2WiQ5e8rhPIABnqQ0mWzw2ynYFnAi6ATb8ZJR28MaH1YS1vX6ZldfaWlEDQ+rTK
D/0ImiRDFBe20Xx5CTXKdXGhlv5H1Q7mNcvkzCOccPybLvh/nJ3ZcqQ4t4WfiAgNINBtzk48lu1y
Vd8QNTIjBonp6c/KPjdu/SaJ8FV3Ozog0ay91/6WrnYgZlbY0RG5kdi+zsSMwS2cNwWiSy4IMRVi
5EZK9ROFvYNCiAYEClTC6+yr4BpFqwPKVd1EoPy9aMYd7tVq19dwpNoAFdFjesSOOc6eGe+rMceq
HuPgNQ5zhVZU6myor56bacy/GxqgmKOfDWr7fRhjtkLPYc1rL6z8nG0zNmbfyeiPkOx17Zs7A3wQ
j0Tc4o5fPwo85h8nHujb7PnipGXObqmTIOYjaMclcsQ+P3RxkO5lTwwqkQnKXy+BjhCi6MtIcnMc
VIBfSbdj0XpHaMuSZ69m8bMbEAJf1na+qZqpPIHAOBwbDeAmZkq+4yNLH1B2E8FNUIwPugK0TNYD
OQBbWdxz0wQzyoqlOg0gov7Dp6F4uBzydlSgJBzMUEJ/d6Cc3nXdDFORycW1sZbBnvGx3iUaBy14
kqe41RUMDYetn3ZZe3RQ17WbYev6rQbV+uBzxNI2VUPUnqUqefYTbDHAKNdb0HWxnEHSvA/8jO4m
pwK0AMWBXohaof7QiwhWhNiBDu0AaGFpgJTWbT3cobraS4DrKclrpAVOXGMMuEsLo6kj6IYXJt4I
eOGMXvHhzfeF4Lyjdt2gk3sMDRTNNHVZPTtZ3OEUOXjOFzYO3YPM5bT1M2ZeTZo7xzzX1W1LSnOo
WVofywb3rQ2RrncG1icmGyhqx38qHIO3qMquMmSTcBSe+yi+n7DPf6Md7X8rYFKfq7GsdyW6dju2
prpJBGb+BggC/OLc7bJyl2AvRems4+qnPFXtPWbwHPqy6Q5UpM3dhLL+GzePh0PVe9Gpywbn5nI3
vB8mihARUKwelhiFE5fpnBmSlHZSWybEfHTrJN4TYCoQU0MNj+YtuKJe2gw7Laj7C4jwocVIE/Jl
SDOxr4CZ2SGKXD16OhN3ACiBZypbPz6wTjsIS+PEhKnX3sVJpIB48oBnSIKsRoU4j568Pk/DRKJt
Djyo8VUBq8hpcmaX7QZ4Ie5BI67uRAb/jxrYsmOtsho5D6+fgEO5nBiCuv6Hg8+wd13ZmY1C/vRW
RD29mZqi2Wc4u33LhFPfNQPFbSDi0Ze26NIXOhhzBzclcgLOKUHzevOMu1eHUHE0ofaejzJApXhc
38ga0N4A0ULonll120k97MYxb38idK23QQewQD0SBXWSgTXpWFYKMROU2oKFgjt9fZxguPfK27o5
asmys4lE32wRX1Hfsc43D+Xcuzcg4JkQ2VIVsrRw70kzlw8IGEVvOdE18J1uvItbeNDQOsp20il7
bH3ae0wCXKzyqPLeBPSu96KiKHtDuGM+Bi53/jL4nOwHh+O/IR3N/2BTS5sNzioF8r/wzCznZnzS
XqG/ssED42XAcJ+KQd2BthwfU4TpDg3+510EGsxhchG29jx/vI9k+0PiMvAMupe/wzrlbyQ81Q8B
QCR3waToLW8cuWsgUnlzElG/IKrj3tat620xrUoXCFiVjYdBjsnOz/OKg146BXduJhEqFGQmR8Qf
imBPRof9gn20wSopa/cBrjmaPmYGmOItQanplybg0UvUxP3D2IztSwSGdHxT8KkRBw62+7dMY9ve
cmlm3DaHqPllQFd6TKG6IFs+I7i9GRE+fyHxwGBgZxjZyDbKzgxXW+cQ1An/Cvl8P+J6Tb5GM1Bp
OcBe6cjzZyDGyg6oWUTm3NkB59WktDs6I4v2NcExZ1e6LWRLM2uSfeOOZJuYMgBcArwWUIbK+nsw
9N0zDGZHeLg3efUjG+MOOgYh+FMg8gsYxY/uh9YB6geL4Z8xUfk/XlGPOCZX3etYzZ2/x4JsvqdI
l55QTtADsCbmteTVUoLUUl/pmvV961WQJ0z1c0lhOiaxlSEfQzZJBe4NJvFK1lsiHfZBKtOm+Rna
EYA3HeemTGR3l81TguM51DzSSQ1snYfiSTl5dQP6dn4rvFKermfP/IUvtGl/U++1SJ3F5TkDWGpn
5pxvOc/H3Qxs7y6PTXEAEqMAlHrsofshTKWHFiSBDR0ZO5qqMQfm+sWReXkNI9U+yTZT6k7HGFfD
F1PR5n6iVfddwdZgO6atc2Rd/tcwyXA4S/itQjF12FQaDLu5i7bYchBbqGCz/aWRGWJzscmK34UP
ULaXpxEQ5Fk6Y1B0atzDsRVx+Jw3CFDi4EfvEL+aKgTmqYY9Zpc6f528jP/mOPM8xlkXHJwmat2z
n8UDAjZ9M2PjQQgJ9OxkL0pklMC3UXscUoLbHuTiO8C1/jDF+y9ePwSYZ0X01NddDtYaU1/bBidw
mUTiG8to+arUiGyTi8uNI/vyyA3CFkA+zfco+xpD1jnDMVEtKk7IVMVbN0AdLwxt3a2b999x/4s2
TcC8TTCxzxULeeTS2++SriaBv2ycJkjvucq56QOa7FKFvXIkpN8zCSAZEi/Vihzl3zzrR2PXSvFO
ThdRbIHArfGOuVvcHrrf7di5W9Cu870Ymt+DRqx3MzPPDYEuwGGkRxDm2fikfb4+jpeUWOSSfn73
xRkgm1grWXEGkuXguBBIEtWibqc9IdWFS51ff5Vm2BdZDiyjeLn+1oXUvE0q7oKijCNvzM4gIrVv
ZEaqJlfcXWnXS/N91KyWwGDwKDIiLknOQB1l4dxr7xAQOTy4yCAjgZZFqzK2j9/kSqvxZgGiX40g
0FlX2IdQkX8RNMiAid0YuP0XlWP8ONgNtjM29d3gjR7wl94vdGUL27yYBic1kOgtyzPzmCS9i1iU
/9k2tnRVSZc5FXRb6gyj0m+IQJdvUz8Pn+xAS0k1NbE3eanAPWVO4Aw3NOILYaVZkYQtDQ9r9/CD
RgVcXxyZnWIDUfgWgPkV8cm/Ep3/HRyuDbxpqS8V6bU6B44W3wKwoL8QTIKfF40r4PiO+Mo5GIZM
pPQ0GJVt/B55JjjJIlqQAdhVgUv0qJiTHsWYwTzQSeoVos3HO4orLyqNdzPR4CzJEt+oc41EwDZp
07dUZ3Lj5dEz2PZkG/f9Gpjn4wZ25eXv716lvX6Oq6ZEA0vA1hoc4dmv6zN7SbVizb2+R5lfOyCK
2QU5zL9oNfyYA1q9oLTcXdHZLf14a2AHSIFNYuzFDXagxwo0mjifVyjYS4+2hjXLCinKGoNjRB1h
Nn0ZyNv1ZlnqW2tEowYRSd+iq87d3A+/mEjcm6Yp3KdshqsiRDHGnGHJ136q4MG1ETHUG/0IRUXx
GYRFIE/vXfxjlitYmAWZo2tzYTS2cJyZ2xpOZ04OiKlk4ZAnfXCYKiLAVUWK5wahvniCbUMQZycc
L6IwRTaG3XBkhgzIC9la6fDHCiakAP87kJEHKLtKwiuRILK/9RGg1qP+WpTm2PviRgXJYcSivzLw
FjoxuPz93azxRQpWv8iqc0yak3HoF7D2+dYv5t8esJcO8uMri9TCthJc/v7uRd1UM7hMwrBvQuU1
UfERBvWbkv5kyco4X3qBtW85dTWYoo3A6iwzCCHgUhO9Ae0cHOHbKEPaV8mwvz7wF9aDwFpp4L/l
N0j7x2dWPcbtLes74C7X9PUfP5xya1Zlc4GDYNb0YQLMHQQofZIgKv9y/Zd/vBZQu8JDmiQAoQ0F
mmkHc8/qPi9XHvxx41O7tIMTpD6SRhUhAJIzwkc6jh+7NiJ/1UyTpxR86uPnvsAar2kPkSISZ7CZ
II9wnNiVCV8ZoEttYw3QqQK+AvFZDTOIExK5yJnKT80xwCX/O/Sx603uIAsdxvmzW0OFVz/HoPnE
ebZHjGvlJQvjxhbPe73IvBFhlFDD6cOBTCeH1KOHxuJ6u3+8KFHG/vsN2pshriBch4mROL7cIRfh
ZO42gLR9TrONQlrk+os+XpCo7YY1UOQ6IG7WodHBbo5umhhkYuScZ1hoZu7j9ZcsfY01yXQdsyhg
TheSIKY3ZT2lp6GP5YE4vToDrKDfEGENIIyTyf5Tb7R17BlCBxqFOToc2uy2pcGL4elt7JFhm8cF
3Lgo1i2hdtdftjCUbSG6Qk2GRFQLddjNBQknEBxdWWQXesfWoYN7NSFjhennVcTcIXTTbmEY1W8v
Mdhtn5D8ECBi9s/1z1jopX+Pu++2DOi5QTLzGx36Atj1OcqKTRv16UWwVWxpBb8iiejqNzpCqnX9
jQvLmK1Pz32njNyM6hBCnOqeFVP5GNfdDAVtzBBv0PnnRoN9JXeatvGdMelDEewaJM728MKa9+kD
ZJ3XP2RhBNjGP7RphxoeUTrE2N4Yipxl9vv6kxdGgH23nipRDm2PsRUM5U0GVVKaNqcUMb1jVlNg
VyOz8qKFBc2+T8dukDlAjOrQ9fODpyEXmXfMO17/igWeACXWIQvJCHQnzN3CGPm2LaC80B/Q0txC
1VDfZDOqTDyN7s6Dix/FKMUjiBzqgHLeYtd0dNirPtCvPldreKaFuAm1nYJ8eLdXbiS7MEKt4AaO
eUcDfDRUIdNmJNn32mleoO88IPe/lwQijoHN7crOt9TS9g2BsQkwFkzqAWcNwh/r8TWoVqrSlgai
tdLC7ntE0QdGeqd+BukPnq5cpz/+zcS+8rIBGjSXR0gQQCYl1GtBfFzZ10JmH/9qYl9buyiBAgjU
YmTrMyjuxhMU1buVkffxGkPsMgsm6qljfmDCWXkjtB/QHgiaqZA3F1MAr68Pc1p3e6nY9OMij8Tm
wNwKKZ84u5ncbNiytISGB7CNPSQpDIzkuPp5/bct/TRrIFDkR6p4anugNFBa5ZOThwIZWkC1QT81
HIi0hkPHCJnb0cGkLs4t5Llr9Tf/nkP+NwRC7OuhqycqM40Hm223B036Sxz2L6ic2BWH5NBvxG44
qBtUkb24t0HYHqvtmsnxv+WCH735snu926UgKC+icZQ4Gd3yh+AInvKhPgx3EGM69+ldHXaH8iZ+
HG6zsNqzMDlHe/miVsIr/39y/+jtl2X63dvzQMxFgjLmME4awkGRTi/GMOZ1RGybAvuFk0YiguqR
wcehg7odXjYbeNNVEOB39LsTOxDVi56Z+6Cv3FsUyaRk7+AgWW0hokFdSAYC/n3vsPI8FADvgm9d
xhuw4WF1DXSc3PSwRdl2JKs3Yznzp7FAGg4w7XnnEAOhitcTAOsVweLq0hsCcwRUQ7L+q6ol+ytp
FF9UCc03JLnUzgsQ1BQDbP98FCehQiPu7x0VQ5sRg1COuLX/QnTcb83FWa9EujssdAmSN5QdB3ih
jXukAxTqYMz4qsA0Bz7zEnw0JUxgDIMqaHIFkilTLQ5+m093NayG9oHbxr9alcKVsh9qfFo95Dj6
N3V1X0Mb/1zyzIG00uPOjwhUk1vW9HQTe2W8m3TAOtTvmuS3L4lEvKNBoZCKzX0uMh8iBHhMQj/3
0yt9+sYTFm+aKJkf/ZwG+7mah83MoQAeaQ/HxKiYhm3k0PKsXajz4aKgbx13jmrIcQrnGJC++zKR
CXm03NUPKCyDzNabq+QIE1H+DYe8aBMRhjGNLEfYNkm+8yGdBcR8qt7aCsx4pVJ9H7iFgOMXnD2x
JssblCaj7kRW0PV1JiH7CZIhjhqcFDGOwi+h6BPc7KaKlTDuaWP8bxq67H2fRfwWpc70ua5RwQT1
dSLPvGveYnhPOFiXYvhRQkYdnFG54wyH6yvT0oJ8WbHeDfMEOiaY+NSwWsteIdrYw8l95aS0tJFc
/v7uyQz7v+85jTyLGWRBV3V7lcPeqBOnz/3yyxe9e36nCZju8NAIp3So7orS+4Z8a7qCsvv33P3B
9LcJ1lkedxPTuFZEgrs7BXuiH3N60S81TX4GB388xFEFBSWqH2DfUMEkNSKwYYdf+laVrvM4ZnW7
yypsRKQbYT7rafYwxuW08vFLG4p1a4Q2qYHkLOvDgQ0RzqLZscqCYKcDENKSKFvpwoXBYYeWXAci
37mNcHNHdVOQ3kfl6/W+WxgbNv7YQ/Fm0A6KnxvU7W8KRNQh+i82KWhy11+wcAwldihJ8RT5jK7l
Z1dWRQhvg/kkcJ/ZzRe35qoyIUR/IGGjvuyEusldMEBnR2gJKwloYPnEy6MTf+4YiODif0fqpOMi
opPC3jzfpNXXok43sVi5Ny4MBJuXXOIQOLUA7YVj/cDBk5bBeDMU9BiZYGUQeJcjxAdTIbAOL4nj
j1D8YBQMmF8vA3Bht3VU0ps6qp1TIGGou4m07/5C+dn8it2jxMWRwjnKK1CHMsWo7Zza7kkhCLTD
Gpnuygle1aXKm1NBoZKBMjs9STjIoEStQU1vDVckN4kvMvZgPk0dbI4hy2RPDZmGDY7u5uD4NdkB
Phi/Sc+ZztASNcccMuu7QEbZfcEEP6U1S7Z+kFX7mkPeWnvOsINRhgwz2gc7v03oPYMUDEK2qIDC
C//WOxk7IQDWAltY9/u5G92tnGS+cgH++MpNbFxxG+BE6Rgco2CsVO2Leuff4dYN3eDqRWdhstrA
Yh1kqEm6KHEhDrnPR3GuodpYmU1Lv95aa5sEttmtxChrIdUA8NpQr7pJRVw9gxyWwtIHQtDqEMcu
/VZyedZtA82WTt9Kg4g+YL4/U5JTnJKcbj6nXtCihCv1j6i75Ft4z63VWcuPB6pnHdmGmQ29dkcd
crAedzC7K/fpCJJdy1z3lI/MvBEloR/1k1emi7XS6KW1zDp5Q0YITYkqAPGfox+jSl9gMvoKT/GV
q8NSt14+9t02V6DGVmm4WIdp/OQHb1H2cr1Pl5576er3z80ZTrfIJYddVx2A9dl78ZpNyMKa9K8K
5t2j/WlCRgIWt6GAJXNtYHnfKBQu9kfR6JURudDovrWkJmUntHEGHVbTPap0NiivRFEsOXyubazd
FTlfGcMrHHceVMtm/KSb39cfvNQy1lI6RQn0awRzlGpzhir3l4Z+P2DxDivNSsbt4zAS8a3haJpE
jybGTpB2G1ndOZeq7vIB1ULbFsmbT32GjbyOUtRbDwVPQz2LZzGlf2p3vMkjc8+zT57ubOh1DQ+x
ZOh4FuI9EyrL54txUu+tDJ+FfrCp1yOFWt9pq+acShdIsU7DSygY3FcFz76vs0+blWPkwjC1mdfZ
pSxzcgx2/nLeB/EJNcWQF6+M0qWPuLz03TQTg1v1KFbDYIoqfrF7A7V7esvhg8lGLLbXu3rpCy7L
x7uXQAmCxU1gxML/RFfBRtQoJ5RP1x++sAbZuGsVZBrec0SHqJeNwFVqJYrRSr5yRl766dYsZpCN
J3XQ6lCKeddNx2H2dsZdOWAuNb41k5kjkIwPEEKvp4M/Q623G5I9apM/1zDWJMY6Ece4fqNrLy5f
AmAH87n+tAHXMc6LcMpCIL7L3kjyB8XRG92vNPjC0mOTrSfTsRFGZ1j3oW/FWQ8Wn+aSmB4RBUV1
vEpPqOefdteb6OMO4HYg3vGj3BeQG5/T5qcwkO5DGAwF+S5ma9DPj8cPtwPyMzJLeTRDzVhmM9Ah
GJ73uYcyjgowiJUA8ccthupsa3Z1BHohyMTPKN4MU/8+EDcMeNEEFXio7b/eUEvvsLbKKBbOAGgi
B9HGKMCm83zY+VWRf5kE3GlVD8R2jzjUyvaz1GjWpNNzqzwAIlTY1tB7YXeTvbhzhm7lY5Z63Zp2
BYNVXU7gmBS0DPV3hYxvZ5Qx7dFX03FSai0bvvQeawLmgmKh05ydTTNLUAiilykAoSNx0lsCzNhn
eobZoXZRCgb6RMfPqEGfoO9ObjLQt4j2j2Zo3nwQZ66/5+M+YXbQXRRm6s0MPntcmz/QjW3LPPsB
SfiPzz3+MvDebRGTU7uQLCmCOqN0EyTTZqrvUvr7+sM/3iKYbaxWJU1uWjJWIRn7c66SkxNHKyvI
UrNc/v7udzeDzJVH0Pwk0QjYInzj5/P3qBvoJ19w+aZ3Lwj6BKFhQC1C3iOvUH9B2com8z+Vp2F2
gAqeawrCBD6GNL5nsASHleuhcNbC/h8vGlCK//enI/yZZNOsVAj6oTmxqSZf4JisbmneuTueyuIQ
qBTn7uud/PFsY9Ka1RmipLieecF5lsPvjrFbluUIt3v8ux+BRfe5l1hTmjMDhpI/tiGoYQdU2SCy
jGLhXo6/PO2vpA0WRqudLAHwuNFdj1JnGPzc07x/qVK6EuhZGK22kK4IOs9TvgH/MoHsYELsvIQq
2Hu+3jgLym5my9VwYwMBivYkdJL0tREsP7uuOcYB+Q204rYtKOBlZh+B7TQV1f76Sxe63Q4vyjTP
4rZFHVnm/RwYQzWWj/q4Aoyf1+svWEDXMTvOyAqdF+6EZdyZqwgIMuC8hlw1L6KRSMxkfftczQ49
wyadHxspyAtqXRgsVxj5SpyqeDQjqVYYhgFmzv9G0ZgdkIS3dtvNJW9CnYxbz23hdzpshnZAsel8
R6M/Rq6sOkutau33fgHlcaUGeub9XMHvQuwF16/RNLxFPrhO11t26SXW+oDYvgfKBSjZ2gBGsSGO
kA/ZgJpPH9FuVO45iENff9PSuLfWhqQpWJCONcEthw3A1va7icffmadXDvJLz7eWBVT1dqwhlKJc
mSCQFUzR76qC7XWMauZf1z9hYVWw/dw0hDyTMRU/t6r5DZAiJHbyy/VHfxzyQnb7v+u008JBJanL
CJ4+YGy5kO/MYNulo3nAjeqJqiDs8/4P7/PH6+9b2Bfs0I4o+aS6aJrDpH/zcXdgZtwGwUPHkVHz
3z73jsuYe7dtelUBmh4F6Xfwp11kvG0G/hITf9NBbuDxfLj+loV+t8Olg+8hbZOO9JwhKo9Mf7HB
6e5NRnOwcrpbyJwz/zIc3n3HyL1mLAevDek4gjUIPkW6zTpWvSbIV9bbCWr0DahgBjQh3uQbnVfJ
g0kofxxJX+cbX7XwzPYa76xQXR1KFF4+SyG8Fn4xefWP75v8ARiLItuKCbb0lS9TxKsuHLHrDbQw
au0gz8Aqp/R6Tc4ZzZB01zuetytzeunR1qgFapx6gvTsLCdhHtIc2YIuydKVlXbp6dZ5FEEFimrP
tA7HRLo32vjDfcCaaGUGLKx8duTRLeu67Qiu5gp26MFUAqnmx6g2pi+cNvXK2Fn4BN9aXqNelkOn
YSgTFEbfT4krLri2tR1iaehbS2o+ITwUXNyQUSJ4EwfRSwVDong2r9cHzkLulNkhyHbMUof1IwFa
GAKFpihRF+cxdaCV/5e2cXpw8poe8tYoyFsLfoMiT/fkjpFzlGPzO3fTaBfLHIWmZd8+ebLmLwpM
oJUVc2Eftt10SK5yoOPb8axqqAQBowF2r3kpR/cJlKYdAuKgKw44fV5vi4WmtgOAUjm+6fxJhWBh
3KJg/fdQ1ifl1yuXgIXBKC6vfbfEAI/Sg+fCCMDI5DaGZZn8CjjuiRH6yd9/GaDvXkBj1cDWHtDX
AJivH0JpFKXAz/nMh8JdE1gvfYR1YOlTU6CcaujC0rkFX/KJ0FtgZY4wq1uZTQublrBmU9ylRcoK
MQKKMJ2MePYBG0lJsOVJufP7/ni9q5c+w5pVppurHN4e7JwaFGCQmp7xVWA3FP3Zb6eVvXFpPFmn
FS9FJfkQjV04d/1jxwFyAniiKvPD9W9YWHfs6CALzBCks5nOfe/hGJ5DXLiGkV7oBDs4CB5nkkgK
bRGL8x1o3r9EF6hN6/R/ShAQtsYNVpafpX3XTgNOjgCyII1BN/hHfwMt7XwYb8yRhhGOjz/Fi/ss
HuJHcgtO9um5uEte05/XG2+hb/7HEG82DnRBeK9TvjQSSJ2g3QXp6frDl3rGmukp88fcVx1ktSb7
Dor/d7paQLT0aGuOG+nHVcwRYmlh+zSL9AtooGu+UkttYs1toEJIRpMJYr3MlPuE0r8gvh0wAc3+
ersszDrPmttZS0D3cMrh7OkC3u8Rn7+QPJ921TTzt3gCavtz77Fmd99PPrwA2iakTR5KYL2gdzuD
RncAPWsleLDUVtbcJoDuMTJl6Ie227pl+bXl9UuWsbVSyKV92bZ6k6MEM8pUOFW4/TfI8eF089cb
skMazfdNOe4c1m5xIDsPXdJsRYICV1BbfGBsNamB5R42bYpkIhhA15t0Ydy5l5Xi3d4C14AS8s6x
RvXOcG4FP0bzuDIqFprSNnijBTDjSuKE04v4ofLKRxI7SLzxH9d/+dLjL39//8tdSPI6M5uw0tCA
+ZS/AummYEOzNhQWFkvXmpKws3DZGJWY7dOD6G8RVD1JHh1okmwgytp97iusuRm3oG4VqqzDqTK/
IVANGz4/TLroV84OS/1rTU3gRyMQvRycw7PmwFGL42VrDoFL4SrXmo4KUfO5mVsTtpn4hXUxLKXz
GnPebjUYyI2ennisX9qKHlTZrpV0LnW7NUG9GFT3uiRlGMxqD9vx26kDNtldO8wttNf/GMBlcVlG
uNCFdeWB3uObrSMBn/lUZ9vmb/3I+TxM2gAl+1ZNkBv7v1i/MpEXghC201uc56nuBDa+vB6QgQOn
N/2JrZ5shZzpr87VyQMZxPDKG8CvnYSNK+9dKC5m/LIpvJuHPYXZWTK3ddjk4HW3D9DiimBA9Bje
SYQegCK6T+virBA00AqI/E/G8rg1/8HK1EU11A3sOFHuCQ+CutnORb8vEyCy5k2cDSvBqYV1gFvr
QOoHvEiAgwg7VCa/xj7qMnvP4b+qsvPOcxY7qNZq1mzEFoY3t9aDOUIcjBu/DuchdKt0K2INv4B5
pbOWnm6tBg1DVG26PF2Pb5mrtjGibXL1iH/p8Q+iq9xaDwxKu1kVY2vD9uz9cGD3fvLSUvyVLM3g
XVAmKx2y9BXWElAweEWMJdadgUm4W6OYyaR7r4hW7nMLS4BdRoySce0XwHeGs9PdQFZ2yDlbyR8s
PdqKufC4FWhJXoYSYaa+Ut97uChdX1sW5j+zNvI8pRDrFFgXTTqIwzAHO4LSSFxV6G08O09N7zvH
cZYeAHrBJw+WtimXB6x3PqSIkFzQ/Rsym78d2Dgb03O2sn0tDCm7uDgqJ12huANKYfBp60YdCv9O
j8EZgvCVNywMJruymGeJgIUJHcIadDEJFa08AQy38vCFOMe/VTXv1kZvVkGZ864MneqfsQOc3DNb
1wUEtn31Ue0XsJUZsTSurHltCri7toXEezy6ndriJhB8JZD377D/YFbbJctOykeiK9wepGv0zlCS
bWXCgVGVNAE0GUS7TZR1453f+PwE87/oANcu962RrYa/7CA2oMpPm6yLQS2gJftbwB8ORaECtbvA
Zz1Hacy/S7iEPE1VoW8NaQHWaEpUE3Ef/MU0N0BX44g/9GO2bWRevCII2z1enzRL/WOtJJ3y/AzB
KBNGeTFtkjg5NF4HE4Dhu9+J0MupD/gb/dyB1S6S7meeluM0lyFOlts28vYlbJSytarohV3KrooO
GqznZZSYkFwsftuwQaJmdINdXKAWiK0cYBbG2b+XmnfjeTKOMCAtG+Cdv+vkUKdrMp+lX28dInxA
RrLBq03o6C0nfzxpIMW4lN+c1NrOuvTbLwvAu98eSzeC30s6hJkE0aQJyFdI5ffXx9HSz7+8892z
gUqh9QgvnLA1fNoMYwYwPgpjNt0AiHXkundAIL987lX2ASEtRIFMqQkhAkA8GvZDGKQ5aiY1wdrS
Dp/saWtFGSpRyzKvq1Dn7XfHLw8e0Z/bBG0Pq8gACO2A3B5OrX7TXXTIqPrc+ebfm8q7fkA2B8hb
ifHpVXO9RyCQHAWnQwW2u4pWFsSFDcPGF/bQU/uRg42WgG6ZOPIYVO1jXNLPNbxNKayZPyUph267
mzjMRNjOiLWcwMIMsOvy4dXaSFnGQxi0ymwT3VevqBzJVo5NC1u1rQWsvYaZrMuH0GsB/lNqb+S0
SQuzSfs1k9OlD7CmMEDhxPPKBNscjHZ8fUGA5GTtMLP08Mvf340dFPZhbUtQYqinZy7VRqo1uefS
k60pa1DRrJskxS7jmz9R5XooUvWTca3iYmlAWlMVHmW060iAigtPNXfDOOUvUDxFYV+LfCXwufQK
62TfGe33cNdCIZ6O30if7wZMtY3RcGC9vqotNZG1EUsvyrOJ4tqN6/FtEumXQPW/P/Noagv8QOcf
IgcGwuEg4AuWl9t2bbX5+EdTW9KXxxoOKLBYCVH0CyjNuFHiU2sMtavoUUMO76IOZZVgD4YpMlek
la9+zPfXm+Tj7oQfw3+HetpyvxoKSL65xgZLotfiIvwBwn2lNz/eDqkNWaRu1QnVozASfN59If7k
IznO8AZywNIpUBf8ua+4dMu7CSsUZEsCWKzQ6c29dtwTrIe+5238qTFPbW0fgWkXmxq3R7UajIJS
dsr12VdrMu2lLrAmrUnHfE7gpRRGtUJNOYVhu8nhU1GYNcrD0husOat61BTBiicOaZX+SDIRViT7
OdXq+Xrrf7zcU5t10Oop8rXCB3RRisqWAu4SwrnjbgDurH65/o6FCWYr+eI8Kgt/rAEf4DCoq45s
FCsHhYURagv5UkCIU8bwZGThnzXcZZqg/9LF8zHCZt5X47yym398K6e2os/nbg2iJ+3DnvG/yZTe
gFoNSxyePrSdf4SjDc6IUsCwKkjWVKML/W4L+sbag01ABG1EjY1nC+AA3Ne0ppshgdHI9X5ZoEKA
yvLfqZfDqD6HEWUHes2ggETs+nOsS4jOpG6jLzwFSN6YpxHctHwHYD94frVzOSU1Gnx/UkufbiOS
AtYQCY/A4YLBpsxpTCqgmiqqhwnmTj9jQgw8WvnsOJtA02xf+knbgsnlfXL9tnUBMJid4es0AgjC
hhdayodiir9cb6GFTrA1AVDLyaAB8TtMHPboRsFNo/0n6PV21x//8b2VCmvpm/1MdsVMkF0l+mvC
kTWIovuyhUUk9y43KDf7zXoE+6+/beFjbNVkN8FHcsoBX6O8nzaBoq8KiSsYLa1dn5bmuXVAmgmd
4E+LF8BIy/8/6s6sOW7cy/JfpaPeWQ0SxNbR/37gkot2a/PywrAsmRsIcN8+/ZxUVU/b6ZJyxhHz
MBVVjnCllMkkgQvg3nPPz6DV4/PvXfhRkIUwO3eqho3nq3eRF89DcdEtz++/9Rvh77gf24WfMwg6
bXsODoStA7crnTroCNRakMfBgAQtW+TEw37r7hztjVJKKFvEMqIOJYNmvlrhtP/+l3jjnY81kRK5
+7Rx8c61+cJAKj61dL71vodh++PK3DgZmWqM/tWr42zMLymIYu9f8hv3/Vj76KhDpkbmgN2sc4Zk
XfnYmnrLckjj8qY/EbXfGPDHfeIZKK31WJTJWYt+BM8l1wBJbbz0VP76rdtzFD3hsFvBQT1FWyUf
8p2YFnvRoJB54uJf4fW/JuzcY8ljTpXhYztgulaD2DnZmgUgCvohgF3YaSygGORrMjiBI50Mlvel
Gw3eWIWalyKYYIsdDHadPk8oSkcNnPIDmVCUIx1iFuQvExL5A7XXytfViY3WW7fjaPZned34aoUv
E+msfSxKVVz2fdF++r0BcxQDTJa3ZZOn/ZnSrA5h9JLunWnto0z4gFuU8KL6vc852m65SwFHoQyL
CRBGaIUWELXk6nEBUSNyUGD/zU85jgWNnjX2pOO5qD/04gWWs2He7D3/xLnjjUfxi9zUoE22cTB0
uvolL55U9Xs6Vve4kxj9pZNKYdh9Ltk5NgHhSk/Zg78xV3/pIl5xxWu9IiDI6qEgbgdTp/S2SNjj
+8/1rVtyNDpX44DSiOPSuU+uQSIH5+XUmfetKz8amdm6sqLpelQeOjDDiqAwedBWzu8t2vxoPGLb
B7gzsWDtShm3cx5Q4kVIK/3eXTkah3CrSluH4NoBsAgm53IeTwkW3gjwx+o3ZV3HWWB1de6kgEg4
S7hOTTwUt3N1aj19474fi+B662KL3HXTOe9gvJVduAed93Jiy/HGcDnWvTXoYAOvqUMwA8MzW65J
//H9O/7GieVY2AZS6AGRg5NE44xnXWZDtwXUztyBixutTXJi1Lx1+Yd79sPKrVqkHihH4kEU4g4A
7tBrqw/vf4HXMvA/rEvs8Jk/vDf4AFNdLCOSSEAa+QHoTCQYTO5HM1CB0TK4qKubXkQTP3CE4Rc5
bIkPMEOZNkWUebW7UylEJp5i8F8bFfzCcJY6d9q6u0N9vg2GV8DRgl6FXBp5xdhiy6CxHhAc8G/e
JDqTiJTudCUO+C8POLJYALAe6UphJ5G7T+9/z7cG8NHUIAVUMRlIX+cgJ1WgmGabvpf3LAPJl+J4
/3sP6lhBLazf6ENQPbNgDQw57uYpJfAb/VrusUJNlNRRK7olz8D8yp5LWMulYfnSfQZEUV+Vn6kN
kyo4pdd8Y8Ad68+QSbe9tvgwYAthmH6XrCd6oN94DMfqs8LrINS0sKUG3knmWdCyKkgAp6jmMXr/
Qb9xtveP5oq0hVMMHtXnokufuxFi1iG9hfq4CPMOvoBpue8a59KCpvP+5711q47mT6sn8FhzzE1/
+ew3e3c+FXLfCIj+0RJnF9oOE0PMqmWtYup1Y1DTbt5XNT2VMXjraXg/z/1m0m3jZ7I8r/R6NrJq
Pe+bufvO0FpxiYx+feKRvHWLjha9ZMxWIjmYaj0ch+ZR7Qu/u33/7r/xDdjRTTKqZ1QWsKMBOZUG
WnV3Xd3d9yva3ud6//5nvHH5xzraVkuydDLpUMYvbliXfEUHx4npwN54yOzo1iwdltWRN+M5SINL
2PqlH0Mo4IRMTKMfoLlFJ0EG0E7YA1ob98Ddb5a8kH3AwdiEqAogPtBJhweg4M2FKMC9BUsO2OYM
lpot7MU/VGi1eiDMY1E6gpWFu9JshmWRwHwPEIdZL93kKm8fUj10Z5R7Hci5rSwy+DW65rs/GO9u
bdpxg74JMQLXCgilSRYbj8MMABUWj5DhkOdVH4lwkmo7ai4iCD7JFUCO7b4mQ7bxDS0/uF1Kvldp
2n+E2eV47eE9tl2NDmZgL+QO+5YE7DrKroE0R/kiW6FZPhGT38jK+EeRv3ZRTIOrB9IYjPfbNJv7
h7nJlsj3cTKF8A0G31MPzK6nOsB43x8ybwzLY73i4KTcSxSO2nM7Ae1hXdSFAW1Y56/pMP7esPxF
ttiNZTtabMkWt3jK3ewboNenVps3tjXHskWszgu39arPQU4dwsqx92YtzzMj7qehv6SAJJ64UW/M
rWOZIsnAUBQdSvT+nILrNJ5bSX5vz3esROxruPMNuYcjyNREvfuZJE/vP9w3Vphj5eGhg3hdPfjV
gYUnXzTt8g0I9OiXB7/3pobHftgWixMUkoNmTlNv8/7HvhEqjjWIo597HGZPMNivvRjy2k0KGmA6
nXIzemuDQb2fF4MRDQE8h2EbqomjTcMaLRtxV3F5OfvgiPYJ6PA1cfNNKgdztdJEXBvuJoCi59WH
BV42V7CMSB7e/65veFS6xxKtQrcQ5DOBejsYt/FYAf0MmVJ9wHVOu8X4PHIQjeMaqsm41lTHU+64
OwaQPfyHh/ZLakUVV1NS3r5/QW8EkeP6v257d506+Pe05dDBUg1ZCs69HS0JtvxZV4aDbD6Otnt+
/+Pc16f6D9vyY9Vm1cCDEe1+h0pUm507CWUXq6SDDmTTrJ8IOKX7JlOw7avH/GH2BP8qtUB3IF3Q
tR9NlZ+Hdq3QrEc1FTHN+/qcJEOz770quR5USSJCqNjoSTdfQcsaL4HZFHAz9tkUcOJn1yDqFRvH
U9UTACW0AAlxzC9K5tgg7dfiuugX58JvMnfjwATzhgxW3CxGiacZSuotGkCXDlUcR0YMHd6f4fnQ
3vR1zuKusdNjwvP8IRNT/uzOVXZp2lGGadeQbb6saRNoVxcXaG5c7/zagN83NPUD71EnTjEqXqT1
hAmy1i1vUeaYw6laZ0iL0wV6R0Gv+zWnQYFcWeDC4vyKDSkH9DNtqqgekEozBgA+ZJ/zcLD1VQOo
8mNuJjcGPFx8Hn3wyrVv+41Fn3409CPfjmDMRKJx+09rzhhQstINWUNYuIzCnhWkMiFOgX3Y5bAp
cPWC9RPuApdTJpwXkTBvm3GeRA6Mwi4mwpKgmnDvK9OwXZbBbxWaebF1+tR5Ih3LQsVYGnmFr3vs
7zPvUYIJvJmqon4QaGYMFkZA5uEQ/mDge7uUuGnYl5AvQoaXPQzlqkE7rJYbZAR9aINcc1NSClIG
GJRbaqmNWmDyYmCEkBVHv0sWUCdhoQbQ7txQ9b2tx2kLencTcV63F8aqaStGgf7P1upPazqkz7ry
mqAqJugNs6E8JSh9Yxl4DQM/HEInivaEplZI02Ukv/BYQy9Z8nsoNfc14P3w5i5gtV474OinPHuN
Uy2c1Ey+oUb+ZiXmVYP/wwcIMnXNWM3qTJlrra8z+yKXExvENzYSx6osYji1/QIgRbHCrBwO5Rau
4bM00XSqYeetW3+0PWoW7qPhHJFtXQYog/JC7TGj2Im4+cai9YssK8fYAoQLdpGMRNJnQYreWHdm
4Wuc/Pdv83+kL/bmr4DY/dd/4u/fbL20eZr1R3/9r3tb4d//PPzO//6Zn3/jv7Yv9upr9dId/9BP
v4P3/ftzo6/915/+EhvYWi8fhpd2uX3pBt2/vj+u8PCT/6cv/tvL67vcL/XLv/74ZgfUo/BuaW7N
H3+/tH/+1x/egQPz7z++/98vHr7Av/64y036tbbtyy+/8/K16//1h0v8P4mC6YVEFdCT6qD7ml7+
eoX+yZTLgAVnkhBxqJEZ2/YZfulPX0j8sOKgzIJHd/Bc6+zw10sukMeQ6Rz+5J6H9ei/r+2np/M/
T+vfzFDd2Nz03b/+gOU/NhP/s6zhsgRVhw9XUsCXwT+eMliYWAMar9kOin6z3c1U4tTSFGYN6tGJ
rSg10jKFczFAuR77iwK2rUsfPFKFydpkz1Ds77jV340zw0i5YSHYOV7oQ4hQII0UjlxfWOHvVlfH
dT6RILUmxHzvIoXATYcqhGNQKFNgTK3QVTCtYu842EQwWDjNOA9BQYj4XJkbIfnV4oD9TmWKZjwy
hiXDFsOkayhagfegYA9qsfHEEB0+lRfVjU6cGOeXS6wmYYc2wYZVsWrR3uPym5Z29YZre2fUqoMk
HSK/hFJ7qG+yWWwcZMlEp7+AM74rK7EnAl8crVWXfHnqmyqmhb1xpL9N6S2wE+Bo1jdY+veEAx6c
sd3s39oUaQIvS+5JSc22aeEc7oy+3rcz3yslXyv+NwZt2FiHUrVlxPqbAqvzthueLHkq8VUcV18Q
1KQyektUFcKKLcTnkbK6dIWz86HoYbiMVJMrdJlt0eMVHH667/VW23BdAdkT7pnrLnertoEUSocq
6T5NlqVBlq93pVNh/ewvMwNxQQFbiAo3dMWqJAsv6B2J3ZXzkeBh4IrY5D4yF/IDcquHW2NvCR5o
JqfHxv2QEMAK8cEqZ1vesnOP1be6t5FYn5ts/KKzCsafiRfQlu1A1AkxITa96j61BvKLpb1zwC5w
Rx3PQgNuw3DAxpPuiQ5478RVyYDthZuUKcbLZjBfSizJB8n8WWG9vcVYW5o+UqPasIWHZZNu7IRn
IObHRpbx0BVPYlH3WU8eX8eN9vFu+Blhs2CxzlmTsw+G8c3gwq17hhpzh0V8y1pcJb5tYSCCbtW9
tjOY8jZuPLrVOd82nRMv3nhpBLSi9qOX11uVtGfjHI+YAaMU+yrPtqBMn3fNSgJ4uG6LhW1Lq0PZ
rvEE9WQizd2IFjDAJOKprS9h8xXLIX/2TaoC6zvxBGZT7fFNOdzSZQAVIjs3MGZBlVIia9NsEsC1
z3MubGQXeG8uk1qjoWwwnArxpcr85dYHv2XPVXVRDY24W00jLgxeU2168OayAqemDF7zBIhJbZEd
6ABJ3LSZ8GApbk00ej6NuqFJNg3PPtcpfqx2NQ9eX0R+hEW5KW8yv8zQ39+iM0DUXR+sZM7wKBYT
VvXwKZ3VSz/SBqAQ/8Zg4gSdO3cx0O7LLUqYXXy4oIXwZG/5YRRU3ITTaL5zA+FPRSg/dxTmLpWV
iQR0ymHBmAkPyZhz2fdm61cq30MkZHc8sdkmo56zzY2zKyHIrAJnTiJpRrujRc5u4Pst7pD5bmLK
eCRntUFdNSrluiV1Heo236DT4QsHg6miB7xx8qnWaSysONOzQiZch2hGPXe8Nfhhufg7JP8Ygv85
AsP2y/U5UQwh/efjnpMz+Pv6k91Chrlx5O0IJHrGn4StQqlm3IbyVgNnTpz10QGm/NSn/7zd+GsB
oMxX1EOjK2HHSg1a8VHoobRbV/nbStVnUGQBs1LLTYbu6sQmOsi2eUfjQ3SdO7HJVjfftWvfhU5t
abDMzRkkGCKc+8FDx1z5vSyHIgIW5X4cYsA17gUvR2TDxFU++NvDuxTIAZPq3kn0GUunD3zOP9UE
2XMO8Ba87uN10fHY2oAYT0MOZe4EsRuwic4OYbnXct/nY6BTjcwRcPBYl5yRf610dyFGL/AxeQ8T
Z+3F3rjpeT2m0FkuMVFweMn5DjvEUA7Zt0k8yDEEmzJAg/G+TGHhNN8etPAjN0iHD08p9bcu3Mks
lldecAgAMA2ZCQTUrLnrBj5n26GbH+vJ3ilZfmeFf+VRdpXO/Iqm4kIl45lq1zxQ60iiBuItp4Jn
6kTiVcGuu4d5oDc/IGztx0bCw3/ts+R7zeV+Rrh28ipOGWJxZoJJPy1VfXf4QgwLq/DP2lnOQVdV
F31nPgtr0FcU25VdeV17VtMP7w+Rn3e8fw0QWIkSzl3MDIyUn8dnB2qJGlAs2hZDO6OkVqG/Sbah
5SAm2lNVodf9xvF+RBBobhkoQky8Ah5+2MKTLh+HdJV2y624ghsiol7phkivfuhIijlYD9um4eC6
k9jMadj4mzk59Y1fv9KvFyElBbNBef6xRlB1qW8kYODbaaiCxuQ7Ci09aRLsKrZ4AWHIvj7Qw3LW
zI+j1qEoaKwdC1wCn55qtBjWDIuFg5qymLCQFkEuWhRZ6JYmfDuhpM39JHAXxCvu7DOHXCVyvcm6
aXfYIEACAEz3ZL969NM4JyDU0ZDjCO+NZkLP4n0Cs8CWhe586fd2V2TPvv8EdtMNYTgmai8qnPSE
4uGVPHt8SxTzBDasAjvQ47ObARQ0G4m1W2CCA+uSPU1JOPMBK9saQksXQ7KwSfV5l33s3HbjI//j
AXhE4Tk9Y7XMz2eeYDMGYlPh70RTXXRuRjC0zdamCHTTc+9Mt/QGwFhkIMkVFAu3C2hI7w/l147L
X7/FYe/MoFiG2vbnsQyRBSn9AbF2QPcRWBQXsH3een712cl43OkR7NfxyZ3kuWb3E1uuCHd2pMUe
tve+Qt+DKFDMemszUDg6cee1/dU8Ys/pjnuvEZeHvScE11GXpSd0BK/tab9cOKdA3SFSu+K4s4zW
DpIjbLZbO9CnxcnOmSPCQq6B56KyacdJBwsiZ7/4u0yRyJ3666apY7OQNZiMe4D+vAa3uhsCiU3G
iWXkNcf96/VxhpWEC0KOFa9UN5S3aWe3wLBg89hHLgTJKCTUX7IZaCpRXlDXIAaLK+P7sBB2tykW
EBdb7yFHPF/plZroA+/Iph5uCt9AMXg7lFXsewO2Yc0HZwXlqs0e3crflkTHWMz2PB2BqWq3SJrB
nW6IrKUffJjKu0USIUX4baTZjmXP7w+hfwxQCsJkInys2PK431PzNSlppe2WFfTDYTfmkXHnJRej
JgCRwVkAeIExny4PKwogE7s1be9OXMI/RWQlcPagVGLfcKzOZnWNk6yLS6hnHtZE7hFNw3Z+Ouyy
3Tw7dzsd4yjy3DksokMaeLP9xAq2Gfzq+2GXzVMdn7ikX4+RPsExUsBoi8GFnBxe/yFsg2piRlij
4K6Qi1U0t1Aw3IiWb/za3gibP0PAByhxfyW0iE/yaP/hmeDT8TSocnERnn+0hZoaL3GWlmH0YeMp
nM+2e2AGO0jhAOnhf8A5VXrtDt7AN7xJ0R11Sm35mpL/efj/fAFH1U/kiOeqcbFglOByrhWscSTb
1ji74Kn4nvO6mzHcgzgYO/qi25djB+LL54rj+LXC74vNkeHXK+Yzpsy2bb8don5K0RKMcS1LWKTW
3bbps3DpxFXSVrHFfkkWOOpOLMQmWP2/SeNc5sDjdfZ7//9DHufQ8v92Huc++5rrrwbR4K+s0Gvq
5/Ar/53GYX9yyiVYscTD7D8EwL/SOEr8SZGY87ikLkH0O8zGv9M4HvkTYxK9H8ivCIrYiHH5dxoH
74ahShSCpYddDuby/00a55cJwBWAUfDbOVwfFb8Y95J6qNUKsuauLPLlhnnjcOmwUmZhBXdgGgHW
56TbnkFiGEpGZoiwfagMtgC/OuB89Yuk0dT28AL74Rb+w9nm58IcUjJYY4mgyGG5mJX8WI0M+Wg2
GthyIocyJPAyy3F2iPiQOXPkLVV2UfemvnSyJMdsaGh5YzwCNdv714Bs3U8JLmwhPcRq5gp4DFJ5
bFOElqRBjANO8KlTUY6MTdoBL8l1efCAJ/j673/ckdsPHjRj1JMAqDE8YQ/Zu58jYanU4pkmE1uY
RXZDPAr6qQTrJIt07pIvU15N1zpROVLf02hRZihxZumHudW7ExdyiDk/xiRciC+wi8bAlByO+Uf5
5BqsSbZ4hG112tshKsSMVguypM9Jn7hXSksf+bMiLZsgJ+v8hTg4aGm6woRq6MFGgrHPCBt7XjQi
PzEs/OMr4x5VVEKpwBTUCseLRdr4cNqU5bj1pZqSjY/8jr9ri9ackukdjz/BPQgqMPhwrsam7/jZ
u8pQpMUaGOsBaiPjtCG+u+lr6X1cm4l990po5IeiH1LAE31AL5PeJKe8BI8Xa3HI02JRUocdp/oF
quY1Kk/62YxboN3QoACsdYFswrx40dS0NL0gU+6duL8/iwUwBA9Bh7seIb4CffT4SD+xrPVgVz/g
2K7rz8WkKwDt4M1nQ2l9do7/IIqUGW3nE6z2X78rIhnHE0XuGiHyeL4veQWp8TK0W9pXBJr4Gl49
YenwGiNNJwkqlrBxOyXL+vXb4uHiYM2gdkQkJkfj3Fix+hMl7RYNRdmuU61bBcVYTjCFb+tnj9sm
bEqg9/5aIn8qdPyYtznM45+mF2dCHFL6Av8odWx/m3LlukNfQMiyAOwFzd/QfhcVRtR2KdJ8gMl4
LVS4DCB7b5ToPb59f36jj+LneSSRL+KHpQP7HYxvro6NtYGpThDxACVcYOEPIm//CQrsFp7qllxm
PbuvpwbcH1sfYAh0B4ez9EwCvJlH6cJmOPihwutyalDmnLFzbptun/au2jVq1vdlVrrX7eLV224q
v1UACsfU0HwHp6cp9niP/H+SJwFrdR85oKNfw7c0gSByqdiZY5MauMp+bXYZzipIqaCnDcXKLHe+
rkrjvNhMmIxr892D7imYXBQ9Zyr2nYscj1BjF6Rlmu+qGV3ancS5F5au1aesnrO9N9PvzWrdC0FX
uFqVmFF9Uci7kvB1wxuWXesZX5yk2U0KEdOA+bjPZQoiQTdCQUlgrPAFtt2f+rnyow7ioAuYOLSh
gai2ibyODAGn0L40Qw/c4wCWlKicFMdTIg/kDQ8uKFQVdyjyiibwcjJG3mCnT/OatzFBGI00xKab
WWAF2DjraPI709dpE8rOhQ5gFSOrKxCEOVNtOCEhKrKNRXm/XEJlYE8SjP7kqvOxlwC6LBIEVRNo
WWqYirsljoBw7cLMKqIEWvgaOkqDLlk/HtrOVzfSaZcFpjGFzHqJ6+hR8OCiWXE5zGtZMCdN/bnE
O9YXxJ+8MkPXYCGdSw25GGiWoMmZ9cYCidfGtWVj+XHp0BG+06qENbL1l/mmq0aXb2ub4c9J1EX+
wWdI1m89g+3vg0YDOAf4wbflJuczFnpvkCOcPlA4HZH74ASwxcOHLrjfjTQFjf5akWd3qAxy7hPx
v/epi7fFRtofb4FExpusMF/8nC6UuwF8v/yBBG7FZHIOcCeCmE5BJwqKBI0NkR4UrjotalwvHMzx
Z0uKFIOkKXPkKjGGyiipJC5PGVTNi6BRpoEhfZeiEnG1glNWh3IEZD0oOZR9YcJnNNvNbjP6nymv
0JmZeLRbony0dnfAgg0X/tI2TVS3DpNXPjw0ys3kQIiyaVqC1jdY+szdmSEjxjKpWpSiddvVn5uh
lKBh+7SZQor5hhuF7YKNysxcGEOGDTdFOoXiQCSNUL5plz1zC30LXCHVkVIOExcVjGaSzcQ0iL1u
2szO3cFlPf+Q+4Pfb5a2rMw36HBe1ryAOrlXq//sjvmsLueS1dc1ZzhWT/6B84zjbK8iaZG1hKhh
Id8c2pOLkdZp1Phd9r3vcK9AVFvyNGLWr1HhG1pUpXUByzeAbhaJwlEpRxEQ2HJ8qiCxgybyYBDq
A/UNbKl24mZBLyzsqdghHmWcdF+HND/QEmwrlp0mZEaOOEPae+ZgnW5awtbQaUBoQhHCFuKm1Cg+
MA7R4vVsx7yCvNRd0RlWDIhlHUtqZOQqIByHAh3jG6YVvElruc5IIQMtMc3bIlEYLL2y2RRylps2
6Gsm611Sjf4NJaapYWIGcUvkKbJ8QSv+anYopsDFEiAqLGE1BZooQBXBC2t/ItDNs2xBRGc9UQBk
dLnamgoip81QMpGcp2KlLFRtkqQR5qYXtygfNFuA+zoWuXM+BGYFmQ2VVIipemF2I8l7c1HhuLCB
Uie5LRVxNopZc+26DkdhSU9F2DO3+m50l8HmSZXXHpi0F6sinQwwc7PnURKOztM6UQV4rSIJTZo7
Y0hGF7cn7/tuZ4GLuk5SnaGuU+QqgVQqU5CpwDInWDTwuQGAZYqHtpvopsl89rRM5jCX4Lu6UWu1
xO6Q+Nczsmjn2rR+ULF8D/VLe0UKqrZzDQenwANVfgfUIvr0yzkRceVn9GGgHi8OEJEPWEe7nfQn
5FHHvtmMS5PoPYGNA9TUMg0MWWGpzo1zplHRDpEEsZtRT9O+K5vlKc8WChErGAKFNOklKOcfiQsz
LHj0tUOYUyNQUOvWZbtW9XQ3VlDFJOCYqzAzCem3cuwHOBWsEyqrBXZ+HTZGIEN0jTuGvTOaPWIf
uLclvLdmxCnivww4sAROx8VXeNx9JB0fr/x6bfYZg38cW1O1nxswjFcALJuoa/3e+aqdBCHq0LbU
Va7NYrmoFNCjFD3nV7nvyDt4+7CbMl0R0v2yjuWYgLPS54IP5zR1sYLqUt8sqoXyryoK9QnC/y47
W61OUcReMLNCo9LiYgKZur+cZae+LR0bXmpsu2KZpCBqVr2Qce107iZpTLlnsHSXeOJ1g7VLL/vK
uh1HUX+c8iCXDL0d1qk/TEPR7LBGuBcLrc8SRTxETkmKq3we+2tVaKCnLZIb01iwG9zDIkornqLC
qrFQF7m5U9Sv4pUM/GzhNXmi7FDmVBm+fYAtgxNBRujeUNPbl6n2lngZQapHp3/r67jMTeWFWk3F
vizK6i7PJr2Z8jq7zNESj6aUogw9r1TYR/QwUtC2u4BuTpIYYUq+8NKnaCXoXITsDmLldtbddQnJ
vsa4cJ2wRs4n8Ea7+GEODskDWrKcXdorzI2Clzetp9Y8Tjo/eyTQnu2YmdsYCPt0yzrsE/yVRlnW
PU9rPUUrZidalor5epTeB8YttH2JmbZzNbMYAdiLSJWsEXY7q4l5UZqrfHGdvfCNjiAHI9+wGewu
Zmx6ooEg4oUJoGRBu4z02pXtWSY6c+Z6MNCFzeUa9HIA0TwVkgWmx+MOm3osH/2FwdXKqMxeCa8s
ryc7GS+wbTr22Fl008YsmQKUw9cNUkTY+asscfezoU6wLhV8kuscp1IzjJseZWwH4AOg9cprPynd
j2jNdmOnme89XT9oPd33kiONNlqoH4q1YMCPJN3VunjrGZkbesZI8ojj+/diVHHrps9iglGByLzL
YRDlrkVgjHO5oPst+8rSgx9tVVRIPaQP+eSwYFxrzFe5PvBmuJZFUkWkIZiQbX1VGN+77GYO/Uc7
70am9KXHh3u/zrNNCmVQaFEbsAtkFO6cQhM/Dfr7UPZLgJ1Z3KCSFldOBqc6UWSBaD0T+6itLhnv
9yqrCf6/4aFftLBe7fi0KVRDwmxci0e/kt/7Qeb7VuvPDmPOWW+Q04fXeIj6DQbgmH0Eg+qranwU
ARWh4QoCbIQq+/QIvvITQvAlovoNGEokKiSQj4ManDBXy4IhaNhmpfolW8aPuR6LDTPTEmGVv1yL
rIlLD6rIjMNCoMLeYpMxf2OQTkR6Jt22bQuhIBf5bs3nbzVgPQCqeCYYEP/A5e0L2FYWCQQ4OIgs
CTAo3SqiHmb2W45NEGQ1XXp18GqGm427oDab3FVDjYJkrnaTda9GB2UCAC7yEFbI1S4ZOvgYNEX5
onKnCbCtlKjgU4vw7K+fAItjgRw7cYmK77xDFuLDvCT1OYInBDSadcFajeQeMfGhWPwkzopUbWS5
6IioUaLOmSqUPZveBrzTfZg4/FDgAiKm4okTLW6FulIvvsIgkUVr4eznsiYBlB5wAbEwBC69G2ac
O7ZAxmLlUODhNyDjFskj6lNugCkB+Ixl/EZM847WZENqMe3GGqE1Nx08w9ARt5HLnAZzWjt7yunZ
gk3JDjDFcg9/SJgg9fyhW8huTLHoe02T7ZZs7b1AJURFFrjlqHSt2q9JfSWg4oQScMGOdiWVj7It
3DiDql5G6FthiE1XcZ1W3d240OTKW8f1rG56H4pXLPfFOqIJZ6D1puXs0UXv3/NIp3bvtITeCqwC
t1NfOmdlAWkvsikltAFzep81xtyZ4n9Rd17NcSPLtv5FOAFvXgG0bzbJpucLgpRE2IL3v/580Fwj
tuaIoR335cbeMaMZzUyxCmUyV661cp5XYbZUB8uk/hZTl7NQoEPMNcJ+fjJUTd40AgqE0PP3aUzr
iqfDCN9Ebj4KXpbrUZ51V1FhFMnC7lEdjeFV0pi2J8+quu4K2h+EXVGJ9RBUrVvV4fNkWHR5tWg4
X9YDMMYkFXBThbWUZuVtqkAWC9X6WaUV8inH7u/cQOHxjaja6Lj/+qIQyZPVy1JI3VqN3YGi2wkI
KL/OF+PjStJOaZWHntq1NtaskWzuxiEZJi/r7AI/UOJ+KO80kxMQjrrC1zOnu3ZsGqG0MA5qklgz
r1dDlBICaJaVXZM2O9RQVblCz18pYAChZq5IzzFDrrQw8towxRRZm8K8AfeJlcLrmk69j+LmSh9E
tW7KYtq3CDC9FvcZ11acmrZooXkaZUc/FHHS3MH55zmiVNng3WROYh+lRfiux/BK2s6hNgx2hmpD
yvNmRZNWa5eEwKBeYcyQk+2pMD0sFrmgkQeZS0RZutkcx7jDpUlFobSAkJH15GD9OIrXrBJzA0NY
kQLfqRQr8GuJRQC3lZp2b4BLVuu8ktUrOWuDvZTWAxsx1uLb3hgswl5UC6uU7qr3vSySfBNMWl/R
jNYmjBsjixTYbgZjo5ajcSOVWuhbWpRuiR5rFEgFFqM0b7bz66Aby5tUHmHlTJHhkD+wq1ckUvro
4yNW+R0cwXqNlOpxyFJizKQMm71cm9Xz1OvV7I19WK0dYjWq4wAVhhdopSW7rYDOlSmNDe15HtWS
Yl85MJo9rWuj6jPXclLrOEVy+GYrff3mdGO3H4XtrKpIA2hSK5qT6vEM1cO0j0EjpTvCOpYgpYgY
E6Z/tFOi+8HkNG6eFvGORJCcbcLZ1jczY5Z2dVwriccRSxJmIg/rUurtH4aexnt1jMWLHdbfKfo2
b0wLCpZpj/BIQuEgNDa3y1Zlk9uNjKGEanhsRPm6VRTjRkitdYwB7Z/tDDM0d3l6rgleoh2puX41
pIbKTypJGwsc/bY2mKebjqCjbprPdrcWU9aWrgn73FjU7802wthb88csyB7xyBjXhTomL9D2Rmgz
uJZXIcoBF8BHvUlUe76ipMo9CQnmQRHaiAp4yoznImmUo8Bay++TsjtLI/X3dOrKN7LIax1c67Zq
corhZqv6PcV9VlgpofJV+n1aFMkdTKJ5b3ea8ZDG1nQvw4NeDV2a4Y8Rxh5g6+iVxNirRlbFnVPQ
ZSmJSLi7XMxuIjew9jTbMOgYDXqUrgy1CSJ3Lup5U/ZqvKNxu0EjYNn2o1o2a1+aiTvNgIZILjm/
obnWnJeqz50V+eUAFVvtsZWZa+Pb0NvnWC1toBoFPpE0leQtzk2Jq4c7azQ40nUHhkZtxuCfeP+D
R1p34zAGXHFy9V4GNUkuXgPmQXH64daQTHsvuEPcIUze4raeXU2gkKB1cO02dTCJDZRXEnanjDpq
7bN5jdDaca28j9zQbHPdxUVLvq8Mo0WLB/HI6Syp3ThaE3y3oqa5DkrYPJYlv7e1Ylm+asKe04TQ
Vk4iT+s0bOItSj8x0h58itaKVqssxNSvqAk/lk25bTuj9zIl32Ayl23zVoVmGbXOk6GkqzAZbgYu
3NM4aijFu2MPZaAYs5ua4GcIOwzh2vZ1KnBWobGKegC5HSpP0umYNxp8raTMGq8Y7BCOoJ5Pnp0Y
3UNkK9ukQsHV2BPX8ZAo932krxIRj56iKOXgoRsLs00Vj/FAGDJZzakOZRsOjAzotVXyHppvZjZt
SyraBFSislSSvaGGc+KlMzvBL2YQ85sYc9gSxV7rOPsJ1UiApkNu4XmGGpTDQh4gXcAzbhaav9zQ
rkdLLXGgm3qX7mItsT/CNuqHfdFRSZ1tA6gzqGAvpo0/1xjctrkFFX5scFlOn4ac5t8xTGPh0P+O
npEHvdTeU2WO6EUdV5CN0Y+JYwRmNY3qfhwlv4zHdWxYj1KS7tJ5eG7m3jzos657aWc0Rz+Ph8Yb
4bbQulzHaFwR1w3PKAWPzMUX2DombRDi5dtGfuCQEtsJJMNo+jG1zpWmBge2/mMeZZt+iI51gXxI
kvJgHWAB40WGIIAez0GlUe2GdhCo9Z0mmtqlsvGWiqQiUTFvRMFH00f9rpmdnRIl+UorHYkgKLMI
cQLTm3EXIwNE60HzqVMkzPeitDfJmGQ+TemSjVwl56qS7luj48ZKrwZbHNWmTEHGnPkJ5ebOSsPA
a5R4L5r8O1QMOGJYLB8L21mTIFFmSxSVUD0T3iR3uds2vGiVWDoF2MNKrqlvV10dkiMQyMsh7IVk
mp4lG2cLvTJLBG7gc2s8+Zth75TDt1ipSjcB75VXsTKWPMp2cLSy2twnBvifDqXOiQF6ApkFVVts
Kyzi6FJ5oi3dHdY26kYNQvUxxBkYeod51UMOP3eFlBx6DRlNLLhbYAOnb6Uo49CdI1syfWh9aedl
huZQxo+wvqNNUJw8AW4X04eSypXzMNFF5FuBtCv0CVab6DQ05Bpu2il6f6hBaTtyZ4cVp/NhM60V
bBW+J1IZz3D5iqK7oZGB1b4hA0pyH2feTDpMpQ5a4UKCHNuNVCcsQGgokeS1WImbbiVk6MgyEXcJ
lWB8qJvhTI+fG8XuHoHxvaJOlK2e1SlEoCjyeeX42Q37Pirxmu0Dy1rLXVI+E/zY61AeHgkR03VT
gzT2hXW2JAnMTpfrq0xqjlEfGjfmMGXaJpzbXnYdo5LcQPDMuW3Yiduabk/rcdQVZ9Wpg/wEhMuJ
U51BR9Qbmck2FEF9TAzI7xWe5TVATZicQytf5hepr6jY+KxFijTKMzOrPRs0Jw64oXRnr8oNzvlq
GnY7OUqyiAuHaLPJwCTcuomrrS7Mp1ZFMXno0iCiWWMr9Ac5Dn4AOvenwBqtfVBCWvKyXlartRKG
Xb4qSejJk6wQLFcenm0Zh5ORy/Bs0elyHWptucM7w+AbZeEaeCY5zZnVn6287s7JUBnrxlA552r9
bRJJtzMzKXqhhX1LVVHC5iztUkwFm1IGmpZTw97Iwgmvs7LdV1k9Ae9WwPpJ26RwSultc4pDhHID
BB0OQi+2XdekL5SW543VKRgxzUPuw+gp/KwvXrgfx71EjrQVvFiuNIVhwmlvw6Ma9Krp9Q4Fho4q
2XUehtioQ1TdO9HSkyerIVGLfoppYN2V6x49+i4w+Mr4ug+BJybLfMiBvx9h2Sfr0g6qVR0R+CqZ
IOiwm9yrFEBM+PE8gEUGF1stYr+P1Tn1sduz2aDRsNd44XxVo893ZHXgFqVFUUgSGWycUA3bfJVg
GO+GWjmQK/XmkR4J4mWkndtdVY1v1Vi0K5qnG7edhjtymk/h/TjEKO265JzlY3bU5nw8J5lIFNcp
MUqqYVlsaOerfR/GMdtr0NfZVWzdued35Rhkdxidfp9hp7ju4jD8aMw5wtCtKN8k3j43KvrxKDXd
tx4A9DYQ0lVq5QfopURgTpsSDOKDGJ11Lum1TDHEz1pK9TZyXC81Wxn+MypIDO6IkRV/VJLHUKnm
AdAUPmjSGtMm4y09qeFsPbZodNy+SksfD+sOVIxGE8IGiWfW8fOYg31MhD1AF46yUrL0B1bOyio2
zGinN8P9NI/ytjRr8zaWnGmjtrPzfQiK6kl1SglLhDzYFJnhQAcyNRAJQNOytCCeSoSFB6vWzHfJ
DMdbKx1kLwyk+IHKgrGO+oLvURStZ0eZAjyqmu4cd/XZCeyKK7DVP2q1siEiV7hNNgad1VVp2BEe
2T7NwMSjMfflqTMgSttlNnqRU+ibqO9jvy3NpcjQprTq7lNXQVz6HPXavKGdeeFrQh88pK6CxghR
f0yVOj1PWXWn9ma06VozwXkhWdpCJ5OLzYN4zTWRXPO1h7NtVtr90NAGk9+x+4eeQo7uyYUqWafa
NuJVRQ+wFQ1JCxfzWBJ0kQdjxrM+k3loavHNTDvS5brM4FX1Rtz6ZpzV5H8kyr6eRCQbhaY6rpj0
evQTrW++yRSOZE+qA/NES50RnKaUyvcRw5qnXHXiE09UDi4fiW9Tpao1JU1HPZd9oYe+I0pF+Hky
wuLqjDLZdT2QKeW8cGVMQ7tG5FlQfuuD6wx8eBWoxEqG0kg7JzWxIbfsOH7p1dLRDlIVDpI7UDsR
Pq0t03U2VuZtmY4TB8qqQCEt9Spm3mI3VKF5MEOpg5BWINJNc7vb5JMSPvBMSX48YLYgNGqvk1FV
j1Q0prPS6Lkv083JBRJoH5JiSNEzddKVgV3mOjE7VK9V3NlrTV3I/gJ/Vrwj3id1IkO22oSz7szH
shxw7x7wZjeyel5rdjN5SjkNrjros0uChr1DUMC3z4ij7Nkg3QiomOZlp9w1LLqXCsm6BkvWV1bS
t8iinXirww11dSOicC0j6eIEW35Xi6fRTuJvqDes2JsKALJoKLEr6i38t4153okgC2/UwinWZm+u
lCrptxTpABjzQCNEDLstaI3pjwREHlk1qGjvxOtYymy6OSf9c1nn3ZUZ6/I+m8VINxJH8lTSJ9+R
0nSLg2m0o50mOVxoAXDRqOwWJtTs6Rb6bCoH0RVcesvPEB88NZEMOdE2mwVCtYtnqzcd1r77Rlyl
oFg2i+cE0y2Fam97bZezciK9ND6SCD1zHpuGj9Fgu4V3wSY0O/utU4qJK7t7TAbLWuV2hG3GwE7Y
ZIHWcujse7xSgGJt8aIJS1lP0yjQdJvfKWQhWSXNc0fHLBelj+6SHUELk6J73aBTXGtU9qa2i+65
a0LySQrDh0wlLJ5bHhyqe8l9pI0OFdUM1EzQredDSZAjFBlJbIP9wq5JZIIOYxwKUhMlX8P/0Gg0
SZcNwp26243znDxkwCSzXykiJM00q63SBtPN1MFscSes9ysmkTQrvQSgXimRQfFjLuss8Po0z3dd
IMrXsW0EMA5sGIyqWvmqj+s5IXwVQwT1vJ/RPc2wIsZh4KQp0bPQu2bX0kudKLELg+sYab+Htc90
awD87GTkS49l2jFJdR7amV7hVty6FABMV1ShKvtmSJL/kSShHW6dzjbCzWBjaoJhOj3XFkRL9zBs
GA6dpkWH1g7H79nQOABPVartbPZR4Q3mTJ+esJt4lUb7Q5bD6QHBIKrGzkCrFyhLvbqFIR1LfBS3
khL5uYUUF6zaKgvfilQAohehep3rlnwbaQINeeukWI+Yaei3YTmfHRP7RgwWWX9XKSP6yJBoqq5w
MosLtqESr8Uozlyt6aLtyBZ9Nusg+pbqQ7lSqY67FP/fIiv6NlkKWDTi9wQVeyK7jWbydKthJ3En
wiqOE2ncDzUWOAQCRrVRp0FFmZk6D7m+GOVYkma85Epp30StwE6ujEp93xezfggyiYwoEta7JnJA
WhEimZSSiXS+x9Vk4IZJ3SzSu4Na1epWDim1tllIkUKrIonPU5hPVkXvNoKJIUR90AR3SmW195qW
SjdyCkW/poMryv1ctMjHWmvewclv/Zm1i9xUyjskJQsURGs0basUUg+4arfkTRb/fMEluAszWAHA
eJlzqG0l8rCXUmpPJ9R6ipPALimmWOI6b8IGJH7CndpMJ7zVR6XApnAynOGglPmM+sP2UTGBeoJc
buwY5GSj6zTRdEuqutpqTiUNrze1SR+tZImqsHCL9uQ11rbO+I6VqfaoT0Kp8WQ4zCBBk6kSD/U0
7IC8M9s0u6TQudG75FqO4mmV5XbvB6GNWDeYF4w7Ku9s2yHClexcmd2mEvbt7OAgcAIBkw6NpdQ9
gKuh3XVDGG9UIWrC+5huKZ3oxH0TJMCklq5HWBaNo49rWB1y14Sl5fIiO/M1/AAOetyakwufbwal
sKqK3jcyYg9paseHPra0nsQGWSBliireW7iCTRt6/SVUxumItm8DqoyuEJPqNU3m3PUYeXlRpQJS
1wpXlG/PPGoll03j44KqUWevKIqEarErsCCp11qU28q579TuHSPt+DYZTWvyyQxRBlNbtwx3GjAV
L2LioSYtZnqfQJ5yDZqwBfQaylUUlFWLE2zVl9EqmSF04ZCmbcaxmc+SaMat6Uhj6xpZyOrTQXeA
fCOrmypBvqWSOA3rTDMH7C60yocrxCnLEqlNgQ3akBy9i09ND1VAruJgg3sJ80LFgI63fUoHGuUK
h+5k7mQNpGFSFG4JVeZDRDMS2dMx7zP9pBuxwIydvOUkgJqE2qw+z8qUrGZVu7IlgDW2fe7RdTc+
0bynJBPlLQH06K1qRSkFiwkoLpPXmNrZFKLxc+byaAVmtk4pDayhDcA5KZTpVshztJ4H7buIzRbs
t42oKxWNX45NtO7YnVpk3yW2EmzHqQe/0WBjlXO7rtr6mzXKZAOluDPMKX4oCXZvE42SnKxo3VnV
bWr1UWpaRIOikuLNHGbDtCfhpVRBIwq6X4uQKtKKPACEz+2zdoQ0aNLCtvPqnKBg64wGBKUsqqGu
ZHYfK9gaW8FwHpSYv2PYlaXvuryQhodxqKf06Z+/I6IJuAsTajl/CB256m902NSItUbCTfDDKoM/
pMop/2mpb6ChSlm8MBfT0UHYJHrzh6IHJXdGEPRwmGYBbL4rF06UEldJsZ8MzqM7pg5sKHniVna7
Rq/GV862Vr1L0QgzyLSk8sVWU6leRZKIxgeJw9KcJMpDWKc0eWkcyr7hppu10gwO//BJMiex9G3T
ERH41ljBxujlrKGyQFfJvI9dClomj0VK4nhWkrQi8swDG4fzn2QkeTT7fCPCMoK8ttDzVrliwyJD
F1HzCZxx6jD7ZcteC94k9XrpA0ItrUvU8qWTTB6tqmUZoCfJYNA2/efdGqUHyHiYwzRvTNkNqA0d
h9Yw8A5IUjAPZXS2oUbf5yJ0WjovKdZJG0p6NSNa6Vb1jJzQhbWonoKuls+RyQsJQywadiQJWMeW
VhV+U7J2uCebvGqpqlAI6tJkWNW1qUKTw45iozW5/FzGqnNuhjY+xQlvX0DYcl/ERbrTDSLcnlbe
J6UZY0+KCK/tMs5+lKOe4ngZY0HmDgXhuAjRscV9Oa1hA+hvQ2ek7xjmNA+diEnRG9VaUs+c8gh1
sVl/HxCu3gQoVK91Sw8J+abkkCbqcDJ7Wri1Nl0jwyFfl4GNuWmhczywjGOpqk46R0V6M0sm5X5L
Saod+c4Mchu25aOqKM+tAByO9bE69i2IMKo0/HMCiftxUkCGcHtGexBsrF7Y94PW675k9en9NAzm
I8VudUXSSS8zwyq3MVHla6eqFo1FiFzaUkGryM3ZHNXWhsOkmvE+jqXiSowk7nHhnNPIQpJK62jf
Htv6BYT2Les6Qb/SLD1mnOyXSES3NpHdEYrqcxOEc7jSifG8ZlbR4KYyFKgRepwZF5Y/zwRpcreg
1055MLNE8R0o2mujz9Rjoorai2SnkfHhkcZ/rFn+X3uP/I+ilU9+Jf8/OZQs+tX/Wdny+CP/MXc/
srdP0pbl3/lH2iIZzn/BDftV3fK/tS2SpSFusXQNHrllGDZK9P8jblGQsFiqSgrjoH0ytUXo8L/E
LfJ/mcgO+HewazDQHujoaP7CpET9LOEwoMPihmKixFUNLCvMS29fOc86nO+mwH+8nl3hfn+N3ZvY
vQ7dU+Sebn5sHvYfz9/3d78s0r9oV37aEf5fgvfvoy68818lbSIIDNEPgf9auY+3hXsfupX7zF+8
/zgSWC1//WOzenl6Ox0eT8e3h4+7h8P328H96uf4xDP//ce40JPIQh2lOWXymL8r8nsdfSHv/tnN
6E/zXEQUv8xTHfVWNZZ5Fu7z461wC/f18fnx8P4j5pfP/P+V4pl7/3593l2/3u9Cd3d2b3bn8+54
Op+P3ml13Jx3m/N5v/xqtd+vDq93p6O3v9t7L3cn7+7ucH3r7T8Od6f9rX84fHzx8xuLuO8PP795
wf+3TbmwJJpY+VevV8+3++3V6/Xr4fl5s7k/XD2H7up4Pq42++PqfL4+X6+vlx9xf3t3e7hbnfZf
aG5+Nsv6089yIYNc3p+y0X6u5fuybVjL9/f7Hzehe1+wmrN7/nEfs5Yw7/hlsfxx8+P+B8t7Py67
+Yl/8ql0b14i9+Pt5fTx/eXtNnL3b7fsrpebD3bX7d3H48d3lBT87/H245Eiv/t8ezy+vH0/fNxF
7u33L9b3p8Xkn+Z0Ia7UU7QLFGsD319f+dsrf/nz2nVXu/V647meu/L4C3frb79QsWjLYv1p4EXg
9MvGLEOKlXGAiQczZBvefv84vF/DaXHfcXFyzyfWKnePL/vHt5u30xdfcjlVfxp7kV78MnY76GFq
T0xaMreV+RTLr2F6EyNlaEuedvnxz3fNz96ml8OZ6OUswDRFs3/qS38ZzkjljvwW3fJcVlfxcOwa
bSsAAnv9o8I/cdDSVyxLY0lb5f1Z7590XfB7e2l+m9KHYbwPu/tQi7/oIfKv965JIV5HUYiI0bnY
zXhc5rI1RMvNcP8Ol9o9x+77+83b8ebt5eb0/U52H79/dZwv9HP/3He/Dnqx3eaormyzZ1C6xbit
8WRZFAKUwzjd2U7o1m3g5/ZB+arZ5m9PjKlZ2Gw5ikYGjpLm4hKcJLUDLQWRKqqwwWsmhnhn48zk
Y0Iwf/vz174cy4KxqSsmfA5TJ+e59Nir+6GtizaE3oAg5KoBLH1D96Gea1pk3PwHQ5mKzvuMzlS7
bO5XwP+BdJegByG7vYOx3CbeJEGSNYE0H/481mc1Em7tTMuQ0aFajm2rBAufj4yFwVqn17AY8KQw
rh14+SvbdLIvNuW/jWIusifd0ggs5ItLoa/rMUKIa/mO0dGODPhzk1uz88Xd89suXCaDKBdcw5SR
71161pZGDJ1gUqllUW9dRyjxn4YZFreXQ/Df08pEpWQZtLSASW0D3obtfEtyA3Th79fUdGzdtnVn
UTBezNbqokpPi8nyEwkQIHLQig7N/FUfn9/W1JYN0GvCO1U2LYRkn78cdpfAMEGn+V1TxxsskeAT
D2X0hWDt91F0HSc824Tbo4GEXxzscEjgMpjW6I+VLHu1A2sZgmr4xZf77XCh8FWoQAD7IvvULvs8
m43ZJAZmohhxKM6edNbxulaLfCUkcf/zx1GXn/jXW9u6GOvi0nAcWoorNmNNtI6DLncWtuVVTUsJ
N9glVoMhjHgqQGGq3vLCudyyz6BXI/IYO/imw9bKxpUxzm8k8T7g/ppaE9UTTXkYk7+8CBzuNo34
WdNNonX1Uq0YKQ51o7bt/E4KG3RORTHeJvqkFVu5CJp+9eeV+dePoMnI2IjdDefyNpWVQEsGlYXR
8qRYt7b2rNkAtzES3y8+979tKkVnYzExmbLQxdZNWxtQsNBGP9CEeZVSzz5KBvWpP8/ns66Vq40P
zdEg/WAujnPZmqMI0rgeF4ojOIsFsT8G7ht69WROMIRLG/XKn8f7bWfZy1lnUouVBrr1y5YDcSuB
mCn15CvH+gYZ42N+VT873/UTjWrap/qQPE438yl6mz/iG2dPEcAfvgiAfvqY/Lq5L3+EZeV/CUmG
scqkDAzNLx61O/lsXeun4gP9/F67HWCU39idKz3IN5Rnq12z1a61e/2Lq/5y1S9/gosHpY80Peqk
avJpcIIeJ9/WKGlUA05XZa3/vOCX24jjoWkmMl5EisQ58sVJlhKjlFtEO77SC8lV7Lm+q0NApi9G
+ZdhoF5wJWA9hOz9si9hWGqBUlrz5OuRAFxDUTL1yrM9LlqbEsp4rXhSukejQlPuzQhK3NHWVlRe
VMKNknAHseyD4VTPSJg6I4Z0cMjqYSt0qKfSlQqfWIHHb0Py0pI3J6J407y3w4uivIxLd49yp0xo
o+TvKh9Qlp4sDUsWs11BlPfS+HvRltjfZWujRjf1xcQvLkqWFzMEczHDQC9tXxrWFAm0S+jyAzTw
2Xkf01B/LcRXHjT/srhEcDouGzhgYPiwhPS/bNhEMfEtoAjl65OQ133d31oYN+7/eiYMQnSAn6i5
YBufBxlN5BoSbAzfaPGDclKIa1lrJ1/cn/82FdYLl1f8ERbd3udRIG8YgaUmg59mjXY0LB0i39TZ
X9wyy9346wnnq9gKcAruJKpGTW05f78smIbaSYmqfqBUkEKIHCi8OFqCqKyaMQ6HlOSlsB2/MBK7
TKx+DmopOuvHOnK5fR40CEWRiYyt0Dd2sbfq+q3KVZz6KQJI1Bgr6M/QLqHZBN1XXof/uqoWMb5D
eGDoPy/dX+ZraELKRZqzqoaW+m0NkX4aTPWLi/PfRuEuoWUbk1zSps8T1BZe7FxLvZ+KEKtDI+v2
Cm/8V4Zgl5fjso6wlS0Ek8zFvuwhLdEUCGseMfiJrsJazBDmVpMa3vTDZO/TAF18lI5i3Zg5dnC6
pqyaoWheUPZv9X7Q2E6D5cKjui8HzOZ15QuX7AtDGt58fjwT431QRU6jctkiMlQh03S8lr6iNaHq
BW2dvxujUl7XcbHcRWlwNgH8tzPZMGm8Eja3sLiM2pPNTE09aVbzv8y6+IkcfBK4iYil+akurvha
T8wSXL7zrYFakJg06Km0mV9nHWXIP18Sy3/q88HiZrCwbnb4QsTtF8fXQMlaQv3EnSm2qZgHSJfa
eEq3vVnmXoDn+XHW5G00QhFC+/xFrLIcoE+Dw4FC7IHfNH9aNvrn/UeD4druZDjAjshnao96xrtQ
W8DvmyHKauWLuf62D9nnmMvg8EmixKDLcfjlUOEDbFLMpd44JdV1JrXPpQYDKLCm14w+Al+8I79d
HgrWd9j4ODp/1LTL7nGSBF2gtuH3BInVruRJwoO3m2Fgtg3tqa2454EZsk0AReOLAOG3u/LnyEtE
wvKyty/izAxKQI9hfeqbE2w/VSqPdVeGcFKi19opt3mBdunPm+i3e4QRCaEtRXW4s8wFef91YWM6
TIGrm1xUaBO8cgoRLqAC9v88ysXnM5d8HacYTIIA+TX90s1OGB3FNmsu/UJJDO0o7DhrqA+bo+aN
IZH9poigNH/xBlxsUQa1QLkWMyaqBlifXxzF3CjD3G5r4Vtl2XyL0YBsBG9OAT8u+js3fQzzVQyg
ACawtcIMiRf18zL2pAWBlsLAw3AV6VhSBvcx8vC/+1g/R1GWQolKSw4dAOTzKME8tUbZDMLXai3d
YGKZvNWwgP523dgP+Pnw3lu4/umXd348wupDgy18o+yEvRbUQZ9UeSqzdVdXzRfR92UCAOgBB97h
IWOX4W+OQ9mnDTjNapdVfSL82MJhCqH/4uqeI2SPkegamX4rT1gX42WAvYN5XQ51/jKXttS7SGLg
JaBKgVSqxpYVvYo6q9+lMM2TH3Yu1TR9i3CRifK4HSJIgQi8/TGwzYbOPWpj+yFNbm//vM8vTpNJ
HoV7LYGbrIBRwZ7+PBkIvl1dRwECR1Sxa5u2QW6gpMMXp+nilvhnFIAjjJ7YDdplCBqGRQV5SLM9
lGf5WcXQ+7WS7P5FieHPuKGDjTPVMvP+L+fGh7Kpi7H/qJIplyFVBUVSmks+FJY4jlegT0ZBXARf
xDW/3RSYj/Jwcudg86iov8Wkk1P1k1QvDiQVHGGhY2rlD6RLtgcxUHpVABaMv4u22YJI5HhBMYtm
RX+bWcvatXjGCh+4sVoNCZxwIx6LLw6vovHxf3kyfw6Doy0RIfMDPrq4I1Jl6ILeCYVfjbPtwqYM
T4ON54DcV/NegeR3V2Uz3tZRHK6bboxWrd2MrqJU4wYaWridnUl5+ttvukTmpBg61m3LJfl5v8LA
1WORRMJ36Gi8jRMDlbpUa1/M/LdTwfoCTRKpsldJZpaF+eXxHkccuwSsZT+pjfjOjqLoZkhQfP/9
XLgaF+hEl2FBXiyvhIVTvvg8oJlS50PcwUpWYyX/D/YK0Y6qKkSdKrHx57lgQWVIWelgwIpFxdoe
BxU+hDT9J3NhJsBaDGT8xI1/WbFZwrGEmDXjvlKyj0KTh1UTLk4Wf16y3y4SPozNWvFlQJtIZj9P
hpigkdplmKwppFs0ZqWbx3PlK23UbsAc050Vp19lLr89y8ugOqExqClGDz/txn6dG/qlIiYe8KEf
dr6SIjfQU0ny5qQWf31lcYEQHxPLMUt2+ef5pYaBhMYZYQlrND7ylbxa9PAZ0og/r+PvU2Iv4PuH
KS2LyKP5eRx0WDp8QUDmPEzN53Ig5ajcpkHksHKMVtX+m7nzWLLcSNPsq5TNHmXQYjG9AK6KG1qL
DSwktHY4HHj6OSDZNZlBNrOrV221KmZmICDc/Vff+T7//nJ/fm0mrQlzzaUdkszvt1UaPRPeDorJ
upHesWeXcHbztJqmtHUMuHiekFTzavf/7mXXdYwulz4PhfzVYubHZZzPwLS0GbNKF5TRtHVRD3R7
VFrNpRj72QkN9qyV11L1v6gqryv3541z/WT4GsE5csD+1pr/4YtRvSGF0pGl6cwPnKZYvZ0gwM/3
i5pnBqfmbq+h7rzoDCuHjAIo5e/v+89HEvUkWPFgo9fm3feOAhMrsF4A7kSenuEIAMglrXZVxex+
OMP6VJsWeYjxi09q/TS/3zOFdPiKTMP4wXcStw8EvbJdZPyx48NPYRIVUVqufnGVP3+43BoHk2ng
uAXE8tvOHKByHKgLxpHq5TKdISKkGihSxmA2Rc6H9YuD4E+XI6I0dcDdzGKxr3nfjptkVLYz+osW
2dOi78cqfygt3T6YHZLKv39nf7oS3wmnwG+pKV/N9yvRkQyYuTdRT8WqPtZu6YeDNIrrCRzh7u8v
9S1bXKMx1NWcbyuvHgDn+iZ/+DpdBgQR5DYgKkyvf/ACU8lrdyy1DJB7YenJORmtZ+9hOCLjD/GK
q9W/G7CTdKz1GUq9/CSE4j//BuVg9/SqSpyOJo4jsAq1CgO9Eg9N59uvf3+3f/ou12tBO6XFw//M
70NSszbmVeNXTpTmY3scC0b8TDv7Vb74F68PCwDP9nk03Nf3OBp/8rpCHGdHVaMX3VaztQCjCuqs
OvLAxPtVye7Pl1tXAUNfJnv3GsP//ACV3dOz5gSJ8tGVp3lhotuslXHpVcCm/v75/eWl1mIN3X8K
at63FZdg05SWM3CWSuv0eSOdzn6eO81pd91oar8Ipv/8srivHy727dM0sraIbWD9UTJJ5mlNbB1E
3VW/2B//6pYohXOm05hn2a1//sMCYKNCnWVKeDMVSJQoF713k6Sef2YhkxP/g+fnsWnB2jXJ7H8b
M/vhYktW0p0eeX6pFTs7W5Q6RExbO0Ocu/zivv607ztUDzjwXGct9tOX+/m+lngemMTlUoY3Dtfp
YvkbhBD6ccTkbtM3dfWLZfwXb4tqBeIqvEA86uXfniNcyd7KGlTj2It7d7LS0f94VbP5+w/wL6+y
evzhxbbuPN9O8cEI2gYUKJSyzM4v67w0T6oxz//tRJhnR/2dVjxVatL7n5+dSgWKOK/kM/caFRZD
ne6NaZl/8TH8xRta+b+2web7G4v456vwoxfkhOCxMNT0PniD7XZ0EwZ5OkayQ7MefuXssb6Cn05l
h8+bwqdO/YXw3Pm2UbRx0uOuUzOfodVIlfVl8JBkUYH8pNBNq/LvX5X3F1djUEKHEmCwV3yv8Wey
hLaTcDVHQRd083SVP8opOE8mwLe9G1zKSU9+UZAh9V3v4qe79JmywfyDuVuCLSz7fn6sQuYLcmuw
mn7TibsWosV0EHAHzhjnQRpjtk4HpMsctGerbspzPCBArcTgu9AUL7nHSHbde6hbRXYDSXYOwsE2
FMNmub1EY+/4IDStpLotWtASQDwbNUTC7a1yRxgncPPDo/42Zik4oSNEc+qjzusj5HA6OHPXdSjg
acq8NztneK5EvoCCSdoWMynRmJgkw5vYreK2d5t/fF60NhDFwkL2hJLDw53JTloQMmhzhdylcTPf
VVIaJ4jQieQwrWuOeq57nwHq6JO6smKxL7oYe9psTqgfWnGQROng5JeMsmAFm3RTeei1qUiQzumg
LeDhyXAcKRXDoSias6GF3YoRXreS4XrP7MIcad8zSOV23DhwZbNwgGuJsk6fy+MEiohKmJTgTts5
bx6LVMYJzyge70gIi+dRCpyyKo7HIkw0w4ArAdFrU8wc9yEVqezJMf0BgAxAahAQixo+EkNroGJi
VXIX+KU1n9S18B97bamvmWiyC/BNmn0nrSZ7VJDSslOQbR4wLOnJPuwGZjfKZCmC0DTaaonMWKCh
0ttOu4KBmT8lBuWmSKQw0radO/i0AnIHCZOGRhUvwkqbzpfBrbq9J5IYXVlpTVjFqATUiA3r8KCZ
bQ8GM7UtWM1umj3PBj5wltah3esHZTonWuGzjkfmHz4HZr/OiIV5aPPQN+e606kenceSnGnJJFbD
RM9/zXW7NMMiSbwqEuSfVlQOGWIggcvum9dOsCirrLAfZT/3r2gtnfMyFu5LR2fbO21QZk3hiJzp
qjDHaVU0utIIdV8MN8jZ0QGadtzlkTnMLSwk14sNuEfdghXZjGxiK4fWOnGyJdU2WM+tvXQdR8Io
KbhYZBU+DMmxrd4KE0IORK7mY0zL4DEtx1xBSlnm06TtqxejtYdHOmnaPVAx+z2pGUAL4wUccORS
9Ou2HpCzkzSzCcTcTNrz1h6RQ4a6NVoqqkHUXULjndxocCzjDhgyCqqmDsTVILPWiwjwfHfXGQ2I
R7Sb5anFB/SVajmjoQoRoB66SP55W4WV3Ep2+Ds5BysyRUeQGQyw6VDzqgmQmO2LKUq9ztyac+5U
O7LHJN81dEdbHmK6PJWUmqfdvGjDPjBnbZ01hXxApDq2q4LYXh6qUnanCdlkttWs1v6YPdnkkWco
2I6AeuFDWKixop7YDUfoIJ5V6CZ9cKOlwTIeQVylj1STFmdXS0s775rSfdHQwYsTZhdqTLCzNtuA
ZxXX8F9KezfEIgGl04FcoBWIiEmV+gj1jukeeYK6VpS7ZVjK88GTzmcJf+vG7WokLn4uezPseQQ4
Vlai1zemuZR3WuenD1hu2pfmNJgsSuCXCWMklQC7Vmb+y2Ko7qJCENOEc1klwZaeZePsqt6ojtJS
yovaQZuDbWaZbFQWKJE8FG7cwxFsZJ1vDIoJDDsSh/DsHOm8ySWZoGnki3rgEHK9/TjMcgyVodVq
Z2img1uTWal6p/wivzLn1Nc3aI6cu9GQw7JprTlFkSr68QKxaIXVmj3URdSaXgJspNCGIrRZ9EY0
tQs90wnDGZx8Ud2denqafGTC8avQw23jeRyG4QoZWXLd1LX2YpKIfy0YObBrqHKkAmdU5YYPpyi2
qMn6GeVRXH9mcOssGItLmV52OtOw9Jvm+TavVo6uaPPkvcW94qvl05o3iqBcHow5rWWoUjfgvoV8
MMU4wAHRsO2DU5Pf2d3gvhLAd7g8j9V0Qfff+IpVVV9qeeCorT/PzesE5twLx2Kw3oKqadVhJOuE
ojIV5UtadhMm3Vrg7RNF2r3JrK6pjiLLxncrhgsLfU9Tb8wqKX0X8LzPsURF3C7tiq/WZZp651a0
6rex6vmZRqJZMvS1YCoQumbyOs1j7ZqurPY668t0sTYHXibk3JwRlWU81NKvRhqp2UgnA26ItVOZ
oj6aOoouCCJNeo1lkdpHq67Q8g+1uJvUyMfm4jt5q2e5/Z6mFicCInRUs0FpdK+JK2e2xlVDHDlG
ZXI018B18VtN60jq6MAj8uP4AaBkUOunS51xDu+FKKprSxcx1j/zAO6wVSUE+CIPINjag/iQVh2f
KDTx72lfxGUExKWq+N74eMO2N8UdB5v7FqSWM7J9G+ohkVb+3JZui3qWkwiSVOJUX5rq3ZcA+KTc
JUXbS6DrQFfplGsSbn5mAfCDM4lK0kbIzgRCeVZgDYChrDfB/Z6bqefpeNPgk3MUxX2x+Ow3gdAQ
r8YM28ah3rHzRSbi7ocSp90pamN+09DBVQvj0FIpXmmP9/xxSufOCXW1qqhngllzt7gJtq0+dg8y
XApQPtCepJnubPwlpoj93XnARM+ZD642jremxjDfNkH+B++VCbuFUf4mAXk4xQmGtN0gXyy/4y6g
O2Jr182Vh22TVEHDpmv7j8MQY4ErkjToNyNayzy0mZHNwzmTlYhs4hGd1lcw3sPg9z4G+sKQ6hLf
sHgsQ6Agkk7+eznV5mMHMOTURiz4QmWqv9SGZHkHjtC+a6mR9BFNDtmETLzHxp5zPz/vamAUUZu3
hRb2c5pexHZGCGSaYzaDC5FZsDMzN9cRC7QFQL5U6RvZa61DJDCtUBS70d5GUZpvrTBwfhkKAFI8
eOWz6ZT2o85UsQxBJcfzHmvOie9wSGJGGkvwmCFzWkbsbzICPiBwFNNF9m4Ghe2FgeoKbVeAv2+e
A/KvDBUiZ/NGZ+L2NnMsnGsXB1wAAAfDKSJAI2mzF3D1Pydf75luXXxtwVq5qp4IO1E0kSCUy34Q
kG8Z+qG1debFTYauWC54bQbduh+OWNPOW2VBguBr9vv3XDow8ukx4iPBsTRiT1rlM1KarNLyo6QC
i3P0xBAc0RnbqEdhYigdsMo6hszwOvX8FLBFViGe7aFJwQ3Xxja48dsGSJY9wYV7Ul2V3HmF6qeI
8mmPurRpezc5oceBCStGC517Kei5LSdt3S3l0atL5kCLbCS6iOCCmOWpVroNRjqAXtO9kvpcAGtI
5THJUcRvEkvX9KMk1jaPDsYC4sNOCTJlaPQaftsVLcxyOzbVOEc1FiPzfgJJzAQgTbIg3moYTSSb
VLYyOyJo9efnZFnaWB1otHRtG9oWlMsj4zfVcIZ6nsCP7cQeb0vim/EUFvNsX1uCc1IPM4ZtoIZn
jOvu5iaZgvulKhk2mxzpQwZmi7BvLEIeaFz06PLbpk366t7HPWLOSb71Inn0Rh/nb+Flvv6U1/AU
dNbJWGYcng4pA3/T8U8QQwMbxZJB6KQETAyFRVuhK7c4R43INQv8KQjSKp0EcZTOLvM4Lvc9NL7i
zuh4cWcjmmv36GVDL/d5I2J9M3eZJ+8No1iWKzulAtjCbFAtA3kTM/mZBxXfS+WnH8f1CLq/RZjb
WVqlMxguUu0BDn1WXnZ4/FVbD4SZs2zc1on1I8mwBb5uhL34Ilr633jXTKQtRuTZOLRHzpz0D/BQ
weEnI8MHdz5y55GdY0KW25WxrW4zKFx2B3tBAi+TwJWehtFgaUknNYqdtaJgI+oMa0I2CLY0q1UJ
F+b1ZTCbMNi0w8ADxQ4hPhfDRavXks0VgUcJMb+p5HIqYmoIX4Ee4JSLvt4yX9267v3zxq2EvGl9
cHV70WflGjUOnXxAS+Gtx/9UlfMjkmIJicrzxri/rEDYwMyFNNLAgEVYT8oXZI340Au/IFQTtPqp
SDjpRQOfoorqxipPMGGQy4mZaw6uzdIYqnmT4qxS7qDeFPlZMKwU3WHKPXll6ApYpnDt8RnJcjNf
Wj2F89Dqe338WB3V6q3vSPmocpMt2vcmu9vYfl/hAVMuwQ1NInwjrRlCDsQOBoK3nZ5PuNV3qWEm
oS2wOw0D2+n1HX4PyoN4kCkfhEOP3QkhXbdI7ytuPCO+UINGeCfnxbqPFQ6NUU1UP+9GUWTJTWVW
nrURJiZqp0wHILHQK0vHWUCzc6x2u1yad4KXWO8mAkljE2PBor8ZQWm7ByTrkwWPTgiv2S+wC8rr
efCNHgzIIKrzIvfj7HzpYqaHZt0s5Bar06W9pZavOnT2llOcOnCcxf1kN3WOhj4lf4N/gmn8PmBG
PztJxoJ9LrMmS9uJqW+/YsiVT4a3gFOKtX70TlwYDhUMRdPJDzKZkpsgSAesZmyad1GnW1N5mmgd
DlBZm6Biw/QqOdKSBRYUVCNpFJU0zbgaaho3cKEVOWvrZ4otp55idzNi3jLxX7jFE6zdWa3lnGSc
9AFw0pCWQp5hCIze/U3NRR1cFUz9xW/ZYtTpMSez9E8HOfvFoyooapxmsE3rs9QaTOdC8osvF5pt
TtM5RgcO2WdQ9jD6iGntMrLhklSHVld8/wN0J/cqreCCQfjGssgjtlsSCGRjqrUvS96pT3gwOIQf
6pjr3HiJmOOIcTuj2lYg844e7utsXMRA/nw/plbTfc2JbhXJIcOQ3rhy9bJ6MCSfC1xuPb6ywcTN
u2ys4+3Y5ug2eGD5V8KSCrZ5k/vWDh5k20O8F2O24dbxjdVzX5wGvU76XsKYOMYKEwfYHM545jq9
w1IYami5OBVBomFUw/wSk8FYFwUGToahaLt3R2ITEFmDp67w8UD+JtwSglbjFoA/igGEzY6fx5Qd
XhvOEylus+yXUZX3hmWmy7aaV2c3v+uGGGiWsM/wo2qsbSMbc9gPq94pJAEpx/2grV7BIMrNdNvL
wvta+nwvZ7Np96PbyrNmNHxgpUE6vnA2V1O4GFM8/OYsoAG7yItTr876bDNmQTFt4e52W6OTWD8M
WW0emnxd573e9cRsuQdZiw4l7jlItu7oU1BFIGyIb0RaUq9LncnswWXP8t2dDPdDeUldRppUy00r
qpkam250515veXywi+k8ij7HC9xzGP7rVAV1C3Bd9trFlGl3XSaVvyenrNuLXtNbF1aRrvQEOH02
f3jewLwr0UkMY05zneLVWSrnzAziaYkCNQb61tFzeUuFpDPgHBj9belbi72pTNj70WS048OiWSVD
t/jvwN9mgO659wMvidzJBtA7Z8UAbdZq9a9O1bO9VQY9i2iedLEccs2g7ArRs/3kxUFinQGpS+gc
ZvLiO3CRInpGkwR3bedPME3MNvJMweGZBG390gxGYe1aqc1xaLpSe55qCPlpVDSFYRyEM5rGdrYS
opCcJHGMhqE2jFAqafCI1WBTwQZ8+OZZeVNtYi1Ot3C0q8/BBLYbSpBf4EJHL8rI1/mFLY3APCVl
uEfHNxUhJlbg/4ba5suFV5Pd6RnkqFAIzE4Bo8mvFH+AEshpsbT7IE/sD/ztwOKVfDuXVqyYYHSJ
jKle+gIQB8XI8XS2HeNDc/JRhZCcxzsDsN21KmaL+KKj3HcoRz1YImeEonc0yymtNwEmEx+1KLyG
ZLXPnmrMUwryHYL+DbyspeYstudmm/aBfI79wugKMgXiDTtj7tgH1TWWpne6WL3V4oqV5NhqWQa1
MzYWQQJcBc2zMg2AgHastTRPsjIhP7OEJCmtKnfZ9BPUltBQRLVg2xPfZJ+dHIqZcID6CEkSXu/Z
MscfauzYz3F4CSp2dZCvwFN964pgiGi29GO1hASHw2eXKa5sNxVW2JnPuc1QXM/UghBGAl7YnvCN
dyu41Nu+jbMvrRphjDsAmZ9gzmQDtlYjNCM4tfisjI1BgbjrYKteSBlDQozZ0qbzzC9Ldp/KL6eo
6FuTuKto2zNixQ7CO1hrIwLNvTxCrKET6839CJGETY8kU4zduEkQdflrdcn7hGIPY41Ge2UeAode
6qnd90jbsqQZXudlwJfdw3ABLqAtUqIKYQ0iLGiuTQhUJrVEKZUWKjIgYW9bHfzchaalfrE10yB7
4WMsgU1z5GIVSlK0t9I2H09k5wpt61PoB8zC6e4wn2ok5sZr2goQW9C0yzaO/bgHUWRjgkNTsXY2
iVDtEOYW5ByOOA8st18HlCzw22xSIli8L4K+AvDdJQJDI6TupdqMtNLqrab1kCG9QLgWcFo77Q9a
XNvBCbxgB2MgoZG5pxSqNoGfJFg1mOo2qKojZSh8pPjxzDQCexqQiQY9YE17xIxzA0+/wl/NDOS8
Osf18cbsbBlj8bu4+lY6c/ZVyQ6HeaUWKz0B5+kk7oZsRarbPi6GMZKMwlE2Gix8gH0ymIixQP3T
h3VInk+4eNpWugKRs4h4DKGZMf8gLFPeiNGz7lkevYh6usRnRd8YTlhp5XiBrJU6hlYVkgaXpm8b
J8f9y5gylg9Vr3tAr6bJt+Drz7DHjWwbNDMlodRiLCkasAYq9+CY+dcqrz16IktOJdxoPAfHjjTT
tY0PsYrEEkHZbQ8pPOFwb/R3I85cP9SozMBRnESp9tmqMQ7xSWkvVU0V4JymLxwyA14euANTBqf5
gkb7tJoIyCOSX70+AIGtkmiuG/aqxB/8ex/INccf8VS2WZjYE8kNjY20uurJNi4yj+h/49kalaJ4
bt5bDZJPVEHX+wq6brlz6FItgOoHy6C2lpVnWSEN5q6AhyK1d9InKnoIm4uxrw9eDGyUA42HTE1p
Hi7VOC5WyJ5PgKSrtDjtRdkF28p3CXsdUMTsnMtT56BlwwWlRSpNjDfJPSVV7SCUBaOrgThF4Uqb
+vT3+bh/i45z2X7Wt6L//BTnr+13z+af8DeX8rNnOOjzH/zF4R+7sf54FVlTf/8369Xfm3buswTw
0n/89sfJZ7N5Fa8//Z8tm7CYr8fPfr6hGVCK/8TBrH/zv/uHfzgz383t5//9P+/IyXE5h/TAr/Uj
2YaumUk78r/m4ZwM5ec/mi/u7K/+3R9MHPuf1jrPHazNNogACBz+xcSx/+kjy7QC+gM0UNeZq38x
cRz7n6vZrL8KqtC/4AP8LyYOf0RDw8frmTIX84mIQv7zGVz93uLj8f2X5qPfBq9Y0jpmcHhNI3O2
kaV+6+L2zdSYi0i0EGPO+CDiVwXNlsNFxw4TGOP1OoTlqyDdNi1loR+e1h+/y4/Gp846tfJDF3K9
uGGYPjr/VU5sfm+H6yYzH+ZkxWGS9HlEyc8YTjQmzMJ2aOMTeq7ERv3kimOVJvJaG+0C463M2Jf6
NBwHH3x/1FTFUEWOPQYA6YryVEz8R+Y/nuRcUdtI004/5emaFMU9AwhuEV8Rxav3aSJpgu8OtbQa
9Hib9I547HWTkR4/rwSynsz8yAyJorEZLJnu6NiRJWLL02z9csY1gjP6LI7T4LqaKxL8xU5hqWgY
VeMDOakHVLk7VyudV02vOYax2xyzCMYp6HE8nxaaHV7zNQvDOfcxOLN/f7T/1hr97+Gp/nYl/y9c
lZTmfvjK1lX/x2q+eK1YzXevOZC6Qfy8JH/7R78vSM/5JzOcDN0xboiC3V1ZJb/7r7v4rzMix0jS
qin5CVFlG6w5vnk0csy0Bb9Zs/+BqLJc6FUYUvAfmUr+bRF/W35/txzXm/lhSayEBn6DdTkgcWWR
u98mUqwqNebENlcbSHtKQq+YxQk1r/Ksq1vrTXQNiFcdG+5tPpGyFwVOZX6H8s6e4oAoxzXvAfap
beIN+TZQVXsy6FXi4o9eQM4u8Zp4mkczf+TvTJeeliyHxe3055yBlTe4Ci7ZxkwgQmEnIvnvt1aS
/Epdaxr+ehP/f91zk8hB2BVd00RAwVD6txmL2Ox0b8mVsTcnOoBGNrT3PFyPmqJH7XpHt7fexmyA
88aNXXr4ZRvTPa/rrVrm8n3o/Rr3LN26ZtBwWncn7yFIl+SWMv0wwuieLJpITurvbDNLrtMmMA+T
aclrv0DJhjTI6Y0NdbgUW7RFUVjylfsWxxgR4k3IkEGi4jNMP6HfxzUPxMTVqUr7N9dW4qCqxNqx
zfuvqlyd9TRybmMnO43qP5PeYkMWNOXHAEeYxdHowLhGVX8q28++REPr/YQJQaPfz1PSN5vBxPQA
xkkf9l5QnrX0E84NrWfwQsjVLa8w20srV64Iy5FsPlhrPUXDxrIZjS59BzwYPGEvSImDiHhDUsXg
gi0Sp10D4jHZKkr8xqa1He9em+TwZJeTme+A8bT0J7R8rerEuhkt9COLaKI++cDx3FOpplbGeTAV
W2+u/HO/UfWJB751KyEnHJIRC3rIQ8RN/awdyBjzK0oyzT6GJ76rdD3/8ttJ29ZjGl/4cY7nj42K
88wZPfPcFJa2QVqjzo0gbu9KL9N2DIr2hyIuiqupKbNNMUgKrA1NpXCa1LNwslIPZyWrDwWY9GmJ
E+N01kf7nA1Z7mZC8gd7rIydRbXjXsT56qiyJADJUTXSMs31XYbEmyyxb7sPmMbOJUYMqxtCIvEW
SuhJLWmTbEqOlwZPof6ooUO9aMeh2c9lrDb+aIodHebhVfjBph37i0Dvt8xFLVFdTc2httRw4vp6
dy1a08KFrFMbDGYjp2yTD3YiHEi9psDWzUio8ujitNYqTA1aSzvJ69J44GgeQgcPzn3DeRPlpV69
FJQjrwdIm1+r8RbVq2LObtslrRcQ3zM80cwWm9aY5RmGNP54rBt9fvYKsYQ6HV0vpApVGKHlAJ+2
rJhR5jphJ1jmk8U234Ul47M+wbOJlfBGN30mJaSaZeGfRcabIkjR5ivH1fxPyxfnKXU/YQTN1pFA
vB2w6TR5ustEFtuWoVjAnWN+NfnYB7qqdk47heVA4vb7NI2PuDDftIPd4oiyfLgNRFUVYwrdjmcY
PVS7mvGahdgjKEzKrXMnHyfTwDLUfO/LnIKSnnxqxi0p7sWCESli75rifnoNzOuhEfNd7/bHOLPu
tCS9LbLqxky7A8WcMLCqjZ9Pe3fMzi0Xt+VYDSs/k6EQwWIqao99rb+jzv2q5dND7+G0Rwm7Dlcb
myIhvojv5wCj4EK+pZZ9lxbmywxA/dyl8Xep9ZiRZY6wrrBm+JjTJEtCodRFK7SzYnaPkuTcGIyD
jSJt6T8roPcMUWjH1jKgaErckJcBF6pyuKMtu2VHiqwY0jP5CAq21j8TFNtDLe/v7Lk8w7kttHS1
TSfK2Itz0LspxIqDAMlOs6hPhYUfnPVeumsJqnXF+WilZHtERQeKg3c2hb5jrxz8ndK8e7dSrd7k
VVLslOHgSDxfGqJ50vLU/0Rsph3c3jnm03QH+tfe6o5obg1Hbs26TB5NBToD8nAEGybsyvQoAQXb
ORMsQuxdY9w2rr9EBRtmWeioWV8cWWNpYSXMxeSftdnd5JXV0hFgexfuxTyV8HAzih9YEKFBvkv9
izRL73KL2grS+o+44OerjmGq1ozPhTdSoceCNR+nGw+PLow099ma0XU2JiJOdiwlTqipjuWyfqmU
fu5RTZ19CVG21M6lO8ntnLXXvFwyav+QSswSdeWlOLgMN2LBnEH3CNyaAUd6Yl2N2a4pXk40Ozvv
emfrMCzhZH4XeUhNQjLHC5OdasqbayY6wJc0ND5MPCchyD8lmftktu25HfCust56zIW/hbd8PaYV
brLGtTFirKz7+bF34WfpWnCWa3gxVzHN265ltDFhslHPs0u0GJcs6luN3D/z+GmJ6w60BU8MjNwZ
9vHA0Sq8fBez2grpXEp/oLbftpeTlGetNj7TqiK3dyIMol6Z7oumWamIkNXbz3p2uviDFnbBsCcw
PzdmOh5L794k43haYkiJZxz8Xu3BseozY9LCPMV2gerONeVaTjUKzbo3bwcacZh+WCcT88eMeQTM
jZkbwytDBq62tVLUEu9NwVAAaGYMe6iKbp2+UyFWnqQbRn+mKudctW6+t9tP1ldKnwlexGLR6Y4x
TYwcNJzblA3+zEjKLsrnFbBcKxyIJntT6MMswsbU6ys0oupu8V0NKYB9gxEfpbrKpqGINXu4MKPI
9EX5mw03X49WBXzfOscgXV1YZv4hX3Saug0OohTsrWOm1/NeqtQIGYXaCusVxU++mamwhE5AbTUI
ZgBNWVycZr527iWzxocD8X7I8nonYYrfavhC0AJrgTJJb7yJGxoCwr1crMp6UOCa/LM5psbQDBga
lDsJRMFxvaOPHWJZOluKIbsKkCn6S3XuW2eie/BbWhrS5jUNWnZV6euaNulqzxd2QtW/Nh48zbu3
5y5aZOFHlH2fzYpBN3KUYudULR6Wqq4uRUmfcLKGF8/trxZF2bWe22jG+irBuzBfjINniAefJhMf
Yv6KRTu7lunvxNB+dAYdH88rZIjvRxf2DuVkj3kuxpfuGwYCwtZp5WZoyzdsyiOGNcQG7SGWoUKd
4JZK/ziHTkxIeTsm5kkLEbHusitaFbdpnt4zwncaa3aEiSoUm/pKeU55Ufe3IyZcpULYi7YiiRX9
rPpu7kYq4zhy8KUEe5xDj5RUOs6x7kg3BepY7NzzGz8HI88sbiCr67uCgg3PRn9SqdoUGbDtQnzl
cXseiI4WVrUP+uBZ5dlNq2nclr9FyO7s40TcWE3ZYk/aMZLeZi+pXw5AmSn/upp3TLz51MBeGYIG
exVdxHDWKgx0dP3QpTh19YsRtXq6WZRCOIVHZ8NAn/LqswGT8I2nxUvU8qGG9nSSKcx7u7w7y/2R
Kjo7mNvhMugS6tNW7a9Mu37rdXrhMz5fe6YI1zI1VnTtrKytULdJX5uROcUMluruDs/n09UQLxtd
nMocD0+0MbvJJX7HmT+BEIsTfmu8NOQwUSub5EGuVt04Hdk7G8u3cFx0sgDbTfZI+u+V02GNWlIV
HY3t5IxbY9DLvd/EmJOaxsDYEcMw+mCYhwzT1sgk2KaBlD4Jo92nZXnUyvraTgnJJnaUcBTeC/XS
POyR7rkz/KCkZRBKI7zYSDfrdo5F3N1kyVsRU3dwS3ZKSglbSmt6hITrgdLQ/2PvPJYkN9os+y69
RxukA1jMJhAyI1LLyg2sqrIKDuWAOzSefk4MZ6x/8m8jrfezITdkhgIcnzj33sd0XW+BuadtE+o4
IRaN716nv+Y22Fr18tiQTgECFFqHyioIs3b5gmfOxGIbcDbJRX2AduU3k0cBzrV1doKle6sp3Y5Z
Fp3SPLeT0Zi93UY+4U6k+qzytxMXVyNv81Zaw0Mbum++Hx2zFDMO+JsrsJX014tSlLhey6neFHF4
PxMD0zSyPOGXSCRIYN9aoPukM7afIKLE0SIXSGw85kk+URleKmxCUYYNJDhA5zWpeVz7/K3o5dHm
oGaKlQRCJ3lPOE8WvkNjXR06Ru8g3Rm3m4ZUs7l8DVebLBD41bLmQnWW/o3V3y3b0Y0W65EQsneR
rUzegwd3iI+5nl+nmbC8wjo0ffC1iHOWdcV+RPa4Gaf1vI7zOffsX7rDiQX58rU2OwMKf/M6ypx4
JS/RA8HqAlbTbAyOXhd039shhYjgPYyaQDEEhJ9KE9c1Fet33uv3aMo+/M6+07kk6L7BiNRFwrmp
1PgDL7ZHIMaL6YJ5a3FkbgsRXLPVgqxPHIOVfBa6Oa6l7M+j7ARTccmhUFShD109X1Rns7vR2Ysi
7PKABSP6BNZO0sCUTf5yW2RsYFqysbIrBQluk4iawzVjJ+U9Ec96Y0IBlUms3lAMhFKyL503thEc
9MWLxxYjITJquwbeb8eON049Xgq03LjKv4C0LTsd9gdY6zfjmaeq1NT1HLnQAbgigkv5Vr+fynk8
DEUjXyovs9UWrsgjPErEzXGKua/Z8Qw0jHX0gTykI3NxKA+EMEz7ZnTjkwpG8agpu3dwCqZK0saZ
T/aSKqLtwhqkK88O5AF7vxhpu+9RI9n5OlO4Yi6SHUNJ+GlPL7Ep5pl1/Wyn90XnIz60Gm3YY+GW
eiP9OP0ZYMjyYQcj2TWUGeQ8tayMHuionCxRs6aL7Yj0SyqFkUlSY9X4gns97dxY0VlCW3i/SjoN
zozcAcYvSvN7EsO1n5CTd+3PnVPjW4jx29aZ94E21j0SxeqrgUs+E9thHS1ExrtyLKYTKTrDUa+9
dRcOwifRWJUArulcPTFF8fYsFygbG63ER45QMwlKAbRVOxPJ0tKO9iruQPPDSH8FnPWXxsZhc2PF
bvoqjB5/uuiAbtgkth/CFYJErBXvKLZJ85X1GkvgZ2B5sER1dHOVPhd9E+3z2PKOg53JL3deiZHP
QwNk51lTHR1zu2bil8U6SsionH/3pbTu2au4GxfLT7Ty066JVX1YfL0YjjsjvtLBnx8oJxhjsk/y
7zJrzWlcZowQ5jLntCJo9qUvhYc4TvTHHkHi26Qt53vj8eWTKvxrVXH4vKq13xEBQ2qgnrO73vNO
lSzfotxuN7Cw9mHuutZKNBFKO6+RzS0A63wweojosBqAqA7mbXAskC008Fy0jbCe+4yle5LqkqUb
zSUZYSoOCEMcXHlIQ8+8XgOsfk3rOH4W2L2cDGbne1MvlMy+tm5XLNdv7XTgUZhO/Y2MnWafxSt4
Bk0+SJuU3ytOdHhKgcZ6syKJOY5Y8zyUXVicnCbozqQszcifZXAyU0DynQPbO8FjQeEFzbvO6uk7
ObDvrAsPPbFJGb3UQbFHXDZDJvIftldwrrZdLFlhrkNeEyGbxslSGpJm5rFiUkLqzU8GuMXZb/wJ
QMWjaESy428LFyy/8IoUpmNYr+mj7c3YjfpW+zjqML2/523PL4VQ4mCcXu/DLDKMooM77dHLNYD2
E8brd70aBLe1NYXHLhv7cyOmBgq9W3+gfKy2ju/Ij2Z05gNPmOpRj1n6rcCE80TQHhIUUnWfutSp
b/WAdcaGLA/5GnN8HM2Sx1eYnA13sgiM+vylC+m9wuBuLieyJGCb6z1bBLWVgckTou3GTRPm7q86
D4pvtBDR15CRW7FAs16aK2ymM7m8l2AELwAW6GXKILz3+ynaQZnnu9brCdMayyVZXVNZnAwstTJa
yptU1fm9HZac2nPQ7Y2Zi3c/7hUiC7u+hwnOoMML+x4d7fRYdtN4kWBHn6XDk07IIXiUTkQYYeks
IK7XTPZmWT95PsCLBpES27Lxh2suOysv+LX8th1RsENmNupr6FpKSGrWSxtr9RAAzSUs3tzXax72
Rrp9e3bIKHyxw46nDJ1e1yWxyqxkXK02wVQAJJgNa0L873imW8lPcdiK+1jIdutW1rqtA18m0Wq7
Ly3aziOaomKv7aDbiTkujsMS4dBV6KFJetshDnJcSnB+FqAdS6FtFvKne1BDokNRe0ehXb8vUcr2
0YGmcQIrPUNm4HtTPwsd5oc4HWdqHIoKN2eKY4baf17Dbkxckt23Ig7A/8kD5iWIUf2Q6zpsYvLm
zugV+9d2tn3iv4ZoV4xKPq8DloIdxPlGR9hNhQTFMEAQi/OSQjXrTdyQKghyEYQPlm3pR4PaC1Fn
Vn5A7Y7DHtfV8Hbgvtw3UpNyWveDddcQDSiRdNMIVoCM3N1hU19TpbJzXZrO3k+zsfrbpcEaetOD
4oB9E0RP4pKBa68JIX7NUyTNmwXj23sdLIiZ0/zaC3rckG6oGGCz/0T3Q26ieIpMJF7qdg02I9Lo
rSzIwkWdENxXVCd4EvAWE+M5XbeJYzrnyDR6a0joyRMxL+ho0qa6aV3d/nTW1jl5EtyXEWdzL2KX
h4JlEmd0yztVBv0T2aXOe9T3w4MqDUcUEi73FjY92A+i+JZXNUaZpb+mzyUa7wObyu7DrS3vp5Xb
4gBCspwcS/f4Utbpz8lt3R9DbrvPAHDWjcgFzCoHH6mQ6AYUxT3zWTTBVT4jKUdDQNgWJzIzD8MV
PjnR7eAP9JS5nkDGF2KjPqMqa7535Er+wHLItDvW4+aI30yDQWfep/R6U5wfZVnFLxU6vX0/gyg9
EAcaM1oKM+FuTUj6225cBjo3kPL0BFDCEWVj5UtRn2fDjh7Ye47ceTpM1hI8yMKNIJj58xvtDcNF
Dbm7n0IKR2wB44rQAMcURzNm8ZvQZbjrK8/ZrwzIScge9MyB0bbjzdV6h6LWlwjlOgLH3N3IwOY8
rZE5zgNhnxVBWAe38/zPFIj7m2+Nw4FvW92AHQZu0hKxzqRRLDVaN8L3ZuWk9ygk/TeLAuU+6JzM
QUzDTVo3OZRwgwH6xmlb77XTzI/3sV7zl7YiVGmSuW6Sei2IzC0s8EOwYU2+5cFRjn9S2ue4X9rA
YNRTjTtWSDaCTLks92Ztrdtcifln5kn3qjNonvO5bXBEnzP3bmjV9ADQ6UIFh12ZZDWIZAso4yZz
bClcAdxSvmgrtk62XQ2v7tJbp2XmRIKGyvRHVAxfGUoalI+4jMAhFDusLcXFstwE2H8bjeohzbL2
aGX2Cjex0k44bXfQwzGbfbQOZM+VjOBT+64ULSqB2SaUtMhyc4H+dM/p0Nn8oo4LZNjRQgDx+1u7
YALECfaVDS0j6cbxbqELzEvX6va1yWxGRxLC9AYEpKyJ4cutnYNR8i5CBk7C6+CT2QZXyJBNju5e
TeCDhoBHMFrqK2UCCtu1JGmK4fArTV16HsXYnGkwzd5Vffs8xZZzM1faBS1Dev7I+Ky58ZAvEc7o
z2cTk8Ze9f61n5NEkIMHc1V4zCZlq8PnrEkzan4rH17axhPvprHEYeAzvQUT6GbP6hZIGTNyj9Hv
9xS9nnXbTEFY3wYkBq7JpIoPYpTVTsbabGXFCmrj+3l8LTBIrEV8UQY7kw/uwWPiPb8NA7Q+LYaj
bhdIVW8L9buWuysxv68nTp17WKvmnsi0gUS7UpWIHq3GfOvAYH5qDTW1EUrKc37NhwR5jh6JamA2
3LXq51q06ndNJvqeUmR4neqWe6KK/W9jN2BIEpZN9dyRzXmcvTo86cxhEktMl3Wr3Ky674hZQtvR
WCdkq0SM5768bwLtXTQpaxtjY/ZeVnaLlhi2kFx493seFa46VP1Ckef6SPjLbBxfGYuhDevzrNtl
qvSSaGl8xGxxvUfEJU85p9K5pOZ55fr46pSgMGC6hEti3D9Zfdy/rN3I8GX2rfax5qjBLH31uBSq
WqrHKGbtYDO5xKSHgnlszLhjCaC+2CLow6SWemZn4iw4oVjcO50GoNyAMNaXSjG1T8PhET6ZPUEw
VS+9bO2dr2L3hrVgd43M8qpd2KnmVZZDuOewMwfk3Xqb+0vZbYM+y34EE3qKnZvzeHDQHA6CqRHq
Z/OT39WjJWv7X+FEDlXfW/aDiOf1rrdDd+9IFzhsEcOtmmyaJz/sEGnbVUCthkiaasY8pClxkRCD
L3Eev5ginZ/qsK13gSX6GUNmOyDmh5tqnzXB+kpEnBA0FdM0bPKgNtTWE6A6uFJkndaVjajVOVgZ
NVH7ZHj4JY1BEVRFmfqs86j75JCZLj6O4bd2kXpnSV9zyZW/vmYuHGIfivazlMZFJmyLZGIH+KMq
GudFpd0X8eFMaRuZ7ltGKheUd0ANtvaqMeGXQLo91uOZhLr6fgSL/r4MWJJ50XzjGt5rVTaD2WRj
p09MpOcHoSK/R3jLBDBhjofiWgJlXVI6rFXM1UMR4B9X+HV7rm00uSwHVL/jMYZcSYnxlVOIYQct
6oHWiuoKR6/FiRABgXoy/vO+4PzwdBlrV7IdKT1TJwabMTIs834vVrLaNhQrzZtlfOeXIA2ShF42
dXNaLXva2+nWrOu4Kwirg1Xs1M1s3HMF8c1lIt498iWOSPi8/VI6ICGTbql8US8ekHZYPTywXd8N
HesHt7HuqlyLn5mwv5dIUd/ihrkX3CCrC7s/BGTSb2m52LGXMbVSJ9+bckB1G2W4cpBNxu5J8GMz
+16YB60UXVHr2aQNRm9ZzFgzQ/WVzMRphONw8mzEE+WkbqfKIRzVsp7Gznhn9A6AXtD+G5le+/fB
uQeRWd5VwT5lpvDahEAp+5Cl6bbUhDeqwRxC0Jnn2c1OLSbiGzbyK53omjQ4OLlh/Zql5hU3uuiE
e799osi4WTyCBkew8k1U9dZjVkT3VdHeTYXaMbO9eI39mSp1jrS9md3qNDvxUzGrx2IiJL1Ya74K
j0DzOH3MBhO+Od5aJag6U3T91pVUFqeCylNs7Gm23yk7zWawyAxW/dMkdLsZA8veG2t+odmgra+a
g5ioqKtQ1D9Jrtc3a7F45cYVZpw2SNf9HzD6JNv4WRwm1pw3IOlBXW0aCt92zyxsuZktzxBR3bXv
mKOEh1UGbbLmkfceI0rDhW8lYC5W11FTOz313NJ1Ug4BW1DPw/Sh7dBGb7qleOmWiMjNusAkYBaT
Yrgx1SeySVgDR1H9yZKbnhr9K7qggCUQzPuGh/KdTW9JyObSHmP6NvwtPfd30c58CKISwk2z4l+H
EINTspPVI4CGf0dLyrDXILg/OCJd70bOwsMc1jc8sMb3YiBnvmMVv13LnlE+nfnJnWX6Zmvh7MUU
sznEFoGmocT9GHuMgVuMjJVp7yDI2NdEUraPGfz+dMTtlAwcbUq+pIbl2kSobBEVKwK5OB624rqf
TRwU94yX7d68YmMOGj+u5XnxOsCnKfV37cJUVNEq4wIgp+EjZn/4hYqQ+dgCBvtpL0HzRI70zM4I
9spb6+XMKFjZ2yBoglO9VnnAbSHVrW1Zjk76oLvwqJ5eK6szlw4A5zsCzI4ZH1VGjMa177502883
cyHkOzRfR5hPiIdEjH/oKWbZfIAbH71NB4tBmm/eepRgNsy1Aoqp8dKMeN7iL1MNiU3VwYBlmZxn
Zm/jK8LMYqWxroW36/xYXRbU1s0O7NdNbzTCLI2VtG/qPXt8VVBYrQE0/1gQPR76t2E0lSz9S+tk
LeXAVml2ntgdasYJaj1Qk+JpJlyUCqRB1TepnbfQ7R7ZQ2kZFHRVi5vvSrSib4EMsfZkKXll+5Vs
3qpVlEi1OIhHrdWjMzvAtjDCtAhr7NxSMPonBtcW2q+scfkqGpsCDRGgifd1NYkd09sGOugqgali
12xFH4U3dhu+VFXEgArqvLgz9KXnPEBcnVoOeyi62xwDIx6wtn0QKYIO15T5w1oFKBtoPMhoGLgB
E+j+gesRd4FQOTn7ol7fFy0nIEu38Zp/bm1FmbsJT2w+H4tF1v98vHzyx8eRrFzQ30zDYofT8qKC
oXnFDS07LlAVZA9EPTrdIL0jA6Q9pvJRus2np/L3QF9dPCIZXSnF8RnJBtEj1K4f/tq4D3h+91tq
r/Gzkyj/+rKwLi0uMVVS2thXt/g6PhB0mT8viBgfCff84eZM7ZCvLy3DpzKw/Y3tLICHKI3ZdllC
NU8OpeaTUqV4IEQn3IYEfhPDAtb4cyLM8oRodGT/7TssGTjDLG1bvwnMJmg5KOQbFsjLnuPAO2XG
t5Myqz30Ot4qWY864jbuGgmCEI837VDTurTG+dFaabhloxtccKbub5oR3nipdXRiVZjhf6J+yLR9
rqAXyQCnX2S6ymvo67VEnjuff/ACjq9IJj6I9s448e8OdeNL4Uo3QQH6y2t1d0a0U+3owJdbdAbF
PVPj6IXVuf0ko2F4XNjq3OZVyfgzRcQ2D2zGNtIu42cPsS7Sh7CIv9Pg0z5pul+k2bV4nF3FzGld
jUlct6CxDKNFHeVURrtgiYJfXP7X+PXef+sylR1p8iWjJive048e4yJfj0NQI1qM8OnYjxbxwR7a
DkwoUBJvNAz2j6DHfHcTLbW8w+wi3TIoF4/2eN1h0tith7DOkZ2UXjFtKqS9WeIMLsO/ysmCE0Ms
56FWUfMwINe9m5aquS0m6SH5Jtd4hzeuc6LHZ8OA2UuSV7r7Xdu5fB+sYMHDpVwLVh2TFe2QL76u
TL7emcYxOtONf8loKTdqRbnUTOBBVcZYhWVneMm9qr8vJoLBWwPlHqGt+Zlqv92aPEJ97pbqMq5N
eqriio2kazhl47B/Qkaq7rylyLcav+kEz0MHYXDH49MD6PO3LoXctKLsjHT86EkfPVRceU9NWy63
VqtCvB0i/RZOOw2bgFV8/yBShF4DtILdtlcb8CrdNUPou0klRqxfAmTm1/KEwOCVKcuw2DO+DV6Y
nyt/rM5i7Jft4OUFKMO1ZYaGT1LPn2+M7tQ7s0UQmaxgE9eUZxVLc++EbX6gsy1f19Xr75dgKpJ5
setvDl3eIWtW/ZF2MnoXuSW+fHydqSeAcSHU5iSaA2erpFO9mrZ5nbp6i4hB3UdLp2/segzvBnu1
+I61jzNdP++HfNDnpWusAyt5/FyqsXlg5s9ndbzZwaifNf+JuXJKNLo9H8rSbuWWKszi6azb+2Hl
dDSQj9YmmNRw3+kw/o6qLjw6nu6zjSeG1KMHK549w++1YdUlbtlnTMe4d2rEEZGZLm7molYh9hpt
TB7n3pcNg7dl2H8bj7XP5MXPQmAIpjb4cLBBt9Az3wwjZWbfIcRkLdoOG8HC68VxwAZ8S+1Gy6Q/
ynq+Hq12Pn814DsPA418tHUqu8LxBy3hTi32BiLyV19Thch1eUEkDuTijDe8jnfGwqHbpZh1AZaI
Rn92YCxoNLKVEajvyieEw0lM+7xDktfezsp3o62pm+AryCUbfTQY6x3TteIOZ5J5JyJP79D1nHQV
Yv6TUf6wK/f9WXH6++ztMQXC+8kKrO4fYHHnz7D4FRpl3k44QOxjoBa5VzT/Xz3oetQoOQdTfhxS
mSWTZVRzyguXo6ZnKbaHUTE7/CvmXUPXdomiQWabwQDm/UNgxp/d1XgfmPp5jo33mc12D4T9z+8j
z51sbuxJHAKJt30pZY+xS1f84Uz3/wHu/3C9vwe4B1PWv1T+bwj39X/7A+EWINcYJ2NgxC/ACXW1
2f4D4Q7c/wTTRmoRY/bIeuQamKEa08v/9R+++5+kMhH45yGMu2LW/Ln/h3CDhLsxdDfuhr4g8uJ/
Iqj4s2Edf93DxB57cwBQ/uVcX+ZfL1O8vDxVBcAPbmu6/eSz3ZBO7KDanILDpOXwDwEpf74c/3g9
/DP5ZIKYGE/85fVchJAqrgPwyFJDGlp9ivjdyjgG/wWj/2/EGn+5//7vC0UOJt8UNtit/sW70C3Y
GlqRG+0qm072yLqjqw7az8O7PsNm4bbAsJ6Re5gxw3RKkTo3VRmD/LFZgRL9+zfzZ5M+3ouP2zi/
O1br7JWdvxqBM6WLmFqJlEJ3LY8RhqEvoojUuV5WPHL+/rWuX+B/wer/57UwoeSSEiFCHTf8yxc8
m3DQbHji3TDP1gbbZ/sBJhmSe4zrd4dy5Kzkmj9Y7tj9/PtXdq5OoX99aa5Ym0/oBQRr/OUrJxm9
DDCHindt6EyXKvTlY+8Ic8vuEC7UGW0WJ4yo55sRo6F7yfcMJZDSr84BJv7oldNz0Tb/FM/puP/d
24quJrEeB6H719hRp1XFaPkBJF+j231E7DsQ9AKHubg1GA4OrrM3x3vWSBi7tAOeQ6ulztScAoKO
sv8ffqB/u+Mwh8S0mWe4hxiKW+/Pd5yqg4ytMD9QgwtDjyOvFkxbCrPGyYTA79RkGY+qv/9p/u2u
u74m9/o1P4Z74d+ycep6Ee5q8Zqz7i8VwsetAJPd/v2r/Nulx+OUqpOjjkfW1S33z58M/TCO9/kc
7ELZGu8Od69ePrZ2OSj0kFb9c0ZqGZ9GV4XtsSnrTv/Do+6Ph9m/XoEcKkSHYQOMRbUXes5fr0Ar
o71InW7PXlF42DyWqD02APLoBgwq0u+jG9mfM0L6T+2M+atf2uzxYqTA7PO7tvmuYLt+VVnK8LuS
NR4drZ0P616iwYm3aY51CmsdpFn49VnSvVeuqO6nQk9yl5X+8kIdbevXJerFozstrIJrtAS/GfzO
PfZH9YCNnaCyei3MPEM4zrO29S5SwxK82rhjEW0X9pVZj5YsO3MaDVjaNtRj1zBZdpDEs/KIL/jl
1T1j53KwNiJgKrFx4cQfijLP+YqR4+w0O2KZKBf7iwPmBzK9Mr86rI+sl4S4137Vvnms1S/hMvP7
MOytdfyjbgSDZ4Y9yovLxLRWqB56qbCBwvJ4Ai3tnN4G43fHEckb+6ffqc2Hfh7NGPTH1e6q7kFq
Z/1dozdrtlZQy5/4qc3W3pOBz3Y5qkiFiiYmXJvRq3sHwyZOTjDf3v2c/HDpNiqV62fu9ux5cDiw
5j0HSbruzdT230o/jntOjVpiLTfbxbcJBzR/2/j0PBvthh6ZxewZoFYi14rOIoeq2kwtpT8tH4fh
ptZeHp/t3DP92c1w8NiQbrQY7JlcWN/VsoFJOunhRizS0beObeBa+7p2hwWge6J2rzv83Vrm41Rq
aRgMECJtBZzmiRArREbjNLE9hKrnaVrxFFQkPS1Nx2InbcT42zSxtJ86jkVBWxA0cwjKUl276dJ4
31yMAjSfmjH/gwzQCe+8ytTBE7P1Qm7ZWEn7xwryaVUJyxv1vLR56pyDEBnNbYMJeB4e+HnmIim4
Mqb3gW9vPmRBX40H255orjdTw9lgQSnqWJ3XKfM6Z7MSyrhgbeH5Qburun70OSVr9Op6Trnq0LGP
jFcJner2DWMRjV2dn/4MRysvb8pqZse+jpYMtjZPe+BlKy6C7dyN2GcgFWUpxM4Jepz83aLYNV2L
KdQKp4VnTFc56bljPRQnhRPUXWL8In/BjcW/rTHHm7ZD7AfAeYGXhaizY7GvkBMXhxQ3LxTKrAPw
8GuEDaQdzyVECq3RXYOmRiW5ksOJo9Tis0C1q+2iK/QnXrRW3yl9xXKINc5g+OZUlX1vHNngnOgU
7rkTa8QdavfLr4J/fC9Tz5k2lAiO+8HlKvoLtn/KOffKWrGjH2AyNiugWnXgwMBWLfcUq8FoDKfs
x6yyqUuCYk4Dst4aoQ4jQ7dvcQgMD3vdzdaBlY0sdiwcBIIhv4V0IEdntnerN9H1EZQ9zddzbLrg
bTamhyzzMAqy6wkPDGxCZvdoykrsg6BC8VKGSkIdDn0rUNOwF8aijSHNppPFiIxhCCxnV6V8s4kq
S5exQ9V4GHde7aJ0Bd63sYMmw482t6OPNcvzu4phrGb+lNtMJmS0QOGKNW22etHOF2ZP7mnC9Avv
2BKYsSG8/FPih+AdmNDr9RB4vfUbfw8EE8Isy3SnM5ZukOAmm+6yzFmC/VR446UqqQ8+gizU9hGj
oFQyXMwCxCFofIMyAhOoMRjlRxsrWn5dPit239+7WkT3ucLthCGng4di2TTukEy0+j022H7+htUr
tEuKGpmDDGyheWYqUBi+jjStzssa4cHVO06xXMKi6uubeJqaF+aFBj+UFcvPTdZbsIBEKV8NvRh/
tpBJLXlT3bzy22ByGA+XEZ3WfLBEmEO0wA7Gu05V1bsicW7Z1osZEXRnzPErDEV+cSwTTxqmmdXu
W+l6XzHzU1aWgS26vZP3zrrJbG/8oPjWJgmV7+H+hCqqP+cKh8OjmclWPK4+nNBpDWvZ3LQyNGCB
rstxswlX6ZcszAMctvJcGSCZwbXYo+LxiLuL33jy4rVW/yuzHdU+MeKY2EJkZfhoRNyuSPi8HKOe
TovbNpogiCuftnWDzUn2HLUVS+U60Ha/iV1V/MYbvuqT9CqrAjwKMDZKYzy4cD0PV2vvCjb4V6/V
Co5pBkvp9hCt45mNpcbat2+DDmXO4v2smYoEeJIM0bLJOf2uVhmpQGsRtSB1U4uuYok7N99Aq/ER
S/a2J7XakK+9atxLQ70R8+hqcnsLW9Yt92HIqOi8pDAU7z0Ozc1F+xg93EEfyPKQVbFFXHBcjWQd
cbV3yiW3b57Wrd9yTjIIRWldHv3em+J4K01fjAgmgSfcbV+zf8OBn2wdzbcJYBhtA90PzgdPCgB1
/PFCcW6MaSGIGHUw8zdTLocPbNwxBPTLEblc3s5uxDDHqU+18E2xg8Dvl59L2IXq3hEZurYeFYxm
Y6vxQwekUnZ9MzttPty3yOzS7cRl+25annuJnnDePOVhXrksk4rp2eAdubz2MiDLAUFHaj0ozG0e
wjFjoTcRRJLfNLUV3DKjwSueUgEYjgCkPHuOLSv7XeMzpy+mEXG/dWfTZ/t1bKvipoQZ7X6m7qRh
o6tZdh+mZTeTzDAT04PQfveQhuzLvw1Onr5je18Vx0qDbeKyozAqkuyqy60nueXfYcCC4BPzCnSX
0eqslIa5eOpxoAEQG0wa7m3MLVlXlSq6ZyEQuWiF2ozjq40zMBfdu8W9Y5bqg1hgpoSB03GmpCl+
ugmu5Ewr4Y4HrLtElCIAAn9DdTSyy0Ki0cY//bwY8awcldh1Vhw9cOe7P0K7kGe9XgVN1SyWL7cd
18e4LUqBQYdnnguNrS094arvilSE7TnDgKv65Y9N9tTHAtVOP1RZe5mGXKCCQnHKYhx048fiSmq+
oQyvqWR8cgfLol6UOwGTZp5JnrdvCxHNS9KTqtucHeMCweamr62tdLEo3lZeySoYKUb9mNsjiHIR
hPTmMgvfbduaLdClCJlo6JUBCjfSlCCkItvoU7DwbIeZCrElL+rYxowEKMRKLAypMM+JU4mjX2bj
126FpRVtR466aUvFgs7BDUfSBRS+bdWxLHxQ74xJBO7abh3E1/AQ+VaVil+3mvPpxRo8MyM7keVv
SFunSfASbb4mthQfxFbEOsF/pGQ30ktHcL9kvKEMK3PYmtB8b5oF9qLtXedjbVhdJKFc5Q9atba/
zXADFQSM11NoHuOAgObDqFIYdqGRF79zPXTRV+mboP1m29odTtSOMSiGSVGBO5DimVts684vghPU
GqbWPMRj/FHzKpDNd0qj5o5VNMtndAiyo0jHsex5lKWQZ28oI9TkwRLbCMNqhQ/PGmFkxIFWuYGx
wLDKPOYZqTL7V+DiOLjPapi9TUHwg4uV0lpe5DBOn9YKqL/PJ/AYCyauvouvhr0YMhhMPGuvLPdy
mXFlNKzgXtGRz9427rw5SrzFR4ERUL82O8EIQ+5CskYh15Z+uC+AMaBI8T3iVBUsovnP6zbctNYV
qqLtSn+xxUFgVc5dfGE1FSJx07ON922Aixi2dml9XMAbywNW3SXHb117HyObzXC7Gt/7RARmfeNh
41/lcCmWSa6kDUnKNh8/Q78AoLeDPzyx8hjEaekCzN+zmaeJ5ytW9X0Vmn4fCmB7wqAKhJA68uYv
9mY1OGFTFP+bvTNpkhRJs+1/qXWTAgqowuJtbDZ8NvdIj4gN4jExzyjTr3/HvKq7IqxzkLJ1i1Ru
KjMIDNDp++491935niGeiPXJUxzLaPlXlT0P7doNc1ZlLHIWLC9Be3RTm436avKddJhFGeX7pOk7
m7ijfGKBihYlV4LVjNJv5d86ocLoiorLHld2taBMT4ldq7F3depJJUtWH2a/95LVqKz+1Z4jpXbV
SEsYsWei5Nou+Joq2D8LeMvK+t5XJSi7qjRp6ldTim5W9O1CDp/sFzPoDcP5RLXPdg4h4/g+7mP1
Axwgv8DCFJmsgd9ZjzTnTbH1soTvY3FqeatxxU27hSZmfJzLYf6BK4mpprOTib82avxkT5NCvNJT
mcaN1xt6RBKSwIFbaBTdLhUJaLtUZYUVkMOFVgxo3CjvEmBy6lj0HvqMPnM6ca4qd7ZEvGuDXRyc
hmL91C8DNhPwwkx4ZtOjpBNuQX/ZRG4xuAqc2sRfvrdgkCY70YyY4pOzgWkVWVn8Sikk9rYGPD9z
lSO248W2cN43YdVFb3aKhhcHlsjUHun48GlIM0IwynFYvpRTOvgbPlWI/fOcInltOmyoG3OBK72f
e5MKoN2WujsIfLf5twIUUfnVzL0pP0IONN1DTPyCcYhTKUK6KOyud6VLD+mB+UninuD/kKig4POu
3+sZ/1fU/odwqM38OSnow/Ll+x9QSc5/6F9UEvs36mhKki0naQy9A0b+VdJ2f/N9YmdJJXPB8r5n
1Px3Sdv9jXhsZlqKoTQjSKb6d0lb/QbfhFhdKTHAmBSR/pOa9rnO9O8q0Ln1wobL5K86V7cp7F1U
2HqUh15s5/GhCBNOKNjY9pPRjHvMINm27IR44fCrH396Qn9QcP6VTHT+SyU/mlo+u35cfPZFn8Wm
vqpSRyUHqc+ovGbwcRosvWTKqCxCj1a5b+V3mS0ithZ53IHHi/Pp70Lafi3B/fMuhC2p8lkOL1ld
3sU4jRASzBQzJ9vDyl6FAi9NtIhx3cviMyjHFx9ewV//dAvx1f965EpQRqP4S0CWC73219JfAlpj
NlwYFIbbjx80ypjZm+35NOCpWXgPiGpkrzl7hWfRTVIBBOAoiR5HWXpm1kcQ8LXtp9H5PLS1eGWH
TRJHki62/IDgJnW3NEN0vbGkW7aH2E1F/oxrSotbdo+Ilpql3Nh1Ud7TGdcJoltE5itDy0fq5ffN
uzAqtMxJbNCc4LgBDtivDbS2r6VjsnmsZ48mQH4Gnhd4U0hZ8W1io971Wjpi5j4vZefVwES0AwtB
oA/24/J7VmeFWC2YgKNOHhfpucdSj9F3X5oh5l7kZeSwuBuocv6e/JrH2tdEbJw1BL2zUWfRGlZY
MkhU2D9TEWzQSMNQoUdACI0szR+5AQ6Y5LFnOrbyOXJy4xDWAiS/SZd4CPlLUpViBgFlTCDr/H48
fZDNMrpgifUnq4GXEYYfjRxG4Yg/e++fpXwGatOVmDNFd9/4wekfsyqaN3R0gyjUqoPhH7h2Lr/0
sxfgAfbZHPITJUqi77Un3a/eUNcbGtmDeRoi5xUUV7vFX3YDuEGnu9EgfWmLRZP5vmRXfNA5Z5U7
rcvqAaFrsyaPokGLaszfF+RR3XEkrAnZKTReOMF+HeWPeiL0YW1CJXxI9eD+wNFQ0avJmyy94T8e
H8AOA6sJgVzwUmbp4JGePVx6nk5VAJlnVA/xu1QV3ia6gLoqWa7byYK+CR6waE4iWcb2mbBDczrk
2RB90b7RDXdNo1Dnuu9CXUqbRB0ATey3PQPNW8O3Q/O7TGOtD24p1J0xVSnHkERP+ibS6IlDv9Kn
OANZAZOECsQann2MJ8zuo20sTMIiJpEUMfd5ljOr+BwoVDelOiG2l/ZBVb1fHqchjaDNt4311Z+U
/pAvtMzZZBo+coyqBVdZj4MLT3zQORv9Kj0rvEN8dg/O6M0pAI53UbhXxIu7QV0HnFg3OZxnIg0K
8OoZ+SBUh7S7CxEftat0pLC3neOqPmXv4nUh0/KzYn5FAZHWubGFBppaeyeJ55OWIUaAvCqt+mXo
Ybff1NPMIlzkGQFLle5Bg+AGI+ZQtTQkMGsbyEpTL5akf/RpFW0tLbsqEGd7AXp6nAZYdNhgFgUz
yybHvi2OVAKpu1WUP5rnJEqjeWfTT9hVqcQLEfc5uSN5kcORQSZdmEezx5vM8I3AT1QR9mEK5gVa
lcL2wq1npqLfUvbvqQR50pk/YZGV3e04VP6HiTiZ/HlaUBVt6M17L00Zjr/3Z0sJYi1SUtISvPDG
Zu/Cg44TVwAuaJPsE6O6Tyn5Czd6HWyQowjQDOQEXRvDjy+I1LsDluNN6ygleYCZPu3ksz2GQ/Kt
tyV/1CxmsIgskTYqAGptxY1vOh29EcXWFsUUieqaIPJ8IwvfGl7CVsxfz8rQ+KZtOWSviyYvSfIh
HQKh0dy3OGYJn9ml+TjekI4en1zATu7OkB62DLIKZzIm6hbhPhW3mfwBzrY8Seh0q76d9Yc5dVta
sqnQzzhOI82SlS7lsfVFhrt7KdLyhpFrh7cj5NtsS1lzOcGXGkEVN2fZdF8SH3EPPnsGauCLMQC9
QACRI+b2u0+tu91w+LQeqMy4w95wwF1sZmahr+bgYBUeElm/zOiii2+1cOU9IBts803et+RQSBtc
mHLU8CamtPWCNgU3tZJeVMEGtk2gAYoYhAPuQfIyLPzLEt2OKr4qO/efKkvhs5KmH0/wsNnKxlJN
b9hcajI7ujzeGlmCyX2gnwUowjNeXGsRjwYWpGoVO5gfMq8ooPbZVBPgE80gTJokkRtwZN2BU7lP
6gAqNRm42G/bfRulk37KUQVXd1adjctdG4YVGnzY4wnNlwRZuZBd8qDmscz3RqPO7PmZYjoWTKii
q7lPnbOqttb9yk3L+TEDy/RgYK1uVhANIdDTSPFZHUyZjSsx8eFs4hFq+saohF3tURbRbejdiTRc
lt/wIU7N9rbFvBA99nMSLtuKZvS+5UY+M3lGD35j4E9OmiU+IA+PnVWLR8ypliNwaSC9Feo/zNBt
X36svWyqoYn0DeKqFkeAOyTVSxrZIGA6Qjl2FfpzHJp+89ZoamCcBC040jgBl3YPhMs79bruMBYw
v5OxeisgDd8XZlsPr34qcI0KOk7xrvcq/SHD7PhI6VvDU4x6+aixBeD9jrF07kcHd8amkTgt98Y4
w10SxjznnIM1TbvEnfU9iyq7nyxTYLzMuOfemmamGzDiXff3DvkW3WaocdggqM2/wbIe1SZHG1ju
IRVUxrp0vCg5tqg52hvTK7s4gNEw8y/7YT16GSxFMzc80n3n6UR5KWlvPK8lxWUcervfOZmTL0EF
KG1fYZkGSU08cnuH9n/ByUdYQXjjsxXsjh1aXTYHjkPk1mQOtx4ZGdNBt6M/bBarIQTMBrW4bTqt
3uoMC8lm7pbO4CO3FvN+6JPwu/ZQZN3opJq8TddY+Fhlq81mRzxONDI9WON3kkuj9BZZcY4mF8uG
hr/LLvY9q4T0uoYMU5qLebTO5Pi9HBrSbTo9fO2V+xDXlnFTaa/d4tTwPlOLxXppvfaOTYg0Qk9k
uYjHhM43nc+hn1pzvqZ4QmZcER9QP1vpqmnoLUgqh+aa8yjrommAA6CjUKe3S955b56G1j5ylv0B
BDkMMkDXx3qsnANVpD7AdYVIrxnrFS4H694usx7vRNFu5qEJPxjk9XyKUBxgzKDCeVM3oSBgAg/8
rRPn1jdigxvwaAgO8NmyXIO42Qlkm58pWpsfUrc+ja0naNJm9CiLkI3CaA2nxe/u2ZUCdavz29C2
P1fnYm1enEecUdOVzfpuozWUvnSOSKVDxAVap4/2lP0D0nXMg44iRcAX0twcGeIhNomwU72Vbg0J
oVf5BqpEj7p07hUP7IWqTQ/YeeeY3qntM7YB3WjtZZTgMfHvGioBQCOywLXKfRZH9W4mHgiycHnA
1XagB3HjaEAa2hk/erYT4nYdewTkUFUcEJ4rp4CsiDfVv6NxpHd0S4YD08MP7VfZnpLQ5y7yNwjz
w4OpfIT5QGskZr7JGqqHLOyKLfkdAf9NGJBvV3+NRPaRMCGTllwp9tkc33gujai423V+8cQuGYW9
YT6F7cDWyXAPEXbNZCUdlqnYSgO6gZpuNd14Ig+x2c6QoLiJNdwbGYT4dSCvpY+1Bdwq7ivjjjcY
4ne00lO8YFGjzevirjHG8M4wlxAZx4gdNu/oA6Fv2pWtRcGtrh/ZvU/YzIcRT4DoNRtAw33rrXi8
EUAXXmwxyjfWNzjhWfPZXQb3EZttT3UGsmpdKegvjvEobD1tOjd8sVzk6uEg2xVHvLU5q4+K6m3b
esWBo1D/VkPNPrqF3McFYsoKr0CA5phW1ohce8iWfYOHtvHjT0JLCwoXjIlW7A2o3hXkqo992Z4l
mMq/0zX8eGS3xESJ/m6ZwAnEU0JDKT55BnzBoZ6OIWJQakR+dueb3zyaI53lylVhxIfawljYShY6
rhUgJ8/WyinuJSjpFakcr+xcUIzmI19fWUzyY4/pJUVivD1DXdw6rPeyjHAylxid+xQeheYzn/sb
u5Jw0gUSczsv7JNTFNWN8JyneVEnGvt6XyxC3uMz8bCs0SwZ5ax2ntfc8I3qF9lmtyhhELWHRF8k
BsKy9K60CZ/xidlC5V7YK/oC85E0JHkEimRv7SE65QiQdQ8svF3GnelbBetx1lDhyaMxcHzcco5z
MsS8z5KhPHTgI29Mm2rhjNL6ozcO0Utkt5J9o59/nEsl7mNFbth2nJVzH8caIl7dxnSjpPUE6Svb
QuO21shmF5Q4MCU9DCh7g0Ccb6R+Jr8XCXsp2hbeLb6LcGP4ZrYLl/H3HKrctvbrOkCGEVRwOnAd
h/qpxvkXjPHyYvqGdzCRXnyCL1LSC6UOUCtiNspB9Tv6sYHTQBQPyeYOykzYB5xgEZTwLgcvjH+W
w01cvC21+Tw3o/OibZY7XCFyFTL7b9JYvrTKik4wR0JmMYKUkDLkYIJ7IheJK93MWfg7mtObhpz4
3Vyk6hy6OMIkl3QEqcb18lMkZEggpt/e2F7BCayGnIJOIrkrdJsQWmXvR17N2hyxeFSxbW4VEVXo
hhu07EbLokz3HLWz9YDUiam+wmyIBy3ck41B+0yDpF+Hlo20eV7KwJppqYM8NYY35Uf9UxphzpAJ
6WKsl4D8bSO6cea02fVTCpHISDbuPBkv4ZKWGceX0v2i1PTkw4t8Q7CwxJwwdeSl92OMfHydsPEl
l7PRR0uaQcXgYUMOxHTyTXNNa8R9Vbzmu0EZ0JtVX94Rn6JJ9lEedBbyX3cWYeL7xpPgLyH3vBBF
fAuozF4jMChRXGcOagd2AwuZbadWyzKQhdygUvboylG7WA2UDx5se5CHwqRmO7scCQro+TdxTEey
mfofnWb7IOiqbXFz4diP+xGjGo2QrEm6O/ITvoK/IsavMo+qdw4Ehe2XOt1NOSfDVT20/jb0lzpI
3EoEecnn2k1wJzYmGdoTFQWb+vM4oLJ6jpE/d+Bxaqrvj0iUPRtWNQ12muCTiQjilMB29PG7I0Jw
5j3ns3buNsSySWNrtp2gc98hyG4MNocumFqCl+jgrGF0SDBYS5iwfd6OuQA5541z3XzBSKcHCU0s
d50IIXkfy61jLLL2dqZNFZHFvKtwL+zSPqKm/9Uarch/dLrmQz9ieCFGJXGpDacL/5V3N5qmRrtp
ukOr6cdZ7EXxF3fUrn2TFEr1kT6cKNq3TMPGKQ9TrTrZH/1ctx4bpKQtk2JXo4Kyp/2yuORA7Adp
A/1ZNZpmw7LLIuQL9lFNBqEdw6aAs7bUKIf6iaSh+L2dndL0lLvKyqvPEXxvwKFwN+yYfgB+w9bb
0bWyNs1IIEPnREjgw3YPHvwriy4KdTQZzy3hSWB+0N5uncTA7uhMI0V3yAKuX/2o6qHG8sQz7VTz
gTbGFjZqtRpBdrbaCFJcOdv0jFtzGnoxw5I6sNjw0zXMAZB2TPsTQph2i5utZPsBrMd0Mde3dp7T
KrQG0KzaBvEmffNj4XZFwFBsd1FMxz+xIdyMZ7KGpWnXYgCRa6DLZ4K6ibRpdA0IXb28aRcnQdfV
mIwnhKrEkrKS9JLYUt3Z/Jxuql+9Ja2Wddi30NS6yZHbsCYHCo6tkT745Zx9sowwBeiIK6xxVEV0
KjG6NPMnRAobU1h8rxEalXxjULZcyAxzqEjMZxYZvCqFD5OqI3sJy68RnBDJsncTrCSbelb2a5wg
jdqgE4kDwavd0IEDee4lYPfUmH8w6T6tkridbptulJt8mUnCcrLjmf7fFHKVzgKBTjtAj0MdRL9h
G8PfONplN25RpcZol6rlyVnG8FB1bfRQhm3/wYjNtdES2kryXXxP3BPBs2xXf4CgjTKSmgTRc/1g
wUEwTkmCHsawILN2TEO7MY/vRvwHO6wbm9YyyyDHXbj3B7a2q6rN1SbRLvUsoxrVyYQJQOPOsNcR
zMjnxp7kG336BrBGbh+7QZ4JfGcDIY7DoEvEa2379dHSYMOoxX4gH+qOEC44KvRk2r2ZNk/2iL/J
xcJ0ay7DD5o0ZCT3UXXsldNss87rjo4zH9LSmp6qMfLWCUP9AfqEPCaZL/a1rGdEh1Ulp4OyibXV
nQ4JAaKQ8YjfEVQhHRzgoRKhACrc5mAUZbGOHVMB/VN0NR0VvrBXTI8StAKZxUb12AziBPN82OYW
IZ9wrxUbnnAKcmx9iAbh+W9cWdQbI5LFDrAw6SoG7UbvXbJjGEMEMd+I1R3cG7DI6DrCQNSOt88d
fyR/GIX0nnSp5DbKOmNbRKn7XIt8wUzZpfw+YHklG+URtnI7fDJdVf++ZPwRN/Wxoap3BZE7ZneV
odxHssIYl/7QPCMEbVcjJrC1n0CqpKxhtSvmA2sD4xIsaIx5Pj1TtgvRbGvZ7Fq/779o05lBtJrh
AVMshwOjWDbuFIKo4oj4LeWIcZPqqNxo0433vckRxLEgxGmytXeGvzD5Z7N+5cR+VkXF/9RIAQ9E
MGUBFDAPyEoQUmFOpT1KRXkbqrq7nzli3/rc/wu1jWnrcsL/3Esqk1BKp9/dMvOjVaahSRpQVvD8
TayFJBBsjT6eDhbl6GG0QBYjKQnXPsKr32cTe2jOON52OQ5TeEjOvpuaBoJPAUwI8wAUSw6/dpZY
38TS/og6NsmUjEmkgbw4PCO0Oc1mhAdmyebNPCt9F1bMwyMQI2Q+bCWIXaOsN0dQsEEkpKnzka4D
5PgFcGQ7s8mHAKfZx7ECE9+o9kC5xG3RkTAVTp4HarVHrrPgtWnR/e8KVJoPU2RjQ/Nya0+hzv+d
ALfkXrVk2Uxh+QieI98rabENYa/9tUbOs8tto70fcgiYKcFAW1XW0wqBUHQQdKGexrD/SCVqD2kJ
kSK7OteLAlCR88qk778Jy/bIt1We3C4vj/pdeWdhS0IDPSI25dgTcvAh83tVen1z6g1SJNtGAYtP
mvjQZQUyqKX/VIh2OvqFF99SIwXaUsf2kb59/WjqMFsvjQ9VKW4UMdE4uqC7jhneWHaBY6YAD3q6
tb+QJWDsSXWOSFep7HPuEALtb5Silq9Z5soAcRyLd8GyYM1oi7u409tQSuMBa8RwxA2b3ZuUrwoW
+D5+oQxQ7gTthvUS15DNWn1LDlJxQ50RnWjhECVXevdJDMgAkfaa5BnYfcZ87JuOOLcwiQ/lHEav
3rvosa28PF7Xi1WTooyl4AnR1pm/DP+ELe+Q7KemOxbMo80knseReG7A7B901CiY5DydEUTZrE19
yECntWVJI8Jxn9BK8kXH7tLYa0pQ3V2MF/dLIzA8IISzUL8g0OyynVTgavnj5mcqCOg253cNJ5uQ
+kChH16JSbbgmrAP0KXs1q0bhKZ2gM24jI7uuxo088fNgsCG8ifUdDYW85t2fdYs8+zB910Ix2Cj
t7meXgnS5CQ+3VIE6db0HmUE97G+rWw3JwDSQX3SuWyEZ7uiJPmuSI0rtsE75ceoXy3FEUc01roz
yBZahPlFREm5C/1efZ/tomMtJheEomZ5j9RavITIZgPg4JyeUhsO09gY7lPYvbOu4XA3VNpAyA0V
Wzj2Auu8GFpcugxMt47PwuV0fi5rUfPZLNZT5U79tlMGC3BShfYetUzOTTp9enKMycvJZxo5tfZp
fwAwhfDGH+lrTRZV0tx0qsfJyKtXi/VtJfC1nwXYLZt08ge3RTdE297CbITwMH6h/qJJTUBiNxo2
1u6ZI1iHxvE1hBB5R1fJD+ZciNNcmu7pXDECzUq0LZbdJpjf9cQwV/RBJcB14eI4TwOr2kvF74ah
3qbZge1qvfFrkGL5mE6Ea4rPnSyzT7h2ECmP74Jlyzs/lqKdrc/Lu5o5TkqWFe6Iw0rvzp/7oV1e
rQxUlEXIV8emsS2+zhLA1DJ4Ht8Hx1MP1TrVt84+cMaGyhNViRNoOzJurToH9ms5w22W2uErMEgN
DBi4AFJvxcEpzYaXXhOk6additTQZvxQkoHMNCLEzAwSB1bzP9XamP7n6A3Vy11VeWvDmFFhle+q
biRM1JhWMcsTP72ynbqn3lnpZU/YL6pw810hXlANJL6eo/IPPfUcbiD2pdTePJMIx8n0nGEH/Dyb
V80iDOumCIHwpZpkmtl/15/TVJMlEvqkKLfaauvnWXdAWn2NTBWl/y5qbZXuJIUUwOlN+dmusUms
WH/PSFS7EQ9NhpZ9bNWwkV5l7/ypFfcUa9n+o6ihxP4uiG/O2vjRaGkM0HsRiIeJJNzkpiJNmD1N
H1YQ6/p66r97OHjNE1pZyrpNsby0GYQRaOfU1gVKutEx937VPA9m0q9y4sa6Ob6HusF5yj8RkLAl
/gLB51K+JO0Z8/u24AO768fm4OGccFchX/imn5wb5sY1le0s6PF0u+T5oa2lAkyzd+9RD6Wylwag
HyQJruF7+ORKRi5nXn3DD1656Mc2Ek9UK5p5RxRoBRZm7Ne66taePHdzKuJvU3iA8GbWU4govI/v
o7ra6YmU5UlP9mHQ4jRN9L+aVsacrkmU61q5kl36qfD9cpNJlorEtfER0IKkVnEA3LeNivjGGGq9
Q/zKv+cfv6bMTT/5KM5xF4a1T2JscCPBjxhbwnFLVJF6VpwCt2k8PZgG5mnPL9c+Y2QzZAhex/oe
nv39EKqFxab74Zfl48JJYo3bJH1CHLVuwcMIN73LBwIC56Shch6vm3rKgECa6jEavRsr11DkRI2Q
Kv9ie94DSXFUKOV9mBfNBnbnDztFvaBJwDkRmBA9FbN5V5OGlEfkv53jLSmSAPyw1b6o9bJtQGJt
POT/ASy2YrtQJVsRsg5QBzguwAi8JpzcUQ/lsUIgp+O7yI8hZzY2LYxyrDd22OS7grIfSM5bqtVk
5faR/XVxKb0Dr8rK9Kmwqb4A5uWJ0JReJWzoIYSbxVpUuKKLonvl+RyIfUDSab/aflxDNXAaddMy
hezZ8YWsKXSfoNkmd97Yjq8MBH/lW+fUpW7gC11wJ+Oil9jf/cZ11lDdJ4YiQCWG8mw/cH61iAx1
Zro+lGkxvODQxvyiMsu8d9jYUPO1fMSTVYqkosSjYOnwzagLKHbUJ1b0uT+D6rN/nOevtTaL7GtI
B6YNshr7Bj+dfRgcPQTQdyGNsYnC4ijHY+uMHOzGRkjnQeVzxfatTeJnHFT+zOZOS4LFcbSmJF2V
gLBv6RElxTpyB/OHZj5d/de/HdEx9qD8kxDlsAvdpq8//rUcRfzqsEME4/kuNUWXyicWWkzPv4pR
cNT5bWXG0cHu/fgpd/L+NFoNhyeT48S0mbzSVOC5B554ojU16AYZQE8Ynh9+KnWFLNwuHWMdGnmu
9pPjuuMJuSIpNKgw0MDjHyWmvLWHiYgZFJYgSPwSKHMYT82tLUsuMjvUlTS5e98zuEXWtubt/8tH
+H/qtH8IFx/0n6vTfk++9+Vb8XP23fuf+Kc0zTL93xzi6ajtuDS40MP+t9vaMsVvtAGkw2dByVid
v4t/SdOE/RtmTNPifxhxf5GmeSTbCaxljlBohDl1if9EmvarEdM4i+YcPN322aP69e2UlFH3//5h
/Reqt7la8moCO4urVL0Zs3346Rn8gf7sz658EU41JdJq8zofA0qJX5EVfzWa6PN1l74Qk9XpZLDI
llPQp0zzSWOdMrsY/imy/NNEvz+5b3HW0/30RBi4yHjzdAwUeMPNVBUPOX6r3VV3/h5b9vPFayPz
RhGPAZr5W5qtnJhy3FDXXfxievFkl1et5s7BvoQ7OwN9UZ0X3+uufp7cfrr1iQ0xkvZuCEioUHhh
fDJXZpqU1139QqcXJTHxLrxEGFHNsJXoxW/8bB6vvPfzu/7p3ueQuPpwkZqtZB14Xg6qUv3NG/1V
4Pg/A0hcaDpH+jzwZ+chyEVlisMAkaHbL4K5/g3M1zKt9RwSB2GEg3HjQAW58mW/e95/+klwT1vR
t2EPj48ZfBA2zWs9X/e8rMtZIQ+tfA6dPpBDkjwWRdHcta7zN67o80P/txr2f56YdTEx1JkmaEiU
Ghabfxe2ZhVkRPXcX/UdvdMXfnosJHabAMIp6hvFBFYvj/WLYRTXTWni4rFMFJXR2k3khCXjdxxN
sCW7b1fdt7h4KEIUNbh/W599VZD/oBblcEKXaHy46vrWxQjw9ABT0o91YOOW2/t9hdJRx3/Hk/iT
VyouJmSfD5Go7poH0xt3nYWRaRperrvxi+nY0igekIXooFHAQ1fUBcpHZ+mHK5/LeVj/9L10hmsq
jQ07gN6enii2O4fZoht53c1fzMgR9t7YhAsYNA17aUiv5OOFy9N1F7+YkOt6ifB5ceutb/vNZg6t
+gs9neztry9/vswfDdOLGRnUpi9rkwlGRIYBxi2nAKrtojg1i09HLnQT8/jXf9OffD3mxSueTEBQ
ndsx26RxemOxC96Ro/d3/JE/u/rFG068fpERutygxKqT7Js0SR6mRCHMvu7uL97xCIKeDsZ7G7EV
W3S+kGEb/TdK9j+7+Yt3DAdA0ZMtelLvpP8JuuP8keKk+Ju168+ufvGKe39IEzrxXD3W2JR9Dq9J
2Tz+9XM5//4/+H7M81/608gSeTPXBOt0Qdq6448md8VNWS/w8edGpOtCh3O280vbvepJkdvx619n
xoK6Udu3AWzwOxtiANCq/MNf/5Q/fk7i0rfhRBG1aTW3QY4CQJJlOZNNed2lL5aUPu2EkxlTGyxl
92ornx5H98+c8f9wIyvODKefXwCyzGq0E+4am+Nd0ef7tHWuWghxWv56aTemCBciMQqooH0bs/lW
GONVd22bl/spWZON5LCUmEN0jKf4x7Sk/nXTMSemX55IS4u27Ee2NbmHGtn3XhxRP1/zHm3z4mGP
ekzbuvb6wB/i29QcjsRm76+79MXDBllFqaiO2LxK2uyFNj65LUlE11xc+Bdzb6z8aqhNZsdem9nd
YmUAHkZRv1539Yu5V1thPiHZ6gKEUTRZEOBk6+uufDHr0q+dMrOnOGRgLMg62luJunJIXsy5paVs
EZdGG5S5eqD2+6HyrKtepfAvJlzSQskLrhfuujeqVWHKF0oz150IQEj8+nUvqidMLU/awMrAAdNc
i2joXvW0vYv3mPh4IS2UOKT0VW++1Z9I27hujyS8izdZtwipKkL4gil21HasCPrS+OW31935xcus
6WtRSeWh2G6zdizcC6m4bhK8ZFcNMNzagnyTwIUTSqvL+Oar5cd1t31eiX5aPF2acvgx+LwtdL7x
XD3RNLhq0RfexQRLZbqS2TmcjWezCvGEKfO6ucS7mF5rctg77/ysYwOFvv2VYsGVb/FidvU6ha29
ZnFXZfQt1rG7QjXy5bpHfTG9zuPUpprswkBMALj7Qn8PLee6WUpdDEkPVmnSYCUP1AxDWVlbpJDX
TSWXOD3Zoe6VTt4GNDceqWl/DAtKvX/9SM6D439v3agv/vr11Z5hIVxjeZ9g7SD2aHI4vj69j+9Q
p9yCTCavveq8LpyLD93LCgDIkdtijotI9jNz39/RxZrk3/yU83X+6KdcjP+5dIoJY2gbDPN053bi
sxLu6a+f0p9d+mIy96Nsrqfu3FeoiVuicxVhBnCs6waTungwUYencyLYNyDjiFj07mEeuqvKp/Rg
fn294+I7qV+wwC0zzVivQJsFAq6+8olfzAIVFqxiCg0a4IAvIphodphfNw2oi2mg8F0rWoAIBbUy
cxSLTosoTfx+3eu8mAfYCOlOauZFguRRrz6zydpcdWV5MQt0ADYyvz3HYQLSb4hhJQvsuitfrMuR
ORjgs0OetSQVr5fqBbFi9Ddf4Pk7/oOhIy9mAXMgm1TiJwtCq8l6knztxj+VsnSr3+k+qw9X/QTn
8mOs2hHCEnoJr1iIaU6Y3yVWyasuLi9Gv982vZIpTx7yyiGT+GG88MqXejH6RZyzw8dUFqRDsxmm
8jCwCb3uri+GftYx6fbCg9Hdfevg9qTpdZ+4vHjW5oI5rSI5JXC6AgRVdkjO+sTrbvpi2BP8OLhl
pXjUZUw4MSZwzPNX7j/lxcAvHTBoHc6IQKE3PjSgqTZzlYrrllJ5MfI1YUPhOeQo8OC953j7siW7
7lW6F0MfmO00xhVPfPLSnW6MTTKFx6seuHsx9nm4xCopxn5fuvDXbXLdr6wcuBcjP8MRN05IRANv
kpu0e4ZoceXzuBiQ1hhpFTc8ahTJm9ojUhbY+nXP43JAIjWwzYTnYRczYBzwQmCprrv0xYA0EUsy
+7lNoPNsMwnmQmgL1136Ykg2TplnPZhXKiloA0V+i0Ljyg/kYkQmKRKnFE078c6pODm2nlctGv0r
r34xJC2acwq3FXOJnaYrq1Uvnf93NaDzd/YHK497MSDV1MVLpKl6qgHA1M7RNIrmybIxNU/K/zaA
BoX0ZmIhvG7yuuRgt0tI3FmJKRMVMrKsjlxI2BNXvWHncpyGkCmreUTG0i7pdkGvtFpasAXXXf1i
qDbaMmTrJU0wTnNQeM0xb69cPJ3/z9mZ7ditI1H2iwSImvWqM+bJOdNpp/1CeEpR80wNX9/rXKCB
sspdF623wgWKVvIwyGBwx16rWJ3Tf2ykGLoapmeztF7DxPv/Ml3/v0+AKBv+zECLNgnFkAnme2ku
HoBFSfvBtglZr3rYMK6BQcNF0JmCFB5qnV/Y7rb9y1mt+hYJqcTUoaGvTkIb80Ejm+m2Qp/lrJa9
MyzT5F9bg6suuNpo1ZE30ZSzaV7s1UnEZT+z9MIRSi8SUvTFbFtxgpVC99y2f2C1zgfgS06Kd/aF
qwuNPzbmJvbGoVeL3JCd7y0pK9GHIs6LxVPf6G3bmL1a5HKosfEI04ZpaW7TqcUd2jxsm5DVIu9M
KxzTnpXYGeaeNoVjXBbP24ZeHUiTIVoLbV97GRHz07Kc11VU51b5c9vwq0MpRYyB6d2MVKJIxMuk
3Onc0QT2e9voqwgNLBkWKqU5g06532mr3o0Ags+2sVfxOS+9Zw0CQXPWSaBn7UOXDFvHXoUnGBc6
oFxWYd6Gv0WGCbEFUmnTd69FR6YevMrx+EHRDkP1DaewBj6Dha3etmLWwqOmD8bSCtm4MIm00IkX
J92l25aLtQrPxLDzWWD3c/G68WEpgCE33iatCMXaPw+KyqYBSImYLMOwvrRuAOnn31Lz68b3lyTD
WoWnspGky7rlVp5jFvksmr5JjwEkNs0bi9BwmvEp+pyi2E/ph4C1tVd2B9d82w++imDUBnYe5FVz
AZn5gUn2srP9ZpuYCqPlP2fNSFN6/brr40gPSqSE1q2uLKptX74O39AYQ6ulOato5s+lHXwmPXvf
NvQqelMbox5dUzqCy2x+6AT7k6WtjH8raFzn9m+/+CqA9dLh2NkMpPE+rZ8m2WPR620yg39YOv9Z
sZd04jZZybRgMPqkZf1VmfbGs1usjlYTGZMqaxZLEHhgm8q3pbe2VZDWaAwPWR+SbsVmjK/3pOLb
PuheNv2aV73rf85IbywJPcwARwcb4JuMsUrXw8YayRqoUaKRphnumj3i8lSTxBRdu20vXkulOoze
0szntpeY7rul/WOWD9uifi3aCwe6cw0xkq3HGMm42IDMpeo3fvcqMHMq3YiwfNJHK35qC3nfZcG2
Kv1aspc7QEQ1cLjLUmgazgd6HhNh/ti2TlZhSR7jlPivEPVh9S0Pm2LYCURT827T8Gt1kTPNGLGW
lBz6ST4ntGXIUWxLHs1VXCYNfazimpc6AJZAR2BJ5TvbxAqWuTpVHSE9GKyc2B3+bJHrub+x79xY
0TBXsdkYcY9HttlcsFJ4wQTzvqyzbWtl7bg5LL0oY5+hpza51JJkvYtftv2Uq0MzD1rtUcGtLxAr
P+O69mJpe+PQ6yNznO2xp+njglPjnRy6z2UwbqwArGUnU4eRoz0Q9a5uf7EH3DVFuS2XXstOOov+
6rAl5vspOXmYlBRBfdw22auwrJIu8KeeIqC3ZFjsg/Eeq9ctQ0NG+vNkmBbI76nI6ouZ9r+m1n/A
ynTbWSnCVUxiNe0m4cJnO6Bgl9h4QFUebfvsVUQaPVZnQUBE0sD27NfqJQyN87ahV/EY1HjOLzYb
rD2Yb5gTQH7fFo+4Ovw52VWoTXvRRX3xG/MN844+ii36Hbd99yoi+8ka0+x6oFHjOc4tg/cj3k/b
Bl/FJHDrpgAPyp2lCozDsIjw3fDH7n3b6Naf8yKkS0tMy7ngQqufxvAR16BNGjbwen8OXdgNAuW4
qWGCx191YL6WRr5Jr0xf0J9Da7o77XDhyLHcDmeCEieSWGOiuWlO1hIip4ZioJVFfkID+m4oB9r1
Om/bGl+LiMgfgH3Qa3vxhvI16MNPuDl83fbdq8hUbE0q6bj2j9rrcHUFrYSl1bZlGKxi0x+sNIhH
lmG9YJtD7yZ8WThn2758FZ2+AWO3vNZvjUkdOjyYikBs/DFXsZnSxzQbLQU5txvniPc5urXx4tmU
Vom1jAizibHHHq25yCzvaDoOnxo8BjdO+So2yw6jbhmzHQ6DTedJlkZJYm4T5WDv/mcI0RdfL+bA
7zl10zF20rc27rYdbME6OrMMAFNCFkE7Na5NvvcqYr1JtUGX4J+fDevL87DJ4cF5DPEZHnF4c0w8
Yjetw7WcCOqOkrrqcPAibkZT/XRHsfHcXMuJRlOmmBKhC+OEg8Fc4xZZYO0o638r5fz9Yg/4+s+p
CScLBkTt1Bcpm5M/60+pSDe9VND58efQY6Gwp79WtQ2M66NeDfHemLDx2DbrqxDFK8JfJMfFRTXu
nWvi++VtHXp1eKJ8sGkTpt1tqnBobGr1K9GF2rJreSgE/5wViKiq7cpgODeT69G0b4W7Hi+j/YZZ
wZN9tdJVkHnxMIXDGeLKAKPJ/AI5fdoy5Qy+yg99B6dR3FUZ3J5PeISfRnBy2757dQphmm1NPkIc
jBXDJqpSQJLY/W+b8rWUpUtAtMXY0Z5bJwt3Q7E0z1M4dk//+9P/KW78V22MaVmt87BfggabI8yj
AbGaZ3NWrfGg4ALInSt0Ll9zYio419Da1Sn2vJYHWHfUWEuHmM2fcrNIHPpBQR4+qGVqxgSFZg6Z
4H9/3l8D3KOJ/s/15gJV1HrMO1r+JXufEB/oY35sG3u1eejMcGWBGu681MVXx43xpgk3yR347tWs
aoxOlG9l3TnoEiBPQQKER/7e9t2rvWNZiiYLHNWdJ10D2mo0sLrUDbatZXe1fVSYik6LSK4zDpvA
922cpvAS3Tj66nwf8Bbu+oY5H4hFMD4Sk67A/dg2MavzfUilpmLCp0tXvZv9eGO3xmnb0Kt9T0Nn
UNqRfLcV7x18T0I/v9k09FqC0Bd9MXodS8USlbPjkRlPEFR3mwb3VmtFatfTZTl1Z5Hbt5jk792y
2bgvrRYKPt9Bm4YdQ4ejdfVovMlKr914EqzWCdYqmLkbWNpneKtBE8Rsp083SYPZ8lbrxAO1g4tz
253jsiz2rsZvgxY4e8tFjdFXS0VK3ywm/C7PS+HDtKoKbBHx6O/llsSErWV1SKZpofBVKfl6ftmb
BB7gXdiPXrptxazVZUM4xoi/CaJGvxlTfY+f6ZYauBeu9TDmWOduwhI5y776Wk3xE7/Bj/+9zK/b
6l8OsSsW6j9fHPToWTHd/cM5hQJ5O1VNecEIbzZ3pej8LWk4n786LkTf4GJsumzp2PNGOMT+lAAp
t836WhdjJwiQ89pivbvpyeq+TmWwLZLWOntOd6NcsG8444oT71Ib32Ge2rZt52sNb9zXsOwXBld+
A/EF/7W42fI+xXSvdgBvAqHrunN39pza2ON1/2jEcpOGl8FXOwC0U6s1R7s7516O0a8zfCuSbGMW
u1bzQGtdwFk43XlOk3sHR6O2z7eF0FrLIxsvwWdWsAaxjDzjzCl39dBsEsNB1FplyKqFUgjPndHr
/nylN2Owv6UExNCrAIUamRa4pXXnMMlP0it3QeFtqbkx9CouzQrDmblfOpQqBvakOlLJpndjhl5l
ce4EIL4QDA0WDY/wu8D7/r/3q+vx+5f9yl4dy5bXwvs2GFgjRbg3sL2OutQbtyUr9upkTkOwAbYF
vtCXxRjve4BO8ZUSTxPpts9fxaYVCD8ALH/9Netd7Q5vtr2pt4YpX0Vm6NYN1mwkLPlU4EuO7es4
hGrbdrUm4jUtTqReT8pS5M5p7MNIhea2Bb7W8Rgi78GuM7Sd+xcDpokCrrlpttcKHlnilqhtzQI3
QnWfSUxA6zzxN374KjJTmWWBxEb37NixoIFvUMci6INtwbmW8SwFZATRNIyeqMSMqryrsO0u4qbc
thTXYh7XmGHx5XV5lmUB04L7RD3H2058axWlBV3GjcyaDgIO4IAFsFOi3rb9pqsQhb4VQscpmjNq
TFwQcYjdGXDXt63ztV3NrA0wank4nZNQn1O3evLSftuxvLarWWyA7lm9TGc9wULAkbY9TJW5Me1f
28kkXgopk77gc5UHn2Orq6LSnbadnWKVN8uMArvA6PKMsqw7lpm2Tl0I2WTTD7pW6rSW084lyPhz
4c99EUlzsotd2Mzj723jr8JU4WBIKYyf1OCT8Rw4eM2/9U9ch/jLYbSW61SZGBKI5xP5RKo/Qn5e
5xCXY/uzapw82U9INtPPxuIX3WHb37I6VpfJxC0fDPjZ61+MztgFauuvsIrYpSxiBxeD6ezyVgMH
PerdTXVy3PxWEQs00FzcgFmCbvaY+uIktj3UMvTqOPXnxSj6RExnrhhQ37HlwzJ/Y1FkreCJHVlZ
VtdOZ+kk2Ru1I2OI5tay/63CIMx/3vH+toBWN94UF2UJW7M+l/XV5RitvLpoTxvuneqhsL8sdgOc
sYsz+APRvNDm9n3yRntWu0TWEGtgpJlxCU88gfN24fkU4+cJN+j2VRSe2+Bbmg/JpdVgBR86zNLD
Q2ZKV970Jp6g+xIX2+EGcAyQDgfZjDiUEnTKXrsworBbdcP43TFcAJAA1TDFz2VTtWCUPPSedoi7
0blPKEY9OdZguMesN5345E2JlE9jHTi7Bd7LdGjFfNGF5XwmiRp+OGbV37uf6+fyoF4oN6kuDo6d
3cw/8dyO553L65V3Rm5Uhjc2HsYfRjtcMWZYQcY7p0z8+Ij7olO9itTSHwukwhIOYNHQgGbynnFT
TbZb/BLlUoLGMvKiAjXtp8vntAbQC5DOu7I7Andqb6ySUv+t0cEBuHcLt7S/5WM9D2cILim4LsCO
b108u3jDuqPJw66o6vymiMcY0p1yqvkTWHQ32WeVKYZdFof4/Pq6d+WxF4vsLtf2GAXLJZudR63d
ZIxCaRnhj5lJb29cqxvQaOZw678kKf7AN8boBv5+8lRfHAOvsGget3kfOGAHbjyOLmCXA6yuOcCA
dpDe4wxz42W00rS69guXznNlJz1fg0dsvvOHKoC5GHd5EOElUmZHM2ul/Zhh+JPvGnCVQEMXXdaR
KovOO/rZKPpoBLxk7MIScul+AdoKHX7shYjiRnr+jSOcqjoF4VIYUeOEy+cRBCKv6XZQG7vRzGIn
WuYBD/sr4TTEFHyI010wtcMXUH6CNm9ljsMJeIzh/17cpbXPoA1EfLJhHQTRgBFCuTcMiL872WCM
45vSHyMP1F+MQX5tfeefASOb+Lm+cNGv8e12m7p7H9KgA/3UZH54TtzO1FElLSrpk0MUgbK0veEJ
G/VZKhA4sV6itIBQvwfXYJTHIQvAwnYx8hdeYyEB7SraMclvbShCB9jF+EA7uSmTnRUovIZz2TnT
XqR19n1M40lHhllhM07L2CD3gZmF+lMzOP4XCgfAHMACQJcocAkeTx3/OT8Pgd3jvZk3TvDI04HX
RWXejNVJFvhQop2mNwYjaA9YJpxGuF3Tvh0GNb+LGeblHPU+SLbffoJx995MisG+y0Mz/20tyWSe
jMCYfra86X0DXmJ9whEs86hZJEb7IuNsMXeJ443LLVwBnV9Bd20tDr3EAPgJNohrHoe4AHEwD9Kq
TmoEFhR17qAfG8C05ZHYsodd5bb1rzFxqPzJBF+8Mw/aRnoygBJ+CT1vOtSQMZpbbbSF/za6lXHJ
NP8lSnTa+V/6OiigdqX9lFfZAZt2J3/GYTIvP8CLYn8nMyBBQxTU0vYuU2/HuL+VOnZVuct4Fqqv
oEysmXb8sXP7UEPk0yeAl1ZwV4/1dQ2AQmZbimtgexb3QvnqK52I12wwEmjIGM2L5opIpIrmpUX9
VsLkSH4FjV3Ev7qQQs/ebAEk7JIk94rbpFXOdFN6YskfaT3zPudTBsAlMzX0sLZSQ/fAbmpMOwfT
fu+YA7ixolaHWfE2zrMdvsWVkJegTpW+aQrZxZfam7yPfLCK4Qx1oxzvy7IkXbAK3X3x3HBABqSG
9KMHM/hUqUmCMqyJKGPXLVZWvKbDYsi9WMgxgDriUrVPyJeak1mzJkzDU8HDFMrYPGFo02D1Tapm
0Lrtx/bBnyBI7rsgwT9H4Rp3ZREZ43evDMrmpsqWvb2wd0QwnNzr9OKorzlrAhJIJZ1IyTla7PZx
ibtDnXTPmdGGC2wJ3+cL40yyO5eBdMxjn0tT3BhOAGVhb/tO97mZXeplwuvC73By/NvArsZ7rzXS
CuuKpLBPbk4H1NEhCPp7DsBLMde7ZgxvcBC6D0cv6W5U6iz3OKo3d5S1ON3tMgU4OPulTI9V5o8K
hAEVY2hPKvyW63B+CJWT+7twHL9aaRP+csMm/mHVZl0+136ysBISoeB+m0mwnxqRcSCqEm6FO8so
oB4XuVme/HB0cNROhjljaTYHCuhqP2mBN2wPDG2azo6ZVntX8XTU+fapBZKD6/f8KIupxbthKXD7
xotc2W7JukyfSSMG3OrDYQcNe4yWcXzJML7ZS/hrkaz86i61rHuQ1nvXb9/lCDDPMtNkP/BCv6dt
5m7x4f3tiwwgVo/MaA9/Jdwp0B5hJIJBnabYLxS7c+7fh0H+aZhb+JfO9MOXsj+C2nb2ns7GT76O
q32Tym7YFy78hhAx2sCyDWK2H3eaLs3EewGqgE+Zww3CYIfnaCvfZojihzZuwghejNgZWSEiR8z3
IOBOIp3uQ93Ckou7CUEviN3ez5Ld3JkPuTd8ZRq9QxMv4kwh64dy8LC37XFv6VLusSz8CEczORiY
puwClDckAFN+xMPsNBey2cWh2e/MeuBYGcSTWQSPw+zT92sIMp902Ll+UNJZDLfQacK72snvYzWN
e8+bn/OyrbNjMhlfQXUlURZnt5jL3otYVpEU3Vs1ZsEFPnp7iEfvA0vaB5nxXLzDwerezaueSKim
XWMGd1w5l+sJEHD/1hVbUAm/NIks2ZJt2a7dHZXtwWmZlN5ZuTJ2Tt28xL70z1Yv2ysT4tmxA/tQ
A2ewlVXD6cGgoAb7G/llDiDOhSoGaS27oVjhYfEOd4B0JqT3uMzdJxqofE6aeM8fJMv9gshUAR5c
uidLCu9j9OI+3oc6sT4lFQ3L+0bnPDoK7HTTO4GvOrUDPYj5YXFDH8ZTKdVJQmzJdvx9wtq5RhGL
I33JYrqYlS3uPdPA5NQBoSqjCbjLz2rGtrVObSO4CfLY+1IXhTtF9txP7wgXPfOIZ0T8ZczzsSPn
yxWGbpYTTKzMVreRrJPlLcR4fTkEsZXsirm0vnRlAkq5Bc/4xYf0+tFKXn5ui2JgdoaMmCKcGp8O
iCRdOEAolD14xpTPL20ZyvLiSzOwjq0lzTEyC6N3DrVoC+dKUpX6bJdj/NC5cTecctvJvhULOMqz
0ymn3AeWYllZdYcbXFVAMN3LHrY3qDFeEZ7tMBE/Ox+10xsoxBy8aU2xlRrp2LybePkMJFVBkp+T
uC4/V/3s1F+r3h8/ejrRkqgF5QHkmIyYtytYg85+djnTnrQqquoAWjd0eeib8+zsF031agonzkCU
KhZkMwRTzF/bo+lVg98+9uMILq6LgchGWI0P5VPd1NDXiqEEuqhgKfSQ6wogwWFXLiJqMzkDcWql
eGx6a8lesXQMu8cWl83mWJtDp46piMkNKTCDFR0ny8LsrC7L/qhrG7o3uLgzSbMFAICr4J0Rym4n
UiEujtt0/m0cDhb5mLss7QEqS/7FtOxl+uXOsWmwvhqjP7W1mad7latUPmfIZe2bxsbNiamgoz7S
GuTzDjY39E8DP0gAFQByzm6ZwMOCW+LXO1emaf2MR3mZPgqs0wBGkvIKUHZLMD9xb6FtxekWJziQ
Wz/ZdLf2O64IHKWLngEnYpPg0Y/quOoSCNmjr/H8Adwp5ohxpNOleZ0AH313miBlZRghB6SX0sez
czI1flRGAJgEi5L+DYr3yKnWeLk8i+KalXhTmNt73ZO7Y58TtLc9XCWcqRz/O/QF91PXGNkFFBEX
ihSPdbZCoR5cu3d0lGV6ci6hkpjuhVLfto6zLB+ZdrvP3OoCP8prgHu71jLPViyvFPOx6PeY1DQO
bFhjmnaVdgC5wRzu551d5RA7mjB4X4YsNiIAFVCrZF2X74Z5BYMVObnAXcPOuzxmpKvRgArwGHtl
Zf4w+w7KJJedtDz1xpxVhyUU8gUkB/DIBQibuICsd8JbWQ/zJ6SQ6gOdh5a7rqlKbGBJt1Lek8ZG
7Bcnv+sBJsBXyK6JEejOejwX2q1+hVbqeE++dMCpzmXn73j9O09yABrUIQKtothw7t0WR6Xd4qfU
H4UZzx2FNsd29oPnSHOnkiwjH/Nt9xnOuvGStVpxEvUAD4PRV8Pj4nZ1+zSKufhRjuUExTuslAEH
2+J46jq7tfcgRa0HF4joU9JlNQ1JY/Ku0nlq3qFMV3pnxwuAwDAwjD0BkPkwQACcwZvHdpjdPujb
3QTOIzmN2WJddNBDYHIagB67DnNDdvXByN9J6nIvwqI8pbuHD3ldoGb8dpUanymX22+J744VeNBe
3XQoskmSem/OCUjPMC8Jyp99CvbjEMPcOyte6iI14YN+NMthim8z3U3yIWlN+dZo95HmDSeqLHPv
WapXB5+mKHs3JmFMRcuekuy2q+0Rauw/4FBHzkoBcAzVAdqNTB9ASC3GCZw2tPYAUgn2vsZ9afjg
Em2PpsqoCGwq42BEBvsgGttu7+POUj8mvGmyyCSTHQ+tK4bg1hOwqucwy1FTWRqcFdm7qg+12wCV
y4QTUUTwdyW24ie8jyEANRoUGziTAbZubwTeQk6R+8Yej2pbnmTcdOCQ5RI+h2O+fIe5LC9ilPoh
U9wEo3AqRHofcIbPP5BDz/qwzJyBp74E8TWJJf5Wl8NcHRrIYpw2aqr1sYyFWT9Sk+NSri3SQ+Sw
8hd36Pw163p9LpLFOzeB1q8tm+WNNQOCuQUbkmRPlPGL3zIoQnqV1dzvrWYqMEKMyW+ytn0AK5IX
kAgMtrE6dOz3Bt2WE1nosmHWTEv10NdpLw+xO/qPAplvf45lz7UU3I37k8i+FmtMfzZeWmifAxfa
sL4r86k+u9bgvHdx6hXkV6EeD4WoWlYVh2KKW2cS3nhV6cJzTn14P1MIcPFWZq4M9wDnrkdCnryK
pHrItGPvs2y5pMvcRGjHzRcnbZa72pz0cG/ZwfRp4axoDrkcwUO3scHcicr3buphmqxLKQf/k+pm
o2LSVZFBC3TEN2bNsS8J3O7FPBguHLaOXaebweuMjX7yHCxqdokwumelghgJvCrC2yoff5vL4i3f
u8KNf5eWDuu945hZlKl53oEUUzlUx3kGj2RaPQuivzUX4IZOLpJDUajpPrbS8xQXT3PROSPFCbCS
HP5IzqIlMUt3Z8C5+TXLQJz1vHSvibCGDAJW2+aRyEXX3DgYfKT7oHOWF2MpBxENuWN9h0qVfdXW
YDtns+BM2mkbkPoRCDy1HAiWkZyt8b7DAZ70K6uM0+BS79iB+FnUxfRdd7idOx5ld05rWfWdkZkB
kz8q81OGwVj3AHwEWgIokqB5TccYKhTE9mL41CdV8sEjQ1/tOYI1ZRhsPBll8WYNl3tw0ztjYv4t
GKFPblVU+bFqlqsN59DO7tlFQYoBZZhK0vtEOI9pYFXuTrOx35uVHL+rJC/8k5/VCNDYhdJuH2S1
Evs0Tqr6CDu7++qARowjs8rYbXqwFNmucgQnX0vBV/AmrizvXPulzm5wjcibm0Hr+tXPgLTc1m2S
s6idKtnr0ikBrHGgqYhUvgbqZg8WbMdE0eAPCXxQXyBu6WrPmVHH0OHDtDo6WeF0+7YtwvzoA2dN
Hqq4ktx6LO3Vh6FX+kcvEw4AoS3eGbUKhmAnmiR4zUc3hR5veG5yZ9pUND5xCQjnGxsEsPhkxQjp
f/kKDvzDGGT9gBXIGFunRsd5+xQURW3/XuIyUycvHOWH7tFU34Jbgmpt9VnrPoqEAgHs0CQxnmJr
MSGTCsVDBJHeBS2HqFDlsAcvxHV6UoEqP+MP5OuD3Vvug0110yoig13HebLc0ryYZQoPbfQbgOig
CYvhNk2yxj6lVthkRxi1VfJ5LLLOOkzxNDt77acl59vYF+X70M/sbjxxNdOjoB74nZeQZo5kkJnx
Dup3L/eJ6PVrYSeuBawJd7nLMHKdjjhE1BdvSLv2OEiDysHQDzXJrteJ+iErw9jaQ3f1k9epNI16
18+BCXmrXab+yR/S5lCUA9dGriAFRPQgEeEHVSR3PJR+7ja8WpFoRx31qPoFdauuo8Dn/3CTB6Zn
waOsBgUCyqeO+d6AqcTUkfKFF0YEmW08NpXBRlt0KuhvPCiYyUzbJ+TAu4wkC7a3py1Lfo/tMFRR
aDoZnC8Z1t9Vxv8mQ0rdER4XiMmHWOXtd4reHr1TvIX2uzht+YGK0l/a88g/kO+rydQ+hSan8L6b
le7Kc167nfsSjsUoD17MGo+s2a+ezNzss59Ba7RcevM0TvfpbCofRYGVOCFQQKecnG+duxjhT1tX
NYUH3QzpAeWvwfWpyHpn51edGUYTqfi8TQW3br6FoZiliazqc+dVxbkM2+CRWpmz8TVm3YDbilpU
2KDU56A3p31eZlW0lLjDbniggjGxepCRk9N5vT/ROdfmh87QT3McHrcNvdI3lJxiTu/gZKlbCyyi
mfc7Y3a3PM7y3auHmIXSvRFUSP+5w9wFS/vANWaLStUX/yXNT8F2lk14dSJIZy5z3S3PSttsK8Ra
mh9784CHOi1FxHoKNL554pq/Se3Jl69eTlue7fLZTPHw9+0LV9YXyzS2yHgYeiU9ArVt2I1Ht5Lj
YETgGwlpO+ZoW56UGX31TJpTztWZunaI2c6xzfo37btvm1bhWhZMYzlAMM+oL00SvuoawOzYfN42
9OqdlEzCKjFrhtLMla4U1S7TwZZ3YyZkFZYpsiOuLvgqUXCdQBWa4liOapv7g1irgkOjpojH69ll
sIwTFvO/e8P/sm1OVnE5tQWbIGLay7UzhKrRzkinbXOyVgPnfQMwqI9xH+FhBTIjSN24b7Ytk7UW
WJBfTb3F+tZm/tUuhjsndrZoa3yxbuyAuInqyMDZJLQL+oiKlysrfdNsu6uotJq0sfBkpc3PV1A8
VeEerCrJNo7u/ik1FrIbQyBWNGwHC0h1v3mYSTq3nQ7uSr8AaM1yCk07a2w9h5Y6OV2+ceRVWPrO
EIpUs39nDSUOxHvUwSpSr21TvorMMBZz1qJEvYTecCr1cjuJ5rRt6NWBKfOxSVufhbK46dG1zOcw
C9+3Db0KS954PYy8MSMkq/+YpuxIdvmyaeh1U0dRuYFrazZYakP1EXXqcsraQm/R7PliraSPXauu
wlI1l3ZywTgblzqPP2378NVpyYsoPrgNVoSuZ0Wek5xmbxs7BpP6PyNHmjqlpEjk8CqJaABvCbWp
rYgJWQUlZ3BpLcj+LzSoUYkzbqW5bQtcy+dxvY/L2uCHnJMeorGooRk78bYTfi2fB15c9TWv55dF
mbvKzu8c899Mgq+/139pcpiRVUQiBsghmbS03jaUPr4V+Cd/46rFrYrqmbucw6Azn2bTsdt/+VuC
v/+Da+uxblxKn0b87FLxR6DsSeL4buL5+3YZrQbNAw/2L5AEZILSpcq3bcZroaPVFJYAzU4eU/Xp
u+MtcxktWZNujLP13mNPMpAJPz4E96cmtu4rUW378nWTgAo9PHS5HF7Kinot9/BvuVt327bj/2oT
gC9sLQK7HN+Th7zMH2x/3mTyI9Y9Ahx/g6w6vrvreBTs/CYKbSQ4mzafdZeA3ydD7rbMdz8kH6W2
3/omUf8y9nUr+EtArNsEYqV4TUfydKlNNHa0Ib1oO/W+yHmT6p6i72oPAtlQWOHk16TrJQjzvvqe
6vTffBH+H+H83w0DNH7MAnMb6nwscTvvf9dJZZW7WAa92sVZYzzJqtq46607CBLZtmml8QG10+6L
mK17f+i3FAaYptXG1A9lzTMcZiBLSEXNKKhxlokW//IrXxOlv/3Kq4itkjaRHavyUo6e/aFMc8C0
cxw2GtOsGwiE3WJahDPNhTfR+c2UU/rVbgu1LWzXPQR23nitL0qmZvSqG0sYKa+76fi0KbjWbQST
UU/5orHncikmYRkVUi+2unFbfWBtBbpk8FZ6h9uT0tPFCN0nw9bbtpx1DwHqsHT0EMpdEFSmPLM6
DQ/ynlr+5YS3/h87wz///T+QS6VrxxQuw+oyDj1Fc09l80OPqyDS50nrjgrhUH3CRaV5aZUw30rE
XwapUeH/Cpwiu1W97afoyfuQV9HYeAtsG9WMS97wnPRZ9TUL8ralAdScfvWGa9RHDvpO3gnScVRm
DWPpWsurifq0zcBbrBsXyqarHfqWSnw3mtu2qe/TKtxWYlrr/5Np1M6IROmGvPC3CutdVRk/ty3Q
VTqeo4Jtw4yhHeseN/Z22XbUroX/gJl7naBqu4mn/0PetzXXiavb/pWufidL3MWp3esBmBd8i29x
3H6h4jgBgUAgCQT8+jNmOr1XzEq29+LpVJ2qrq5OO9ZkCum7jm8MDqw5ThBnbwQ9vzA3a9T/mNss
UEgIMyCR6c3JW90hvWqeNm3ImqITcz9zVARYXaL5M81F2rGXbSuvQnG7qCUfiw5bTZp4ys9ps7F0
uqbnzCvTRUEuoqxVOwuI43DYJjJmr9k5nTIgzqSwsu92u1nRCwPO1W3b4cKb/GABjNv6/SCwtB1V
e1ctKehTtrm7Nba/7DBcOvg4fK0/FEkB7BAAeo3ZbXvwlbvDeCwrHKePshrQtJSM7fXY0k3DFKG9
VtRGe25pgxCLe5aMQ38fAOOy6bHXzQF0P1w1QR0lC1tAHGgfm+p+28qn7OSHNwlItuPzE+zerisM
f4dxZP7ctvIqMa6qyVBAVoMs9HyeLFpVid1ivmDb6qsL6enc4iH6YmDQJmh3DsDkLeW0iWIitNfM
nGBCzwug0oOs8n12jsZvuQNUmL3hQH9hBNd6vxNwBAEPuyCLtFtfOoLn98CNbjzia1nYqLccTwHZ
mlGgmUbf3veVs+32rOk5K8nNtGCsIbPJmDriicllW+K4ZudkEaVG2TrItOyA5X/pl40RKFk5SQ8I
JBfiqlhZA4ZQePZtZXd0U5GQrOk5oWXNMWLh+Vllxvf5Ml0qo+62HHCyZuecAXRDQ9X3M9KXBXSy
8yY2ItgW9pNodTmLNmCevxg/a3z3DjMH1xKd0m0PvrqZNoX+AamxNGKTTNrFmfQ2xbVkzc9pxqqj
4AAEnLKY2dFWw3DMgSXZZFHIWhZbOmFlg8bRz2BXyn1oEZ1q0ZRbhilDshbGVnPlqhFAuWyMoAEU
+me+rjdui/PahBsDRl6/HfysM1GaWxFmPjYZKrJm5yy8vrIXNvvZbNNmB/wk2UW299Yg3M/NIFkT
dHYh0Kb1gNWp8bsdF8xNCKKsba9zTdBpoXiqHINjCFGOCzFUH8XibUrd/hrr+8Fnaq8EmVSDW68G
Wn1CehWaxKjKUtusyppJby47IGOmZcoiQY6lchIN8Nmmy7nWylxyq/YwezhlQQ9yAzNH9xDO2WTD
AdN8fQ7bRdoYXhymbPK7ErD3ot/rPBSHTU++Fj+uAcZWGMbA++y68oCxt/ootb3toK+JS5eSBoyU
lp8BY3Nb5cCXeG2w0bCs1Y8pH8Ew6GBxwJq92AZmMDHeGGw856fb9cNhjMBFB7w29TNTVJgQ8Prc
AvsiK6pNnB4hWdOXQmopRF9QelmzdOm4yMQBh+G2d7qyXFzYtCeCk0zleWLbeeYaZ9tBX1OXziHp
DVQVSMZGaCxNFWB20aYoiKypS0HzNvFWFSTrrf6uc/h931hbmCtCsmYubdqSA7g3ApvaOA/QtoSw
em22HZQ1b2ngjpi1AqQ+I7MDvDCLPppwutn0Ite8pXUjx6VvyiXDlDF3UABi472qm20KemTNWtrW
1eS4VQirNQSXQdvsVEQ2ZSkYRHh9fSD2E0GDu5qygYQgw+G7tsw3mvFVrgnMoa3gOE3WdiiKofNY
x3L2Hrft+CqsFQHaRYRFJsM8BFBA/iWA6duee41cyp1Ol4uyhgxF7TRUZVZjOHbTU69xS0PHB8VG
DEcyNcee58SWv6lYS9agJQFF9Sm08yGrMJFa0Xw/bmKPDMkas1R5c1eKwRtwQjDAF/ihD7onN9p2
K/8NsyTcZgJv65CNmHxKS0jx7VyzTSaPrFFLkK9zHVaNQwYcLUb/7MvCbBP0IGuBXIxtTIyKYsw6
d7hSg0iBRNtmBNeopdHtC0wfidMErcLoZ11nFqdftx3A1Z3szdTzeQiGrPTDzEgrLWSwzQauaQxp
NGKImeEETh7k/Hg7t/uSaGtbzLmGLfkgSNSS2AOAZ+64w5SXHxeRttNN27LGLTV9ZVzU24eMtdbt
Upk9q4PnbUuvMs0Qkn6TT6ohs606y532hi78YdvSwWvbPXsQ9WC+HjLoKF/nTvTgtNvI5smajtbv
2nFACjFkmN48cDMfw42KnmQNWVJVOU/GwlNzhxQxwPnnGIv5vG1HViG4zU/sVHY3ZE7wWBCzs1u2
LejxV36y1Vz7FKPMmQO9t6UZDr3/lobt6XX9ewuS+Ks7CUYODEIMZshC0c3RLmxkyHZjLp0/CzSF
gzhUXrWtzkTWermTNgSU0wOMucvOHS7PdGdts+RrBFM1eFEJST+dRXWX5CDMJ8CXb3qta/hSvrjd
7AhPZ3Nl8g+KdOwib8JtcqRkzQUaBH0IJ2TpzG1KElsDD8/dSczbXP4axAQ2hmqofAaL257UAaO0
Ltg2i7sGMbnEo8Y12Bajg4MbqYsBrCbbdnyVVQn0Ka1JWipbVBRjvhZ03uG2pGeNYVpqNMFcU2Ig
4olilERsXHZ1QTHeW0VgudOZPVoYkK8yDHJvy47X5J9RWMH6obyRDVYIKdLqCPqGt1AmvygCrWE9
rjeNBMPDOmMYcTk3uEVHC6Rm27zmGtfTTEFnMOykMln5H9yZYrw3AifDpjOyRvbwjveYGJp1hlk6
fjZI9qErpd6Wv66RPcAZuBF0pVVGo2ZfheGxmvxtpcg1sKcsw4qNRaOzxeZ3lSNTn2MKfdue+K9d
sjW5BTKGSmfN6HzFIPmTGMAxtG3t1Z0MNJW04lpljvjiY4a2jti28GeN3vH50Du5xmbnYkkAZ9hD
uHOb31yjd8AK43TydKCLRpljMNRy51Ot3jCupyDqJ67z38g/rdYeQLmi4Dor98wAsfyp7zB0CUwf
672dBp2THYNmCxOfm97BGrRo1GTAgxTJrLEsmUohMZcMQuBNi6/BQmQWBjj0DvQvBVnijg59wnN7
Ew4DitKvT2aje8+iI1dZC2LKfRdUXRq2oKjd9OhrrFBt6akJJM6mPZTkgtvgNUD2PG87n2usUAkp
tRJIVJlFdhukZdM8+ppvE98ma7SQ3zqKTk4vMxGFV211w4rgbtumrIxBAX0MD8M+MnPrEVIR7ktd
im3ljzVgR5dskm2FpaXA/BMscRyYYZsKD1mDZA23BVs6T2a2XZxjoy+0Etsc0hoNBD4YasZByIzO
FEwHedw22zriZE0FaiICQWCvkRkT+X7pvjgk33Yv13ggMoElRRLaZ7bjppDFS6jemGet8UDBwpzS
gtBwJus2HqIJRGDttoBoDQaaG1FjPAlsD40oikdqJna9kMJ53nS21xyg4J2geRR0fVZAadQHnU8z
bQyJ1oggqmdMHddY2tBSp/U8VEnYddO2E7hGBYlBWKZvsXpvV4dagJbM77Y1gNaMn5UsobtT8Aa+
DmP9RVG0x3IA5HbbjjuvDXh3mjdzl7bIbKCBEMrd0G5jQ29N+clM42P8fKoAVbGBrM1bbh4aBc7D
jY++KtbCnOS5KrH+qI2d9kv9BBaRjRXENTbIK8Hg0UrLP44qOtOgIgrzbXgPsh4aLlmzyNEDP4gA
PzdYYucYfDgb22Jr1d55GZvB6rwTRZMbL0AeBfa2u7mW7CWaeT04zMZjz0ZvT8tiOWDqfdzmjNfY
IIAjZVj4xXisreDCAt1KNHbbithrYJCgyvY1ithH5iyguJLRpZOzjY3CNS6IG6NA2YBdYXK+lz2v
YlApbIz718igyGpQlVCnTRnApWFCmvWgutwWdK7BQW4lO8+cVM4iUHyAy8sECZ5/WxFhjQ9q8nK0
+BRi8Ty/g0Drx9xsiQmDaA0Okk3XKlBcj0eLgw4RXIIh+Ak22EIsTV/bQrsEQ2ppHMi3TGU6OhT4
oE/bVl6VawdpN6MHWpITt/Wf3Gr2ppYb92NVroWTnGUpDBh6++m8G9k+WjZp3GM/VpFmhzaeU5b9
eByrJt+D4ssGd7BwtiTMWH2VeEYepMvR4hiPcgrTnlQf8mXTwDCWdl+/yLGpUVfph/GotX3pFAVP
Csfe1F7H4iuPifB45C2IXI5g7rmKohDk8KHcYqqw9qpoG7aEib6sx6MBSyI+6OCG48ZzsvKWSpLa
B2/KSQ8KLHOhI8A8tGwqpQbRv8GCxirvesLHo1Boc8z1Euwm233ZdHnWur2WA2zkgHnko5j6w9IE
MTZpi9fBc6/uJaFaoE6OpUO/TrhiSVds1PZZg19yUHWDGAlLT9Oyj8CfXJJo26tcQ1/k0JOFSNyc
CjWhWLTVB0rkRuEturqWPcaifDmB8RvksInvDrsWvDPbXuTqWlZgmhnBTzceT7xBaF6BTTD4sm3p
1aUEwwzoiiDSeHQXby9AVBNTVNs3PvfqVrYNBIgqkA8fG1HdOfWzsMItsHycv9Wl7FsRQV0Cm+2S
CT7BPxS93hIdQyJ1VZkhg1sJsGUhMFGQdeXlAXM9W5IdLL3yk6DnVNxGK/kI5bc46NwkAL/Gpve4
hrxIGzelbqrxWLAlrcNMdxv1S9doF+6MwhmhiHOcyjZFPSluu02QFOzHyk+SXs49aWH9irmfUkYx
7bwU9sYdWd1HMBIGtV3guaNIPoMa+27kc7Vxbfe1nww5sYCTx9qlezHYNAG/3MaVV/eRg4Y8IEgU
jkM3x3P+paMftx2Q1V3URRn4esIBAZ4mBZI7Nrz/yxn84/P0f4ov4vqvCq/653/hz5/R+5SsKPXq
j/+8Fw3++a/T7/z333n9G/88fBFXn5ovav2XXv0O1v3+uekn/enVH3atZnq+Gb7I+faLGrj+tj6e
8PQ3/7c//O3Lt1Xu5+7LH79/FkOrT6uBgK79/fuPspc/frdBSAHX9o8fP+H7j09f4Y/f3ysNf/Fb
pkFK1v32j992Wkihh98yxT+1Lz9Z6ssnpbGuR9/RyAFviud7NrFPHCfmy18/Cd6h7ehBEtx3QheU
zL//1gqpyz9+9/x3vu+HEIYgrgcZ8RMSSgnw0eFH3jsPLPlh5LoQlIRmZfT734/86rX96zX+1g7N
tWCtVn/8HnyDI/6rgI9lfBDw4rMIkmzqAUH5+nx3c9NKYfHgA8g2X9qRY16SgBZbVmV9KZbI2TlB
9bXs2zyraXi12M2yz8vmQoO6OWb2eAl+Nu/FeH3RxmyJeAIWmhuTO/2NAsXAVTPTKQsnqW/zymkP
nsv996Rq/PeYaQO599JcKBAnxSGfVLoMc7Eromg+H5b8MyfuTQg6+7Rp+8emtOu9E2ovDUnxMtus
AJljTuOIdnfNXGSqon/ao3vTdR47gn+u25l2bJIGqMPYb9ybglfPg+BPeQMi4JmyClIT9F6KUMW2
bbUxxIv7OOcLqKsJSN/R/3oCV9+D0xcfnLJ5EgXqg2FHAY60PpU2Rn8G/hXD9aC7JN4VW4q9Y7ko
NgsNNnZHfZxlB8Y3KB48Qijimdn0Xs3eEUmvFRPAopJJBVe5Z52RIbR2mMl3Y5CenoPj/8Re6NA0
79HdsCvqg+FyaQ9Ej91+KPF0lY3e+zSRh7zAY4Ki4X4IwAdrW8jVWxeb1bf8K2B0JNUReQDr2nyY
RwVi5dnW4EvHv4xXvYQI/GPYtTaG+ene504RJFC/oKn022sFzZ941oSD6FqUL4VLSDyxdjh6o8qf
TOfnj0UVlvsBGJVrPvLyeuQgjS8EaG3tronFxE0aDSCZVLIAD7Fe0DzoPche9HW3A1uZn1QMnx8u
pHsOfGE/DhCbjyG0soCWknf7fpEqBV3+i8W9myi0wM2KLx2iJJRYovzaWuVX5hZfWWccsGi2F2Ke
aFp32KICDSnI8Qx5RqbZOrLRmnY4JizRUUGOheluwxreWHW2f5yhCBIPUMXFqfVAyYSRsRR3oYwh
Yn2JqdMZUiWtl8If9nHhzA8jLcEPCc7meLRHmYEauT6jLQERjWLuRz6DyB+zck95kavDQswDhsTm
JFRjmfp2eKO8HKip3HcPBQmuLDX6V5Cd7D+3FuhZO4jzghrbu4GuSrcjoX1Ti+rFVNND1eO5a+jY
XHZgr/7QDH0VY5jIigsQ7icoSd4H4DHcDdxixzDAKiAauG6le4Me3KTiCVXo2HO1SiOIs8dtkd/n
ffWMLtRdO+Dtiwp7UHcqSr7tedupMYYBu7Hsdox7qqsYirXnpu6uiRkvx4Bf2MwW6bK06DFVuEmh
CP2kbnHYlcbp9Cf/4DmijCuBo+ufCg/QfSguooZmUUtwuEV73bshu1mq4MrB2wQstXu0JofH1hiA
4l34R6HBVA5C7CO4bZ96tTwU4cxPdK0PucY5mU07gIqA6pTp9oLL1tuzYmCHjrU4dh5okaHNgRvB
qLpXpA53FMou952GfalO7Jge9XfckhASxXeXZLgsKL9YOjxviJEE5XTXYsR5wtzSVb/gOxF08eOy
hJCfMmQ52oU2aejoEeIk1VerGy57EOylrlM0wHo7Y1KRHDIw0gLvfNDnT9/sn1BIyDzw/O+giIQK
EsEp4vnyYAWzkxCdix2Yu1US9CWqNTbecQ/5sMTDGFISQBtCOd4NscCA79BAvEfn0EvoEk6QZIHa
A6OutSMWUWi2otgDURI/EdKecKLG2gFnZo4tETZ+XgjNs0VDv6CJYDzCXj62tnw81c/icIDJn6Me
EhVzexfKro9dMCvegkLaTxo/2PtkcnYWa2gKm/pQg1EzbhW9B9+qGxM8DIQF5ONQwlN0+ScvKL82
vkFfj4NpOexGvfu2dus6dQqOv2wE42xeL8VODgTd9KV+nkdOUggOqlQVSEwQsHT70rRlrI17aMv5
AcT8Xx3FwmSB6McZ6Iove9sSiSlwZXnrs0SU/KKf64u+we/D7V1Fyly6eT7tFgm3RL3qqfXkoxwa
50zT0o6JtTx0KkA+O+IgOj4F2bkZ+jJpgyCSIJiyKhD0hlY7J6pa5GU01DhrBNzBBhrjUGagV27n
3owG944U3V3UtE+9VX2oepDlFiXOQt1DBgV0HODbzSEYBY5plvgLtDFqHlzZKLkcORKyO7fuwp2j
qy5xLLxLB+5gGtQjRErqM9AovHQQBAdhv3YSM1hzAgFl94xDc/tYON60w/yifQ9eTLDyGtdP9OLd
GLeOIHViYWiXRjtoTysMCXV4t3lwj5kHjJHzDnt8Kg4qXX6FMNPd4olrwMSfJjxWMhf4y0BOPReg
U0dZqL2o+vnB0sHVKPoepLJjeGQYLoldDy9UF/KxWTiGvyrshKbWFxC/1ikvwqyN+BPOwWM74VCH
XngfNdHn3CpfCA2nneMssN7MkNidl/w2n9prXs8PEFd+zBXoibupkpdu24NNW6H2HwXWF3gaFdeg
NLbQDNz3DdhbeNM82VZ+NncBT0xZvFjFaetFAAsE+HTMWpB3mkk9TqarYlbgGW1s8zjnUWaF88Mk
TH5WY7pvJ6amurHqAq4U3dcAUzn3AFHUO+lJPIJfvwCs8nWeCnCqFy/1ACsDLYXhaHVcHOcu96G1
gaejBr7OsBJiQtCkOECKztn1mLvF/cSLhcMqcVqMlzbgeU65BT0ShtsmLbw728AHgqUATziw59G1
zhpgvpOose4HH6Z8GCIag5wZTwO1sHiAvHhsdwz8042JCwNr0M6UxgSStbGRpx0swYc86iLA+YZy
lEw8P58v5Wh7D3aJ3Sg0jK5vunKGHgN79l14Xm3x664FMz4hdiJdfPWowjS5a02QDxh6MJvj87vW
gTmq8/vSIzcaOlhxtMgOIDtcjAWgvoPkC6hzAWyJJS/L9yDIhNYLLGUyqOmBQb/nkxwDfBmuHk/x
nWKNSlht2kO1QCKHILZKaIugpnNgchzWR/uQCZIKBTubk7yNLQSCO4fzC9XYn8Rc+2k1iqdGsGGP
uPmgjXZ2Y1u8sFrh+MFc1TWsP4FmE7RhEDm60Go9+nMgwWMdunuQ8Du7Ehy8BwvCYHE14l9Oh6MZ
ehOPKyj87KxRjlem7zRGm8kNqcK9i4rpBQtxa8DBHgdtPieD6a5Hg+ebCS9P9Fk15l1GOAMFG8lK
bDc0pZ5BMskS3sDxTtqHnMWM36Qa5qyAdlHMw/JutJxhP0sc1Bo4NQw+4XsHbvEiuvqpMNGcjKcQ
u+RNcKldKPvCZNVpCZrjJJ8ak5Y5vYdUI8Jp6DBAoM/OCtnJxB8PyzPgrSNk1GbruSBwZl4Hynxl
4aLzHApU34whQ2tvV+TOWVP6X8F7b3aV8OYEQc/D2OX6CCpxdYhyt94xqPykkc+j/ahxgh2I9JwX
LfzbybAA8w+Zn6lA824O7xeFeHlaShD0s8BLmTNBGkjCE2FeH9tYB+4ZKUt9+Jaj/UeJ6iX7LIUS
X/U6DX2Vuf7yb/2/mKyG3mnu4c1k9XxoP6mSSaSrf/8n+1nC+tdyfyeswTs/IhQKapjb8PwTtOvv
hNV/B0Js4jo+ElpkrKiz/J2weu8Qx7puGOLnoeOcZlX+TljddwEWsakNaWmIeQDU8h8krEiLkZD+
mLA6kXvKel0PTiJ0kFG/Tlh7QQPHsiv5wR+r21pD26O3A2sX+NUz0vUOt5ghaRz67llXOtrX0BdM
4boxvuV03aeaqHmn+3bZw4P5V5D7WyCvhCi8BQP+pYcEFSKAy4PnIt4BMmTYD1LDxpcSkU9TzIdx
ctlxAcP4zie5dz5HRlzY88QOILaODguw0mmhvJtZLcHe2PUnN2xn0JAzfArUAPYNJskRGXZlKjC9
m4ZWxSFDizRiwfx+aiT8co18CjIDgHJ3HezCIspzxMQ0tSMIJ86n7LRAoKEQ5UQLY1e09iX8PH+2
Z/eGts0Fk9VLs7BnFiLCPf2PKCcPHlpUsaUg9SiWPxWHwVZ1fzdE/MIiFLFjtTAoaSLeHS3xVFIk
4qPQmNXzQYlpkITtFi+oAXdCEAJi+K8Ozc/AVZ6fhdpaoINYP5fzECWqFHdFOF5O3SnBY8ip2YjM
GQWGk+GvnsOTJy0xQn+gJZ6/k6S67xHeZKxh5XuqFw3GH7HM57mv5wN6gQiPEZh8y2whzIDAaQrp
oYnwkqA8aF9MXXA11D2S3GCCXtET0fg0xVsIsyFF8czJGRrswul/iYA/mVnetXNxni+62zkt/rLv
t2A36Cs479H6/C29oaCYAB+Jvixn2DZQhoU7SNXymJbB/dAiLQ3gipXkTyDO6PYhn6czxSHbsjgT
8ZE5Q1RNDJPejRLBmsp7GD1G4GbwepwIsdJESvg1kBwlsq6+nsoA9Xx6xoE/RREkPMHQyiHZIa6/
5R+sKoc9hj67p66KkB3ZiFX7xbUv3BZao4b63tV8OjqTqy7RnbTiCOJbF1C/GS7CAGP0EMNGNBOr
sHFuOUKrZ5DH9DdsGR4hF3lw2EDTJXKPomfPHdi+kcOJuzLQ01U3tU8ql3e5VzWJW7V3Ck9b9fCm
pLm2lQbS00zlXkmr3lVO8xwO9ctcYRzL83iZMs9FAw3UMSBN5N7eO9U4ohJOrCmts1IiWp5xFJyT
ZKlu6xeISiCGtW8QnrQHH/ipvWAIg+oank7NNWQbCFIDAcKYBGIB/sPAKgSleThMcV7Db1Yzv3ak
fwTdV5G6RXsnZ9wzqFh+9Wf7ZjwJbpmB49ix9qvfBVYM1TSeQEQBhzAg7YFZ3rzPG2RtqgK+N2rM
ZcXKpyVAJcUqECnwCls7deHYJlAacI+RNgKMB3NxESw+JK1yP9jpYrk0Ps7M5ON9Eoawgod5gb3Q
9kU3sek9c0DntiiFhLzOeQKRgGInIukkVQHnaTBLnZAaC/hub1KoRi37ZUH6CfrYRyhWdckwB2CW
Iigx9KIoX7SATAAQJ2e5xb7m1Dt8C3jtEGJ7HmKnYuz96xBm0XWIm2F41Uu5QjkJRFVWPFCuUqfA
J/YR6hynZAg7Gey8iFxyVLWOAvoP6ejNKIT4zhITVb6MzFxChOArnfj4wCvEPKBARnLTI55iDI+m
orJJTKXbw1A4qPvxCnp1jnysafEMvalPlIw8BQ87O0BEAgFhDp09G2Wr2KtReoDOh5PQGTEM9UdY
WoiD7QSjVlxRhH7dDFq5AR2xY42K2XtK3eVIp7x/HJD57YBTbS+asZXPnYDE4ciQb+WQn/l2bnyN
xBqXDf0MChMXycWB5I2cj8TGIUN8wo4WRV7nMYa8yRv+wv3+fx6CQCf3hFb7dQhy18lPms/fww31
Y4H8++9+jzfs4J0XQluZQHX0e637e7xh2+8g8+JAZ9X2Igj+4vO+xxv4iRc4mIBHFkKhdnkak/se
bwTvXCeE9FmACCHyoC/k/ifxxjfqrH+FG5ZjewiOAgQ1r8MMWWLacfaGMHPlmfLbz5CuTRsnh4yr
fbCkgOYiREXN+6GI/mqtvOqsvCrJv4pv/vWBK5BKgxYndxSuzULctB+jgzOQHgxk7IHN3fMPb+J7
G+DHz/gGiPzZt1q34QrblBzyZ1k93JrFS71Wp8YPTpDJ3Tg95+BxgLDjuXQX5C0y0XDIXh688Q2/
Man97NMRP/7IGMGDBhTAXm2Bg88cRIP8N7dQrVpiWzUILq6Jh0IN+JdQ6Eusqblo3yII+Yan/Nkn
n4LKH7gqIB4O2b8eg0QWzCQVBy1Z5gNwWRToNpDx2vTheVgHqbR6ZFBv4QR+eYhWLb4abZEepGki
m1GoeT9c8ff6I1QJ2we04N4C7Z46yj/7aqt42IKWklaLyDOw8KadFyFQNIdZvkfPIh1ElJYoOG08
PatWPJsNiTDIPGUmoIdlRu2cogiUO7FfsGvuI9zMlwPMMHKRe8iUImKWuzc++vRt/v1b0jWkLVis
CarNRmeQ6jqM5Fqb8ODLAp171J1ryOko7Kh33lNMKQRvcVWdemA/+9BVE59GkyVIuOisdkh84jgC
BOFgjd4hwpXxJmjJAR3EzFscBb84pXTNjYW6wkx7TWnWPXZ37AsE282UoL+Tf5SXYOFa3jyXv9rN
la2pc1lRt3b7LLLCWLj3jY0Kzxx9Oz4LLBr0IXtr2NuV+4G8aeDsb3NeP9vPlfXxDSImk0uR6X0Q
JuzBfmwvRXlZ3rGe7svrNnNA7BrG9ZKM6fg5D85Q271qL0d1nM5ZHn/Oq3MbIoNQR7yor/whUQ/V
tW99Gi+sGCLxMS3cy/6TuBK3fNhBk27XH3z/0tohMYGE9pW4qapMX9LO/sh7NCo/ogoYf6Zx70AU
EYptR+2eKS+JwNrM/tS3462il/bOTsQF1Ul4UFm1m49+Bsb6OZv2U+olbr6fD/JM7DTZQ3w1a4+y
3efqc3kpr9SRNWf6KK+i2wAr8g6iz/fNrbUf3vfXfQgm5Rsvf64+uhfFgUJZ/FiciyPgRPZugZj2
C7TKUSiU6fjseTAYV9aZAcntQR7aQ1idD0d13HixVjbZNg2A89bsZIj8oOgVpahfHjERibmWsboO
T4ln7qYYqoshV5Si/v0GYOjbUMHPDsPKJFuu6ft6Ik42nK4vceLQjtCBhNyc81SCe16cdEDlE7MB
i4dZGXV33TDnMKOTpt+84eGvbsLaQgcTjKcz5hn1zokr0PSMEGbT1ETVmVryBaK3caH4R27Ied70
7k74BTQAIASIKN6H0OWpnUh2J5m8aTTxBGaREoE1O3VNZwMdvwKEoj3rb6GuLYuojhEZj2eG2myP
IH3XM5nCJw5p7/D3lgWlQmOhQO8gY2jMAHFwMCn6aqxiSZOKFx/DmeGwzR+qws5Ag1HuUXlxk3GY
/2Rt+R5MnSjS8SLmhXc92f7l3PopJhf7vduEMe2XFKT7GOlsrsqxTSGPnSLvvhOlOha28iE61xxJ
WPf7ufIGJDD+VSuc91FrEt09F/TJfotY/BdhCF1jOCvPjSAw1uVZzo5V/xhFxTO1SDqx4TrssIPL
Tgfd7Uwv6QJRarxx2OE3nNivbPrKhw2Y8Bv9GnAGO++fS9dOwcKaMhchQB6mrAjPBY6ilu5fdchf
RnW/+qpr2Kcn6cQC0uRZ3x7w1fwcyT8O+clrxkLcluMcK3YLWDXMe3EMw/CN7/mL2IOuIaELKljN
VFh5FpxKKPUAMBfajlAVLtHdiaru3FvOR/+mFbdvWJLXBbq/A1i6Bop6bjMq15fVWZt1UXTGlfxg
QWb29FIrUexq63KU/Nq34akD53wpzqLsf/7kn0dAdA0jnS0MLSnMVUI0NzrvPQed0fFcRRYigfm8
w59PYdD//FG/3NWVCxPEcAp4gJOJmVyXOTmj/v2p6zwU6gMNWkRGLO40ZB6RlL7xkSdT9BNDuUab
TouSLcBAdjbm+txiS5ybWwrZ7Kasd9q2zxmsYT6H779VAPAo9Ry+ZaQd+qsPX1lpT80BhF4R8k3j
eW0i0F52ewrnUAndxPYU5Wjao7zIYaLqWl9Au/e84dH7RsZ2L6/aZTpfuMl4n//ZueLCdVAjrMGY
wOLerRJLA6yzp2pfu2e92gvxf6n7suU6kS3tJ6ICcgJuGfY8aNgabwjJloBM5jm5+l/jf71+kv5w
+Zyy1XYpqiM6ovvq+LjkLTaQmWt909rrGVsR5u+sMCU5sVZGF/lJP3iabBBLCsZp9h2M6J0w2hmb
VoIni/i2eurB2SbLwe0nM6ivGzrvx+qVgchCkZish2HdINXZ2UBNMS0jhzc2MjKmsAT06hkAPlHQ
GZAWRHutHik5jfk+Yo+c3fTk4k4PFXvv2H1e3FrDWtH1YL8P3QbO/qHdmnxlWutcYajr2pqWi8bc
82ZaW1C+D5sk3sZ8yxNQhCtAZJ7MvSoCuGdU5DA4Go3IICffLoyNpPSsmv4CT/yBwlfaRzMIYrV3
4ZbrAc8JXYdAVHyaDivVu9shDpKhPk1aIYWL3sL/u+711jTnE3MeqLhDVukaUyg2WYwzFMu9q9he
ZnyVuOk6caavVgw+1tG3bgY6pqXOO+zcN7p17lh3whTgLc3EBcNCjgXNv3RusrfT6cZiMAYhk0u3
IsRMzCDOGYQRyrdcI7R0+2U0nJWLKgdx/EEli5fZdDEyPk2uUwcA7ayx57C7PJPruS7AFeNmGG0B
9scxD2aiLrK2ETICJdYb5uhh7HrptTUAyPc03jRAQN0gG3TuNXQ8Jr0TSt6szZLPGJkyYuC72NQx
mjqoJqa5CLhydiMlSEeowpzMV1Ce+g4ApqEawczrNRcYppftncq5tpJmU3RTWPc0cOs0rBJ/hmDS
SAhMbeVtNhVnOQyBxJRphDVvI7ccPXsdTfVya87oKS+deqBKAw2F8g9kP2iChZbIxy9VAT6vMOE1
qeDuQ+hO1R4FvNNaytRj9nTSqfPGyHTbV8cas4aXIZleqZrRt8HqDXpDzHQ3xuxGTewI5O92jO1X
Z57gsIc30ySbJMtWmvND5ymhr2ploG7k14M5HoijvGIW29Hs1xx4Bc2tjRGVW84A39vORiRXGA8d
QoK4d7p6L3sVJuTJqCKs3+k6iVnsodyOJERDTKUvoEVXcQJEAAEW1HzEzuopGxO30ytLpJ+dk7/b
aJa//6FDt7TbAP9DPk6tEX0ybZx6AD0OoU7iBHxpN99zDORF+Pa6F/Mu/qx7/haS86vd9UP7bEP1
x+yWDluHglqOo2PcYYHnw6qU5on2HO8zkOK28/rq1PISYz5uozEKYhR8pritNV4t2/HtuA6qTPhm
Zfpm18PgDwIgr/0y2sgeFaSFibF0CauXvrIVxECXtngyTVQ7X9ORhG7EwRYxnJEK69JYRyUmfqBE
gw4k7ImGhf06HkDL3yi7h+ix9u1LPn6mQ/7mt//VLfhQEs2IfYTqLVZbiokLpNhH2S4jl8J8wgnj
cXSdztSD28f0i3jCvPqrFsIkFzWrCRzZhHp32pqFj3gGrxAVDr80cAnFTFN9ymsRXicq/uTwdZf2
9BcX+lGvD4QwmRlXyIDQdJvgELaNLoCaYg3xUcduTPfUzMq3wYcrct2AnAf9tVVFd0DGxiofbb9J
4fWurlJyHCBsw0tG9hnGrNQVbnPS+Jny+x4jyrNH2uF1ewWJ6NdZtG4Rl6UQkjdJ4bcY1B6rIhAR
UtawxBeJ38whHK1jEIlhy1MPVCSUmsyry0seh6k7+zltQfx/yfL3pQXgwvTTLgnbSWEyve1hIh9G
peSe05iIbwIl0b0Y47MVI9uXHCoOWt3Q1x3VAVEmZKXXqttmyZbIM4NwTswK8BneQmNCyn16KB+m
qluVxFk5UB+lsvbr0fW1bFcFPh6Z+xgikYVxLny3eyo608vtC8PpzaZXG5tuj5jVv69bvs2H/NXT
+oCeGBgtSlWLbBMMuJXWusQk93VGxJXuynWsFgZyy7vbXt7HYwmZwFOdXPN88BdxjBZ9OGMUNzJX
LqyPV062l6AXVApd8rcmazfa+hZuvmCCYCtuoBOKVNirhXPqwftEa0z+ObsKJBF8UNj6vFwQJI5H
0NANAfjNAANh/RZo59gpv1AQhQzzhmH4mRQcqpR8p1x7o0gdyBznKi/CuS5DmcbINYsDqLM9gnLk
7+/Tt5TiX92nD0gzizAi2QHVtuXZU4TMZVWLIw7vvTnMHou7DdirE4a/XpOefa2M9NKb68Q2jwQP
TsXZiTb1dhD1tdVsGV5zqY3zjLFtXqPu2oQ9kLzdirjDsHMCcXHpQyji82JpoocYPcmTaJvDGE97
xyg3lDDPzF56t/BdnKVzrKAHNNaONMMEb6MujLOR1edqFNu4gsqkbvwaUeiWfmYQQcKy7Q1TGYI9
PFZ2v9VptUm7aJ3nULXhf2tTgBQVazPpA3lfjzIUS8dc3kay8oZmEbB5AgFss6nWikOu1jjo/D/b
PL7lI/zqNn/AvMqYgDQA2bRLaxE4boM6vb3uAWA60bDX3Xky8NeZs65iHtSte5dHFMrfycus7qrW
7vpzWJEuzcKvLuVDEzHrIQI5bRlbR0JxBMHu3tTnVpcW4EzwfWruXymkTZk9XlB+b+l8i6gn5eyh
lsb+C4637q4x58Mk/kyY6Wv9oLO7GZKwRABWGPPXvJ+3gPV3xPX8KEMN6nQ3c1nKHYUQj7ibkW8/
DYH/XYf7Mdnbrhi3uxFzDmoIIiKdPFIgWpUIOstnGDUvxb7o4ntwkPty2gtqBHMHHdnfL57f/vIP
/Ymaa0h9mwE0DQBhbREo4J19WbkvOev3SU0giRv2FHqG5TG6Mts3eKwG+2yGzu/6wY8pvlkB7Qlp
oHWUuX1uqmhPax6A17yKJDD+Emjlgl2N/Gou5f3ff+ffIBjfoKwfKqVGGa5pTUivt9DWFiCLHOdq
6esX5CRDaTIiSw/Slr//Zb+9wR+KAzM1O2eR4yDetr4T2JuRs7yq+FeSuHvuXPK0CkpuByxprgyu
93Yy7zn6oL//7b/p7D8GAg91YUHsQfhWQJ4/5mI99yctoPXD12xVtCb1p9g7+/Wa/BgQTIZZJ3OH
PrHWZ2ukgXTyOxPfcbmzRm+sm/e2dvzJkjgqWxpAnIhzAKWppJ+9yr+BIj8GCRfwLXWUzs5W4bTM
CQukpr6lgJXjfkJCGnSdtSaZ40NfuFK4rL+/x79jHT7GDGfZYDUj084WsyJR2D8ua7eO7ltio8CZ
9xZuvSiMYKrUVV1+er9/92g/7IFuakF7BgYXaYF96QMHbIv7hfyHpWYJZ15COaC6QMnpBrKPd4XD
rqf4cYy6Z7g2r2Lg0bSB1ir6jNz6zar6L4nFNU17DoXttsrISzTEYcv4PjX5WkUaRb+5h5xnb0X8
s35nWT+/OAM+xhjXNAeLPGCu10jkqwPqESleu3r8tl85NAlJyoOyfEjRDP83nzPBlfywb7Q8jrnh
4A3nWDkpMwPCq4COj1HsBAj5uho1wOLqsbbXphH/9/Yq8aG7ypOeI3LWNVCxD/t45nsJtqzHCl62
Raew9ybISgun7iff8Xd39cNu1XNIghvFjG0M6G/ZMEqs02mmOL31njSmFzF4QFor4Dz683f+I5nH
5XNL5P8lmSnSFSDzxAr5vcrjuyvyNklV2b0UEJr++4//1Rj578/7S2nqEgg4LGIzNG9LXM6/lKbQ
oDoc69/GQGTnJ2sk/cPBDF/TsSyMov+oNEXNg4FFDhOM4l/b/0T58RHzXKyRDEnwpksggkVP9jEJ
U5AoK+Mine+M2npgmmAadnEtGwt9XJbDIEH3GDuywufsIYW3wzYr36CXuo2c8r6n/GgtejLZAusz
jumc3ETzsIq7yh+LEe6M9F6Vs/BruBxWIpIbqFkniC4XFWUZA/TTt7pR1+5Y3IPT3tq1fnZKvody
/qIhfkM/Y0BWPdOAuYv6vizfBgULppRV5vHOvVBp3eZGHabC2AwxJJ5l3VgQV4p37OdnxLMfJmJv
Hcu+lLZxgRr4HOWgCJx0U/fZpneMTTPlTzmaYPjv0d3TMvISZAL5uSrfGni3vAph5rDngCliBUwV
PMWAYRPc7DhknT+U+rksACIlk3oyUMx6jcwxBEvDVGJNt8zGDzcWH3xYO4JxQP8Z0/LeGc0En+uc
lxO25RbceKS7MVoApFa7GnP7vrWm2E/gJwwB0a0YizZuhY9qGyQ5jWy8jRXwcWMmO1dH72QEE2zh
rhgDYtJcF/d2AogITBD5jtCUoUPmuOYGhbNSLRrlzhjWyHG5htOUe3Wdo9iu7/FvgXQ79kYLGx9b
QtXnQDbGO/y1w+wTlKx5GKXolxxZ137u1G8S3m7PNUAyD0kOqxWD3WiKkVybNXgSc1vfy3h+GGkU
atM4AxTcIz4bGSlzfWOM5hdeQlrnTKz2LGJxGK2aG6sXF9PtTwbYhlG/AdO9SuP0qbCU5bdt8RbX
NYTBzgoaUe1FTv42500cmA4rl5aqA+8j4SJAcKxftdLdTFI/uJIetJyeeR/DPWyfMkxF8jg13vuk
XWflfIssfICwusUc9dZIQ67dDTOKyKvqDHVPBAW0rG/gwtpYg/kwZPW9wowcbpf3mdldR3N/1KS4
sUoHdpgyv49mfUvcLIYlcL5NM1HCkEaDOe0yH2b9CIOSGxcJqABbB8IfBwfDhkkUbUzAmjxhB5cA
gIzaogpq2bwpC0+4IXsjUdeDG4UA032bJhvoMXaIfXwbHLVRjoXBUfnRSpdHEDnXExsKzxma0G6j
EImc3JPAzQe7XovaOiTdOAD9ic4UPZmPNfZkyG6Ny/Mmrt+J1a4HYmxM6LXNivhQpz5Flfk8QnCO
BKBDP2bXkIHDgTTCrGX07qUe2Re3sgCfYzxWl3+7tBEFc2Ea7yphOzuzt5WBm8NG64AA71dt8otF
rb0e8jiYR7bLTLVxaXXTqunWrI0Nl/lGO3grDJa8JkZ1Y5LpuRyd9wF9+VjDPkHIXur5WWL0oeL6
eSzyt6ki+5Gj6/thk7/6sz75SUC2FAt/lS3f90b41mEZxwlhf8w4hPYu5TFm8t0Vi040qqtHaUG3
7hQyyKv4yzgBerHFao6KQ9y1jzIfAsD0q0+u4meq8c+rgAmeuzAfAMj+2H3lUCPVddNg0q+TVyGN
4b2sFN/UgwG6JDu4WXkrq/w5h5+r0tGubKDBjlNYWvI/ybl/dPj/9mT/v2szMS1zUVL+8FSW4IWf
YhGuXowsNb4k6QsUD/2PKk9YM77/6z+Pe9v9QxAB6RaEHJBlkiWK4M/jHv8FP+sQKEox5cl1GJqy
70JPSv9YbCO2a1NB8U8I+oTvQk9K/kBuAhSjtuWYeP7IWPkHxhLrW4X/1yv9J2/tUDRtP9fFLtGV
rApDbkqktqwj4UL+b6SAu8jcPLvxEHkTcROPGyPkEWWKHgwoUhjp1NxrkpFqW/YQSCvHSV/soSl3
jTnF95yVfAeT/qMc2+epr9tTNdrGHnaDi2iGyedOAx+mgkmMJ7nGVldV/uwYMAAnEnMflLtLksy+
SehkWEHpwlldts7ZiPrxkLmduudKsccGXmAY/KAf8QZc/BHufzjQgZs6MwDnNkJ6CyMGWnbKby3+
QrK88QcL1vEkbSMsWuYXBN4Bq23l0aFmeSyiRG/KKgKUjLwWtD0FrlLjpze8NcYvPC2i2wQVEKgA
GEUPoxbiOTYF2cVqtsOqtusAAQrC061GRERWAiwtQB8HVEXlG5UMCie42BDqaDdYkEXxZcYev2pm
EV8iLO97u7ME7BhmCqoXo9sN17I2RZzS67rUNGwFmVdZpvpdYhV2YNmaxp5r4o8qiqGVwfvlC7tw
wYc6SDGMuhqUcdEyTAB349MYF4B6LTYso6IKND5V/6WlxuRAEcNtmLwdyG2J2Yy7Gjdzh5ZPhNxt
6ZpBJCuDbsrkcaiK6qgNUVxBQldsonSxZWYK8q9EqH5Nm7I4sk6QTSVNeRIAph76dMDkbSOyb4RM
3DPOCONQxOVwp8ss2zUlZGwJgFRoJfPsPFelOrlTTf0Iqo0Dw9SSQFQWRrblXRR5XexIzOJMkmNf
QSbfyYEuhWAXCOLC5ofmB/722QpNs57hHEwkRO1mY7bQ9CI6d6J3uRE1Yes6+n4cqHyN4cQ48nS4
xu5peHkD/X3qps4ZYwdg6ZfAbKMOj4sSgDyRbt94HqlTz5LCtxMybr5tG/8DW+ivu6zlF/07h+Z/
R6aMbTpQof/t9nl8yV70C9x5TZr9x//7/61a/t+60S9fX9BLbV5ey/zlX5a99sfd9d+f/VcvhaaI
E/Q9LtJcfnbtOYLBHgbxEOx0NnbQf7n2FmueiU3U/R5Ng1P+L9ceFSY+0XaIyx3syf9kc/0ZVLFd
4gq0cdj5cQC48Ox9aMu1iyHmpDCbOxFBk1mb+5yJAOZ77BZ9gH+8Unm1lqX+JDLM+oBa/vmLEREo
UKcwdzlzft7bhWuRuutodwePc9jYyBNg7C51VWgs0QSmlYfGCK8aImGPkGoP8KvBW1a2YwO6lvvo
rdZjoYKWtTs2idWSBSNnHSZgNgoy3MjGDDPZB7FZbeEMvhrLVyvna0Tq+CLm13mmLmX1mkDgIur8
wMo5bHNxkXo4ugIlmQv9gppKWHMAls/TmkrxZHcwdXPmXswOY+FobTaQ+8jXhFVrs81O7gydCktf
aMwxuKtxLnEOMq+pngCv3zEGGLzugixNvyYo1FUSX4tmuhkQ/u8VwJp82TinMbMvCGK9WT4SkUfb
AfY3GIDHrWqc8+jiuCtIlODgECDOWDB1uFmqXS2gzdQbOwlgskNAUQji8VCY0RddIQ+lGIsNjtCv
SdLLFSxMbG2P1SOCTcOKzs+TRj/VJkYC1Y2xIvMQEgFl8ZI5wGC9tGlj+AhsP/U1KKCiUZCcwmwI
yZO3cDV21u4qYJIFyw+WA6cnyHGW6jAT/ScQ6Le0zr9KgG+vC1KgYETh6NywaX5gE+q2zvvJMpo7
mCIDTI/aJ7xdubWGTpNf66iXHhXjmcj0Moh4n7hZyJrCV5l9StG4wGZ0i0mHq1pP6GfS9jHOpvsM
oUVdWa0T5CSDhg7kHIWJNQQ8ZRuY8q5hRVynyCLQQAS9vITeWdRXZTQhBhrdc4LHLsUBsrpHpPPi
0IqgNJv2dVH4xghD0/J0kMkUgtsJYCmEqtnqb0y+vOAODdPYSWF1G/wsA46ZQLOOiBobrKfK+KFu
0fAMRv48LklJPUeTC+dYr6unjCOdbVAnhEpsehpfuyK/yol9kNl0jul0rur61kUIZJYZ+1qxuyQF
deiSu6GJVxb6OR3lVzaWyZSwkyLNCh764xB/gdEmEHl+FVe4VpwhGSzrtYU3xOpWFNndTtHv8IIe
kjn6ZJSJ9S1i+OODtaiLzQ8cJoUf+ed9YFANaqVRtHeN6V4q4V6kCdNY5qx0j0wQE27R0YI/b+Jh
1cljN0LH0JQ30bAuWeFHfDpLXa+bWh5SJGqYZbyqZImAAHKseOaNRXUlIuPCdB+kmX2oEP3eUxEg
A155hjXtm7re8iUcB97YfCq2GsBHZ49hW3UPEXbCNsr9hLJ1gfUmbb1PFbIbRLmOsmYHN0pAG/ka
Id9kHAQI2kSC5BrvMZIkqHqKK4KSLc1D0faB6roVIIo1jbFZASlBbM5q6AcgGwhPmpZbj3iCodho
3h8r1LlTJbCGVWhjFyq7Ajrf9hjT4ZxTULRQImDUE1DTGWBLu5LWeMxdskbcz+x3FvJuMGUKSwIo
tXtK6nsmMIh8rDal+ooQUViHgbtMtmc6XxqCr0Dgc22aXd9WG8horuRiAAYchSl+2Pkj4+qHHuQX
/ekHi8GfK9mC+BmthoUGYWkbfgS70XvmgqdVe4d7few7bCkxkiM191tWbGpwPO7IN04UX8OiCZmg
GxqyWncIGzcm3Ea8HJBvPcH6GrosrbwEER8VHN0AKVYNYxtUZ8gDUicn74Op7B9aB94FSu/qKP2y
rBKCdQvQbdWIwY+0uxWlc2rczzJCUUj81IPjYCQUCCm8c/C5CRzRP31HlpHaFmru7hJp10gfqdYj
6QPdjAoaD/nJ3mgtd+zjEqKMc5j8EWUHr//Pv20wGmpUI45SVnY7eHRXtmcHFHimjVEVNb9Dghiw
C35oYI6bitgze7hrrQGVpB0V4d8/3m/syI8Xg5Zw+cKOBX+gCXh4KTh+4DIoh26GjsN4NwJIwrz6
reGC/FwO1boQEFcKmOdRZWRs3dhsM1TVZuw4DLd8lWM9maoPRClOsqOnDi0Y9utd0tuHEkbbqSiu
ZBHva+yoSC3HbJL+iFzMK07cq5Q3D2yO9zDWQv1GUE4PN6LD1yx0/5D38oR24r7J6KGpxQpzkL/m
eb0eoCdwdH80M44+KH1rcWoTMZ1biV+CEih3ils4wJG4FevG03bd+k6k7y38jFdH1VOM/DqGH/CM
DPs8MS6tKQ6Y3LmvMiR9/P19Xd6Yn2+rIAydHhzBC7r+cbZEZUUIT0hwW4VBNyAF1zT7Psrjf6DM
/y2e8r+x0idI0F5Ond8zJZc0LxvjgOjHt5/q+H/9y+91PLH/QOQjml2HQ7MvFkjrOydC2B8mszia
1W9cybKlfa/jDQeeV2xzLifENrlpL9DK90LecBenLKcmbFjf0ZV/UsnDSfvTOyIcsCFYe4QT5Hng
Ij9SeowwLGxaVfseYPqDUzDkxKawc79nWY/J5UvYA7KDGGKzkJvnrnSMLMPJQI6ErADApxUSbirp
qDBCGsR2LpvkwcSYQRwYfeuuitIxkdQUJYiUhPbLVSR6HwytIL8ViQytqsgKr0qyAUdQniRXnWyi
XSqAAqLRJcskoWI+Fn2Ja8rdNrkqbRu6rsIWX4SM8lNv9MTPGVMhYM1sRfrGH7uk9zLGmmtOs8k3
J4TJjD2CBXiPAKjCpeULH3EVUZkgQWfEMBBM9aZlDuOfiPE30PKgp4YgcT6PehZfU2Cmb9+upY1s
FUGxzBGmA9tA5WeJOV9rjj9N05Bel3ZtXDBa3tyicFP4VKenLAR+A6l4k8cldMzpfLQ7uzzMtj0h
m68ZEJ3VL8G8JZJ6/RxepEdaIZjDxAEDQYRhlp6BInZeqISjHGRr+EwqvZJT7RuzTTD1E96Fm1k1
4hC3XX7pclI9pbyMnqzJmhC6hISxyZ/FXPArYFLz0WGIx3KlBakRi5n0cl70IdzCMOTHeIiOTl3E
G5fTTqY99MtIO64fLFJG8EeR6NJNdg6DMUQkGw2RDAiNAf1BZNbqhg+joh4SGNh9NOTJ1agAT3lI
ZewrECZT+1DlDn+WlWlv2gpPOpmG9oJJ7cbDECkYZebW3aohLsLIdejWdHOEkbQT8QmYkqoT8zOH
WOVrqiUnQPNpe54ExPqEuU8mXJynaUxmFH9sPNsFYkJ4PxvwJDj5FTOReumoRV5jjuSJmZa6mjDR
8GnsFe09oRGBEqMlCRD2iqyj6JvCeljBEpacplQ6x7kYyscp7szHOkn0XRrn4socEmQdOvgRppi6
H2YQPH1kGkgnXFgHUFBhOVoG6qycAHx0nDXLdLOt5Tz4gJtU6E7NcIej6ZzKqg00argwLSf6kixB
VVkSdfBtt0hEaFush8IVCD6rldn5VpRXT4izQ68Lk9+RV1Z8lWNSxjOwxnH9LSSMdFibkDPCTDI3
6oiCXx0pAk2uMwuFuE6R8GfNXbpmCfSkHaco2kXP9zHyF9dtDo9khjnmnikLMxgzhI4No13ciqis
Vpr08Mj0SP5PCDfCPEXG35LB5y4ZDwiL1UdKdP6+hIOdBGYPHSMUO18jkSL7RSH1qpXS3KQqVcdM
K1QUmrL7TKd26s2GyFZj1sXSj7NmQIEWN30d5Eh8h+uihV5yCQe0ogGGODVC0kvsGEBfm3b2FVgL
TGCDDZ19dWuCV5hUeHUgDwyKyTIDLsrer3N9FHNnhtE4xsiAQeBLAdPFDWKSQ9kWq9wGM4XoCwnb
VowIkyxfuxOkxVkWDBU+FnGIe0d8ta2zitc86fx0wGgVAW9OupfziwF20UIriSgseSMprPCXFn6I
MrpDkCFgcISaoD3bFCifEczjuxH6NOR6vhTTXU2LcMoxiPAsp1edJRuJcK50P1QzhlhZwTBeD2Tv
pqcONSC2pQrG00Mh0xDy4BcgGE2sQBs3K4iyN1167itYbFaxRkJZ1Q+nsiphFw/TyEf631blqyQL
CrK37fYmfq3sjdVvuvKGjkFRjr5Czwru17xSBfcqeOfyVeR+cchGYnPuM8eDoJrB4pfim8U9Mihf
ojpdNbYGf2uvQN45yUPUQOj4bNFpHSEgphq2sYXOOYKDUZRWEAFS7Vn/dZLtpYNsD8cfApQmT458
N9R0jxjFF1FYwIpvUv4+Ics+RQFPrLT16xtH7VhS9s+N7TJY4IyOwMtAjKAbR3NTYb7VAxVRFQLm
9hGmGGDC04461sEY8tQniMorGELbqTIuiQnnSEyZN4HARliKV8BQ7wKHAOaBgU3NhaY8bGtxzUlt
+FbXfiFI+9MzO82pfhi77pg14j4nDsQnxfTo8uHQZ3PQ4sgjcqwDJ2VHO6smT1AUeSmh7/M4PpoF
+UKXIVz8phDOk+Ju6Rv0UkEFTlPnvk5fTPx0Wx+xg/hoC+ug6Puzjlrk0B2Xu2iPHThqCHQhcydj
va/nBL7GFk1Z3nkdCAuEvO5Udh4MiVAeBRVsvmlny6/B4HEDezBOrWS0QWNvLZhgpk1Wv1WNgViW
14j2qwlx6LHBd9WIyAZ39rLJwom+4xbmEG7mfq2G/JRar1WaBlkXIfRRHaoCmtuu/JpwHepMhPP4
ipRWpCMdbVJspvwWOcpzsWfsde6tUPAb5EQhGs+vnCfN07UFL3wPLzLcoS5AsanRBz6PBXzRBN/M
JroJ5zzlWEUAPXgNk5eTp7jnkiJInNWn2s2vm74DO65PHVj8lMijnN1XIgqomJ9yM63h/DU2o5X1
PkyyJIwL+zbrYTmDTzvf9QD9yyBtC187r9S+wJxNgFo69FCOq0F+aZrqkObngV4KsClJmBePeXs0
ozjUGIvZ5vG57ndOdMBbuHHtbf4qEbDROJDKrrviPbEtrzSqAPSDaG76xYngrjIqt+iCII5wvvKO
r+Bz9GyMIZP3OX+MEUTK4WqDtt3N93Z0m9JDZ1heRVeWjRhV9AoNpE6+wUvz2ZWmfspFdO7hcebF
ASl+XtaFfH5IG4+UQWfVfqKvGkSYOaEtECIxxWsMmwoZIB8Th9ViUUCvq1KEYz4aUTi9GdF7X27n
6L3uHkS1JeZr3e/7+pKye3BKkNMnA4imBA4J4E0Ib+pAfT/SO21dIQ7I61vMZkyxY16cKpjyndlu
IHWAKzU3b3R26czxWSFRGo+NbRkON9Gtx/nNVXvQWTkyiNsw42+R3DV9ARuitSHyZsIfcT7Bf7Mn
Rn2QFBZ2CIDT5ImoJX0ZDAeuW4YDD3C6MdhquNkj8zVsEfhB3Cc6wn4botjcivbUTbsBW9UM/GTe
CVi6R8Sw8SjsyOhV2anMjzO2XKBVZv8+9vcDVpDRrnOwf8NTXm+sbIOpVyhnYtDeiHGAqwtBNb6R
IbMoD4pmSX2z14ZxUg1SNGQPc/bOFG/JVAQmBHgOLrbULY61C2+uVAxGD0MvRtTUDJRXLouTGrsw
aw7pOAXdANiphq+wGkN7uMwlcr2RtJ0l1zO0ATacfn2Y9pu8QpI1vgT8JXLbWxIJt4BtVnjNCrip
WnXOUI+NCLQYx+LBBMIHPVCXQsKCsjCJkXcMX88QwmvrV7gxGm+omoEInzPMkYyMa6Gei/ka7XrY
pitkZHlsfM+qu5ptCAjBLN6Y4kiSl1o+Y0Js2ItPEAGL/ty7futL0IO54Jwdm7nOR8QHaqEqplaZ
7acywhsrmzELmOOQLEjdGu8W5gHoCth2V5wbpnMEetjm8AwDvusj3VgckJRZrQZBEbJWWMNjRVxn
beuuf+QyHZEQ1g04pDLyn+yd127l2NadX8XwtdlmDoDxXzBzB2WVquqGUAUxb+b49P6o6j5dpQ7l
tmHgGP5b6G5pB4bFteaaYcwxniB1oZYrwigl6PI9R04yrL1gguOR6uthzLpwoOh4SGdxdpWR8e+7
HJqIKeeZWuV0bKCeckFUfzSHe0puh6ZiDW67s5bS3zIP/mDpV4ZUfcn65d7MYmwxJnu9tG6aB+Xi
dUr/WDP2tUHlczSa5gCkau+8FR2K1WGMY2IvPXop1epbYuIIcPaW8ovRb0NQ6ZcE3rVxm6/SRqh9
cYsMCx9mX+VnoRrPOv0b68dVfJSbL3KhLCCfzkN1l6zVce2gty1lnmRB8lNrRg97qFmsnfShjPH9
m+uyvJxBw8NpP2HxgqSfnXEgqWFd8shiD9EtKgvT5XHgSRjwpXnDikkkB95/2bIrRRVuVvW5QpOb
pXZbZvi04XiJhHR9kubZ76si2CfTOOnBVFzCRmQitcNxM417CQBYuUGwm7ID5g91W9jTFn9M6+ao
0LvavugbnLema9SPsemLBg4oUjP/DBVjok4DDkE0FEAJwBn/UOfaRK0rO62djrkxP1nThjpQU5IR
Gz/ib27nQipQZ7osmTf3SYPvREYcX0P0k0YtvqVy/lGe5c8Lpd/XSf/jL5MsP3zq/yEdD6RlDCBJ
f5eJuf96KZ6L35Q7+v/uZjAEjwN11tvx8uW5/j4986/D/ZaegehUp4IJx9hvwNTf0jPKL69pUV2V
gaK8Zpx/Tc/I2i9UQEXDEtHZMHXyJv/KzvAWaBhmmgzsBXEOQCn/AMNCTfOH5MxvGBb1rQoijpBq
ZFOunPMoO7aH/opOrRCPmk5s2zzLh/1P9cq80j2DXiu/d4AzHqR7eAql6/g2u5r82Luc6SMK2SL9
ysuvMXkH2enc/pCfiucygkdYsWw2zSYCwX3MvcRdfN2R/NgpXNnVPf0wRYU3haoz8vviykHjFnfx
AfrrYDmmzuq0YXvsPdWBd+cIDUUkhGywLk1PYRdByuqLgXpogyLI3dUT/DrUD819clBcyS2u+iBb
7PEsuU2EhrZPHvcqgY7clnzFHULVFc57E2Fmm6fibITtlXwwrvWgvVrPqatHqrsdyqssmsLGx80N
Sh8AaYg7dqhv4xvhqrwvDtZVfa7Cdufs8TIHPyqis9ATzlpgONDD0Pdt2NUZLmu60mhUAzP6GN+Q
QLCXTxD9RDTvejmHVfze/hp5vRv7D5ltOVKgu5kne/GL7jCufhPqr5ehelLIEdw2AAUZqnYd9b4n
3sSn5YDbG1DAcyDjDsfg4qb+7LfR5kGrfRxdKehC/UN3pOHOR1bKVQ7FyfBm3wiKSArmm0uIolAw
31W3qb8F1u2Y2X0EvdItwgVOEeDIqnYRgLx1LsHqTg6U0XZ+SA/5wfSVF+lQ3MDH+dn6OIQ119G7
nT0+OIkzu4NtOJOnHfrT7OvXdaT6sT15RdCEol+5aQjj6G18vZ5Wt3VFX3QV52K3rn6d34mn6sv2
Dl8M5yPZ2aztdnK6K9FFkv4Kpv5zHxX3zePFa6PlRfQHR4sMt+Ig2U16nAJCykCDfWnwJK/w87N6
1twyiGkBHt1GtbN748aIiNgY7SxQHMh0i5vLIXPpEwoyV3xCeuUACvKJLgSXJlou1vSGzxm/sw+H
6l11VCK0o3J7lRzzSr2TbpiJQexlfum1rBOR176Mx/JRusk+sX74ZH4LW0GQsdcc1EDws+vinmji
JB/Kk36uj+ZdfjZYAd0pj9LD5aAe+58oQsKs/BdL/U1LxQzarNbrVjojBeDRfLz4gws8x2GrtA27
4Ro69+UF6KpvsCrLqIk2V/XgHXAGV3igm9DuveqZhJtTOqJNQOzPHjy7TmG/y9zMH+3ZIYuGroCd
hZLbRawwvwglOKHs/HPmGR6zyEFpxpFcxTd8Eig8b4VZPhzV5FAFhUOTuDPY0Hi6VbCE9a12hH7A
g2QwSIIsyL5COF4SKqIQ83X7VD0iQXmk4/MRbNMSZsF63YSU46Dwd6bjneAYjvBOdTteG8L4Q+rr
UXlUo8KJ3frR/JCc5Ui6SrKTyVw669dMyCiJ5IftTrsDku9PB+NcGWESTYfkVB63q9jvffVaC5T6
xuTTsZ048O2flwD+fab3sq8Hf3JMW+L1F1LDzvOH0v4MtZcHG7BN0OD2nngYXMX+8pLz/dllTfLZ
2IGiyVntyuVIXh9ph/mUh1OQY1jNqzYcoAzT/AkeCFtyZ48Y08n8i2qvocV8FI7JEzPObZxnxBuj
zNkceN+4uC/Y8JMa8FDOwvFy2vzJHT3YIrzxaN2UjsZfxdXmD77pmXeqYZcBNG5MPTnQXJIyLiSL
XuldHHDkkXC9Hvbzluf1U3KtJzbYeAhlndyr/dRjCURtWHtqgIvnLW5ho0jhdldkr1x4d73OnR3V
kY7w8ztoP/mFP9uz3UGBNrLV9B7xlT3aLwk7wuRi9e3FvUSaC5scYPgo51NtKN61IaLiD8YH0mpM
v+x9x9EpjEUCO5DANM65NfgU3PjOiKCbsOVACBsOkh6ax8Qdne82/j+pE+OV/Rg3/L5lvsEkzUZW
ULI1xXPr6eeNrYxINUC7xW3DiiwJz6RzNx/VX4c7YChHxzilPAnK9wzOzKuCe0/vvT96Gr9mjMY7
5BH81avsLxfn4pDzslMnDiZG0nCboDysIREyyxDCYH9fsgRY7uJ+NAP8WZ+tGRa73E+8nl2x9zq/
nO192uybJG+4RPQOPNrexLf1QPK7yDzEGKrONzHlsVeyhMWP46GM9gP2oc4cE53qavFbfksxmq3X
8zN6He3eARR5tunsLzGDnvf5DMrTrfkbmoCouAOAHrVw5FhMCZnT5NHsLNzsfvDWk6KcyTK4324k
x1EA0oIxSF3TLd2NWZlHfOtMt6Jj2O27kbuTmT46N8PUumLQ2MQVH+vFnbM2/Po5f+D4jKtsd07s
6Z4YDD5Jek9yKy/jR3fwKg4cj+FmTgk35SPQf6/lktYXHovTuCzAT1CvJfdxYqeP/bFl7qjB5sLb
4EA97OhRxXOGfwXbufgXHqfFNLV8CN0kCP3gHw6oV+CrMNFd0ZvclYWzOju/4P7ePmYQcPAwE5/2
ihDsFRsjrM0sBKjbWI0sughEkL9P5dqz+B7wXU5y4R4quNxOkl26YG+j/XZ2V2nwx+MaYgl4eiuz
hQHiE4K9Tz0Ivhm8S7S9N8/zYWU4eq7a5NnjTwRx0JzSqD+0+0R19UC43p+04a4hHM9MWCQc/C4o
vc65h1GOe0Cewr44L2QqbIvLTbEKBWt2HwtSL1w07Quvgzxw8QX/iuwDIh4NjcUbE5bLCeXjEOih
Hg7sypkbe1YIqNkdj8LNHPYhrM3+fi4VL29fI4mbe+nrxJTYKmYuNHeaoNMdISJtyNlkz2Dl7VPi
csI2heU+k7EuIlMsxXjEXheQ+HDxOxwKaE7vbe+392m0R6luCmtiHfYJNshgq0chGds1gHhi5ons
yu0neh2jzgezwiuoe4YCq3ifqdDmB7BI+nQ5+WHszEcrgk4q2JfDwEfgkbIVLPDkwbLlpri6mGhH
CNNo+Kxihq3TbqvKYGRIZab0fqujnbkXRpQcCqcwmFUyY7l6jGjAkro1H+db9QqbxrOuXOlcuft4
N1yM6hQh7q/L0ezCnXkicFc7+Eg++TP7EpT7eDgZn4EMnQWJqQ9mnst8Rb4fW2IyKWGWikZWQowt
UriqiY2CdYEbLQbmWfuss3zF2zUw2WKoWbrNsxDUmLWa74xe/Y4ZgNcvcyc9m0vOsxFZhPuZLdvw
UR7CkcB/dXDbwti9uI1vcZ8Qc2AITM9yaxdnzikZ5MFnYF3xoLzaNvF1hi++hMXad559ta6OtJsh
kUfNSnXAOtsNt07R89RDg8M+kjKmrTPZsUty35N8uFJmvva663Ep0ynFt5hskhN2cZd+qa/2oW4P
GhdaMgxYT95vPAuX3AzyhxgXu7mughZHJXUV7BNR+HHTz5fr6nb9uoS7o4A+npfhrnQhloOlHgcS
H7OurMqejkQlXsk6Ls7JgQJ07tOb7NYHCkGH4pAc6qBcT7C1ptdA8879uf9KTcgm+xJQ8XFwgmBZ
eaRgFWQh1+KTB3LAcflMMDt156B1FjuDp3Sy0fjBS6qDxkdkAg8K5xY/JyekyOzK6fCKdrdLID4h
Xbv/+IMtfhGchJjBchpv91sajwfkr+fxajnpTu6b7gClqBUMOGoLlQ+75/CyB+mhF0dK7FhXTagE
m9fisheOGDVH7Sp+IGU98It4bzy2+iO5df2EI+al4GfsKiCP4miBrjhEAXbGsMAo6OkPE8YkGo5x
VD8yvkwU0hvXI1HI5SjfzIJtNnb2qEYyHpzyUf1iPqg3WcDw8Nn8PuFy9A/ZV0h8jvoNySOv9Ekt
ZoWNjE3iJLeUR70urAK2SNzM3Q+VNlvzkkDwWu6zwlMkZ83dc5FOaVNXdeGMHcICT0oLeMFund6+
wTd9RjWltofVK07ZKamJa1ANCma/8XDzQvQ+1Ta8UIuJrI+aZqd87b18H1MbZJ7wS/3Ah/H59scL
6ZYPa7UG3x0zmcySW0d7HGa9PjeLA4Kce1aXo/AR95QJKPSnOOxd004eSOXKUQYIIkj92rm4+QeJ
+fB54SHGn2d39hfvGXASRqGzTdtkJXKNhmN4dDTYOrOrdxvm7sBfq7u7oaAKbfXVawT6xykA6lVQ
gRFzEV6KLpTiPmxgvLoK1IBeyNIjheKstT1nXI78uYqyqPPSq03zl5fV77yY0+3eLXSsC+FXyxlK
ji+zbE3OxFXYFkC3ULiVfd2HOJTLQGMS7KCdfCnvyqs1CdCaZnPb3TqcIMxazJxuQgLRs+Ex2zHr
iZ97lQu6jnOJvsRnGmwDew4PjrnrPA+OwkbLxTv7omk4e4PbvTvdmb872/vk3g6b8/iSB7s/uw/X
HoIMNiE0J1nZohtHfBKwUbo9HWBNsju27P2iRof/Y4BkBjrHIOGdEwjIvCax73Bk9kUD+w8JAJ70
7tUJx9xhUyMYvWDsXGiv2EbN/T4YdMLQ4OINXOzoblwISokY+d0dhMEOVzf3TL99qDH+VlQGEPq+
Ev5CL8En2X6d5VrjBtTQOjCPHtqI8WJTokbxbvMhj8Uom+y9FDECM0ThwmYjDfb8yxCkuxn29lEm
BMAo4xacJmh0X3o8RsGns8jLvZm9BcfF5gtcMI6Un0biIbvKo93HBraZ+bJNBKK6CzcDE6vXfCXU
ZofZw0UBr+Lv/W9win8axiIrxOvfIfioR2fVWjfSGScVT7NCIIfEEvu69wU/xYPPcWUPuSgOAQAP
wMCzotBJLojMETatwALC1cxWB28tjsrmJmF5s/tbSyTt+0KACAm7gkQuCc/U3q7jx/gcn7uTdd1F
aINF8A6Q4bDwWHuHHBNO9XzQyBn178qH1aM8HsX4e7OjY7GB+e+JmrA69OfSn46QBvIv0PR90zgP
Rz3aLeLom/fTHrZxhdPT8rTYNwabUBX0jyByrvtzft9/3bcB6WHf31D0gqNaCyn8sQX0t8ZxsT9P
LG76jl9NFe24/Ii7nWe3U5nOqauFdABsvE2vAiYYpRgnd1OAu/iZ+76CiOtRwBpKrnmg1xvHl/yR
2wwYbSo+DB6JJZJ0+5ayEVjOuKic3yFz4qx+ySlyt9+dVn/flIBD+bOLmeAzu48W3y7+7t1oJBrw
mm353ebuvsGevpO9xu8xZPtAsJcGQqD71Olebwc2f5zCFjPFE6Ei6ansztQODxfllqYu1lxNKmvC
og9Un9gyDTIIOSoiJIjonbjn1jEDIAO86Z1wu7HQFG/xlENGqK+xa08hG3OwYi8Vj8VBnJX5Ob6S
GSz4P52/+5FQ5eAh7j420QL3QLnA0YZr66Y5i0/5bQVXlYirl59nlvduRGAhSRynwglrHGjjMqZg
5+5zcub3jlDrCPzHf6QlwBmjzqbIiY0obxfdSQ/dbkDCPbQluGbNzjxHHHObBXi9u4gj/s/u4ile
C3M4Pe+H0oO0x9kdw4WBGyO2VmxJg9XYXboGt4xMDk5do5z2oMRgPeavlgs7dkIt+Sq5md0Fm7Sn
HCAnwFKV+LN/v1oBUP/Fan3TR1MVjUavommc46/SNaq+tU0aYvf3HsW77V4vbBj1fNTocVJNTOPu
Wkr+5Ya+ZLLMwwctyu61m/pIVu12+4zo1PX8Qn+Br4Ts8Z55gHXLT6+RmPZ27yG+ge/lnkLZUQqU
w/ZSk9+ER8/ZPJks5+pnkY5jOJwIoHFjCI2jCZeYIM7vwvW6xNfQb7qj8bgdyO+5fcSm6RWHmimS
nRCcJsQ8f2BzxPS74hW60swrj5ppJN/IH4ZDdWIXwqGV2ctifyTJ2ZKa0MM+sm7NxJ0/w9jcRq2P
2MDRui4j7DtWnPQ5mTflWr7qj0ZE6O3tAX4eWP8bXXL/J2Wdf0Ps7K99wuRl/ho8e3ymbpoV31dm
fv/at9KMYf5imAblN/kbl4gMPvbX9mKTygzNbEBjEe/S1J1G6rf2YvkXGSk9w6JzTrZexel+A84q
0i8mSAdQuHxR3Vvg/klp5i9ED2BYfbN0YoNaYN2vcZCU87kHVYYKZT856VR+QuotgJYumGCNb6fR
yTIjypBiGPXqUBf3rYCHmEi3cwLnWz7p+GNi/JzI8MQZpUy4aRYFRBQSmlJlb8tzJR+XElwov3hK
f3lf6LJvWbfDhApnap4MqQsKIKebOj5KxQY/ZXmzDe1e4s1TxyiuZ+FCb9tM9KOihWveyVr6ZYHn
0taMkdf6xyK/fEZEOUosKXeXNEcZQZOvdKk/gcMFG2p2O2FiTkAOsCBRDJhlBfhqLVl080QHdw97
rWStpgN1rWcNe99Z0n8VuubOKmd6TXFymwLS1CY7zvPwNCXs2ivcvukXA8SgcBFJR4jG/U7LP+Tv
4/RlpMi8Xcz3c6rJjrFkT5l03Spa46nj9KzFAw5j/dip8hctBz1Eb9CtJG7eiqqNVff5Q1GZ8rnT
CvEAx8M1SGX4O5OS3fBCWcFch49SNpGLHWrJW+X5XdVoVxttBwdd15r3xgpSFsnYKRiqrvs45Zkz
yctKD07X4Rdkdd/ABAq4KE50IDyLKXt53KWBbLSgI6StN2+2WWqvRr3lg1L/UBUzbYY5IsOwGhxH
+Pq+rnHWPFaCnD3q9ZaHUi2eSvr33HpaJ7gU4298Cv+oZvy/VhD+cxP072tcKJ78tXG5f74kf2JZ
+M6vlgUIPaVbUse6rtBja2Gq/mVZ4J2A/o4CLnYEvanfLYv0iwoxHv8Au1c0cPv/KvpiWeirhQzJ
hKhP0SkA/yPLov/IxfFbBhvW0R9d6DlO1EofMjIV8vJ+ykbSQcnQBkMXQ6GewOydg3PxND2jGLaB
uWpEMKr1BaTJmGTwZ1sqWJ5kJ5pEjMNt15zotKornO7LR5oZJHtCvfjQmk313CXxFGVCXPmStg3e
grEF/NTr4QI9qwP39UK+p4dtJi805mr2uS0NEtiJ3FzRrw+PdGFRf7dmIL8i7Zs03GR+00Kwahud
Pn9a50EEYIf8CepQ4uHSgnbsxglThtU+NPqkembbdKjGWDKxVqWiyiHWOc3xmighkmPqt1YBOmUx
ah1spDzu2PgGunSRNMy81YAjZygbpBiXyqpwvCGmx9KiwzBNzZOQWwMqGOrOcITQdWYtiDFk6fqV
FtTRtzqDwM5EBeMiwvAs93ufZpFTIasvu0B78yKI0gDHEMsYDACXo487mM+YsOs0Ga4iWD5NosIC
kOghKVdzZ6MZCU2MbHRAy9yVqpZ6qXI5z9tocROtVIVjMpchzJILNL0bsfQAjUmZJ8adicxwoNfz
dtbkdXKFoQP7k/WzXxi14Jvm1B+AV4cXXX5vLkXqSX1KjKSOvdMMIrXLWIU1XFVJXqFuKNtFVxj+
uGwkleflIW3zwFxWup/rgiSy2p1fgdgILaXIA08ChPILwiSLGSgG4GTaAB422g/1OY+j1UhIgowa
6UdzAPLbIBDeTkBhL+aShC2trpWujHaVzd1pRPSR1uThVUaF0HgorY+9MuD00tF4SJYmttWtpnEr
Fpt3E63E99MEg0yajAYdpzTd26UyxBhRKJbKeSHhsGTdu3Hsx8DYZjAGgl6FViWXT6924T8NJM7N
3xjI03MzpM/ln9hIvvbNRpriL7QEyUj40Wm0c7F8T+6CWC+dTL82NGHt/uV9iXC5Qf1m0S+u0fK9
9xr92rakiL9ohqFLFhxDukSbo/bPbOReFf+9s+2bjdQx4W+qfD2QwWJqWyGQJSCuSt+Aiwcafimy
6NIQazZL+uHCtFFX6cNC65M9VvOpXZpIm9i/4wIOdyCzHyQYhPpq+aDXyfuVHMtYHExkitaeuth4
K3e0tkxS9RJX24Mgr+/TbX4YpPziTNbmbiKoa3VodCfpgab3SnpVx0m0CDANdHnqW4N1NQIIsy2j
CNCJIilsQDrQrFCeCeuzmsLre6mJXWna2ZoOAO4IV0z5YuWgWuvsFE/rx3KQwgZ2dGQIHuRetxyF
FnpHN8VQZ5FBFHJ36aa7ROrep73+eRnUD6uYfR2RdqBJA5leWX4Cth+O9GqNg/mpbPHblJ2WK16g
gxyN69ws3R7URt2k9wum2O5N3e4nRLcAsbs19EB1KT0kSH67q9Z97ZX5rqxjQAq1d0kHUgrWrbxc
RtfcgCnWVX1eLbLFWTqgyHAhmpVT3V/b6UoExomBJ7ObZcmXBgFIYHKbC6A0aJsMai0Bqp1to7zW
klMoB1vhGFDJ3WkYDUcr51es8K251ZS49CtLKKRIR7VDEI30sYCK3cqsDygKzciIUYoz0CjJRNOD
3NRyN7C/3rquIF/0IUzWAv9OHB4QgJt9+tsnUmZwlgUtvUdBNmbLKdWGLGz7IhAnGoFXa5yut6TT
vixmm9i58jldWjPE/sJGtShCCB0CWfeJTFoj3lg9pAeNPGQV4Fiyemt78XKjJE5F2T1UC5O+1KHQ
X9Ki9qZ8tb7x+f5/bcmwHn/t5NnPafecXX6wYXzhm/XSMESyLBkGHZc0Vb8KUn3z8HiHRmOD0BFL
oUOv8ruHJ6M0SgckW7opopcOw8a/rBewPkyggnuHfijf1KV/ZL2IXL8zXoYCbQuiwnuESiu7BJnL
j46eJmgKU2MFTJWao490yktd5dlzjpd5qgQUh8q8NAJlmjZA3XH1RU0rssX5QroltbaPcgoxg7jG
aDUqsxp9N4p/gqBQ33Shv16cvBPMQKCJ9Ppb+iytucwCyVx8x2YbiWHz0TpYNFosXlmP4L2WLH4W
1HYCYz5MlbM1JW1PDRoNkIeAmaLN8qNGZ9cNDt4nPUPXCG505T5et210imZW30lolThCogoflC7r
M7vrYINDz1ct0ViD/vGdnODI9sYkBKsxZPChZwKo+lzXBQPKpNii2Usx7tdNA9wQ57PT60WGygN9
tipY+PqsIVOlOp1hTF9LsxlUWxJVwllZn9cXSaELgpafCgd3slb949oNll0JYv4z8PBrIuD3Lerb
UwZWqquqxgmIHX58ysifl7lAk6nbAtiXiOHlmdbFxYJgYtdFF+LzVH2RGimYyon4/uOlAqCe3rUT
5C5i4tfGfUwh3PCzhhavfInacrTHkd4sXs763omLzDWl3m5VM1Rr4ZvKMTDg5CtM5eWa1JfvGQH3
OfiHqyeRopF+YUNX3qQ5trYY6iTvufpiylw4/0BQFNkl+PvZth/l7Vl04iz0rgi84Hn9cYwkA7+8
AmPtGusFCKfGI73Et2MFV371cTNmsBNtVv8k7Sn/6DzwZJgKu0Cxxu2Jmq7sWdHvahWJ0vV5ow8k
jS9t5TVqJZ7mat17LjNxedbkXCFUUGEGt6SkvlUrDAl8p2L6uamr6qRla30qFVUGLSrSd0DfsnAS
czl/ylupeExXqLxbSBuCRV816klmov4Ely7vxZQfho0bwLbBgGTKIJPNNzeAWdm0NSk6l87pxe2U
GYhlMaF1BPsMXWh67XcQljjbFAPHEMfSz1aFNSc2hlNL5hJpfQq4RUDTbAF6SPtY04ebIhRuBaVl
sEJTouk9fEfD5FQ7cUIFRPos1cJ8PUPiGCCjfjds6+W6yJOLO9IQ+ZMbxHD/eH8aOtBYbqgwoArE
TP74gLRJgMxqpJkun9QulDtaZ5GmpQFdfYFHgbrW9jO1jj9YPc4oqxLkWPSBGKb4ZrqXqM7TtswZ
m657WFt6HNdxlt1CgDiuV37W3PKHCcjZ6EhXDMmEFZk95cf7q4tC7HqV7Jom6k45aINP7wMKTGom
kHBTKCmuFdJEN7h7Jt2J2fLy98vu1Yj/MIGIozFL3K3INEKR+8cLGGOho1k6ad1EtxLYYSvQYSOi
hqWxxWjWaJS8VhkoyaUz7LFtLadWWiyNZjROP3aTQzuvEYmTRYnSgKJGGR4gGFo9FUo8pNgHuMhT
lWi+uAC8QTWYmDEFInnRUeXqIcRISshRq+VWNXNYY+iUvqkuRYvchaZ582Qld30umA9TOoKWiRv4
bPKOXnICQE9b0rWyh8GsHyX6j50F25HOGlUsIdejBY7Cd1lKY55UN1TUDB7dUiBa9zp8/xecrevm
6+V+6L5+Hc7Pzf/4IZ/2Hz/++e/BcKex0v7a53LWphv7712u/fPfXC6FRgomMw1bUNb9mh/75nLB
6/mNJc6USJdb+q5c+Vu6XvtFJ0vPZISNW7MMnWX5W8D42phBgEcLjmlIeyruH3RSvDX5MguJxL+I
PZFkKMDfKpTWljpJfZwBoJi2rrNLa6ZjW8wLmsMnsxzvO22aboWik05Wg47vzK4EK4MqdZ8QiaJ7
z+h6GX4vtXnMpWVunUEwh+da05v30ELQWdeOkgGgIh+azjGmLL34F9QNVf+74b75tkC/35TfbJfc
BYToWH3GSzNxLd7Y/a6h9CB2guRo0gp+KOsArPS55uSbClOnkcBHR7EzHz/889MqJD4N/qOo+Kw/
WgtraTRoPy3JWRO0y9QY4SqYOMXqelu2QzNN57nT+59sAW985Ndb/f6ce5L0uz16QWZAaYb9nCII
gLjR6NJAnbdt5Y9/f3PyfqTvbOHrmRhNVZbJaJDXfWMLxQ4GAqHJ4crEZ2fDqyGxIKwr9oTrZRIe
htVSj1W6q3DWY0tvp0AWctlGQFRLluhHQaihntLEmb7yQkYvrEkVCqpzNgIcqmXpWdQqGAIWBXfa
jkurvmmUHmrPRpqK0v37m3lNQ7+9GwmPBtIfkyQ1yZYfx00aL6p8qfPNgWxhK520oV0JhRF4GS3Y
tRaP3CQt9vFlNBbPqPDAyRG323tUDY0smGcNTP08Sec4vmyz30njgrWFSfFrqq6smGLVISgQDCGG
RXxU69GGJRoFT+n1FuX9bumHLlAjaiBA38aS4TChEwH7t4/SvI+XlczbXvoC23RBpAO6i31o+32U
s328W+QX6Sh4fQyzMAMCFc0Y5INqJqKtNEoJeiKt1K9rXhPRb5iO+qApZk0yYxkXGvDHWnClbVte
1KVJZpjYSKVTB1PxJrfBUl6KJtsEe64kClSDLAD0m+RYbZ1GmeLFXbRZzU992i0cHHa3wUEBcyld
pJZ0ugVUhcwOrY6y5NFRlvJcV1KXbiGjwXlPyuDQJhD/5xJ8kof5gsShpG/Q0FHrkhu7aqvl6QKn
eoainVyxcybjXdmN212O6tIDFbiUBicJzqgbMbHIvQxxWd3hh9URfCnr5GtbP29fyCX3kgdpv/A5
Kcl03S7ktRJbm4UMkOjUr3e1WW8Q6+urxbTuhzgJdNqBNYhx8q5wVtTp0I8eNENwxrGTJtdEEzuC
M5D+hSrJEHNDkHLz+2xZZb+/DOy7KdGTnfUIAVBKNLTCmQVtfpDjtTsgbFlVAd9igtA4Km87P902
00Wr9fdEbcni9HEiv6TxYs02llj5WmeaBh4zl2nqHoppfKZgO79rpHoGQ53xnMukrYA25jXcwQtO
POKy8AG6yzS13bHioSGeCsPu6sVpM8fUQUXgM2anU20c6/Z9v5vnKWvhydF3o63v5nt+teSX3ajX
vYx9N3dTH+9Gv9/Nv6Fow/1/q1aN2AcyPGezBMtrkkb3lkTMJFuHGCUlfbUIKOj0IhzSil5YDxBi
UHz92Tp+a5R0Y6d9MnQicZUFvXvI35m/WTXlOTWSXRHMuEab9IsJzSjcYgSr9ZidlrFjT5Lll2YE
fG4NvbuRTVQ1mp/jZLpbtzVsy5+xtO1e9w+GkmvaOxvhXjV1ttM3hvL3gcl6gzuWX2/eLGCEo+Ga
MdFex6ccBOQR2n3Y1n0AXwfmP12v/6rv7jjOuA6JLX3sirYLbv+1L3ZVdy91WfyXP1Fl+bMDfXPS
JN34hewVXpiqQsOOJ/Fb5fP1HYl0P1yAOzvw/s6vTpogm3yJLlj4yyh+fsuZ/eqlCbL1CyVPbScD
xn+TkNn6B17avjf9PsGonlJo50h4GHiQdEvv7s93k740k52eqk2fxgM1K0h63m8/ZQ79ySn2Of7d
KQZJGTrKTOmTaz4mz9N7CFPosQJ9evlZRPmjA/OHm3m7WkrDqAukXdOnGpQznV3fPeybP3qCbwTq
fj08wSqPUYSFQXrjCiaXEd4awB1PhD7wblxtT7EvPjRX2U9czje5hj+e6E2sqkqLmTfykj5dVAcd
q2qjgaCTbOtT6kdkIA/aYTg0R1pnQc4iEkmDmeKtqU2U7sO84dZ+ZUFg8rMI+k9H97vb39//7jmW
+ZLoW7mmT50ZbmB6Q7/+ankjsH+6+p6Xd9PHBTyz9LNR/9EB/+NgvPGu0i6W1dbgtOKBXsqHJdpO
pImEp/5xOkqH2P6f1J3XchvJlq5fZb9ATZQ3l6cMAAIEAXpzUyG68t7X089X6u7ZJKQhRyfiRJy5
kdQtEYnKyly5cq3fNEegQPRx8u3WuPnmjf/ukQ1T5e5Cogpy4eRIECpuuGrchvfSCz0lE3Ppp8Lp
HpH/VW/qwFYPCRo4ngbe8vnrkT9XY/566I8Dn2xLS0aJT5SWpTZ5RmBLqFvcvRSbrweRPqfhv45y
sjOxbA4NlV/udawwSaIfReTlMhS2lgFBIiyyhILTf2fPp/x+3MX3RNboFfz8Xh9WUh8VsYktYXiv
Zl6dN8hnBdPsDSbmeSUioeieUDpTDP0y02K0kMczRQSAldV6uzMkISVdoVkY9EgPiuFY7FNJvcDQ
IXGT0biOhfpJyM07gElA4v0MrLw0rnNZeC8mI9wYhQFctxei1ahQa8qb+3lCCUeay29dUpddehpa
qRj+11OehItcCo1pFOXwHvj1oT0G+/EKUvwFqe/d9Cw9KnbxDaH5ZwD6asSTuJHHyJD18hzeK9eq
6UgoGdqql3mBje0FkLQHU/4mZ1paN18+40lM8Klb9nUlhfcVhOgK5QOQaR0Eu/RcdIzGES2vPy5k
vMwDtkYaSwc0gBft9MkmwjkYWR84YynMsXTNfycHwZV3f8ul/rdl9d8FkKXDhOobkfuXyt9s9mKY
t3zH+nzeWRcge7+5zi4lk19mgWssZwLKoaAkl/X+YT3jxlwpah1F95QwAbsjRLtProqr+pXS8AI0
F7wXrL0ruNbzLnSnQ3svBdBeoqd2h6pta0LIno7yNRA/KAzTfQBgGT0l+JcGnF7pejzC+jVs/y12
rEdw0K+16iaSdym61bF7xScVpgXCwWDAkdQMjj8WVsbXkUL5XSD8+IQnazkNK0lsScXv6e7DKuzd
/LDwK0n9U2DtEOmuRCQRtuG1CZupmqCYQHFBXUF9hibihE+IiPF7dQ1iGO7ntxTkz2nyX4Hs49c7
Wfg0nGfuGH54P61jSJBi6DR3CRIO8OILF7N4s12PW2krnodb5WhhCP7N/Gi/2wcfv8DJPsAZYBB7
nxUA4/sc4aJHCLwbAFi74Zg4N8YGrOduYVzc19vGteCnYpW2paQFGQLI9W68zJ+PP17Gy3RRTACW
/kCNzFUezYzZCpHr2xf38lWzGyDXgK7vvtnGJ/WYv+ePOiF5KCVqZcHgfVzAoZxEwiiH0T3Eahjn
NWIka+tFgwKRr2Kg38Tk0tOvZ687RK+t00Ijf/96hf02dmEdpFFEIVPmq3z+CnIYCJOpx+BP7+Q7
+U24Ul912vdbfKYQasLaHVTUkH3z4NLnrsDfD/5h1JPkYm6CRFPyLLqPV+VB2wj2ESDuOtwuDIZv
HvC7oU5yCQqJpeULDJVc5HBJ9kQEHxw+6qsoG/iF9/Vw8m9X5IcnO8kgKuphwNny6J4ONlIycJEv
fHjz4/noEpAuxmfBmx7FM5RQXfgPZ801dhFudP/1t1iASb9Gxg/f4iTDMKYsnY2Mh2ZTrgd0TuZ1
+hwewmfrIthqcE3KPcaF8d6/EImd669HPyFG/f120eBWKaOytH/+/Ye4jNDxKGU+c7AQWlM3PiBk
tksh8whwdcr34bGC8Qd1FmkTtBRaF6q9GHyzxGg+/24O9J/VY5H+mnZyh586KygLlTl4OHsGr2M/
XO+f71bRRQWjnRXXoNFR2M9n+2fD3uFDCQspczzZ9rZrRFnt45kKzemwyItk28x+0NdPDezZbH1D
DAlXV17ibM5DF2YbqFP37AgxaKE6Pd8FKzjrEEI4hZ3VDvYcQkRQ1/aApOzGfrrcG6tdsX66TOzD
zM9q9spAmENdi/bl6Kbn42p/6BHZoOntwlh0ELo5vq2Oj1cv3nRAZ0T25lVk7w/oc0FMKuxd7+rb
w171nm5CR7HfoZ3a+7snt7Jv7kBH2S8wf5zDfobemtmbwr5JbcZfxIfsh5V/hrbtzwmA5QxVi08F
jU+YfDs8IRlkXxZuZl9fTPbr/mnmEdyd4HpXBxiI5ylEHu3MXV1u7ygA23ue5xXe6ep28wq3mi8H
Q9ze3HaQCF8ffO/uCd0A2FpH+GxE2uuEPxfOgblcVse4e+Z9IPEMJwxoGZyrM82+3F9DEt+ftfbN
erSfpvXTznkd4YHtz55GHmphzrUuZ7nFN2/WhyduauRclgOHdo1I6CrZt/YVKvXOdNT5FKxXXPbd
is9vbchdLWwt/vDiaZ63Nm1n3CqOc+1tL2A+r8+Oq9F+3NzyVRVn3Ttn0G/RXmDdnt9fXO9S58I+
ns8s5/PNlj6gU7ne9nzrXZ2b9tZyHyp7h6bNde1B8jpnECRueJc+y+v9hwlrj4x0YYOuH1VbZcUd
A6/dmjbhfd/ZF7ntbRZVA2w6nM65uJbtjRfar/NKY0KV7UvoQqYVtsrWllc/7ItbgPs3gf0UQtfW
mTjvit9Kexss7y627yDfuki/Qsgv7fM3w/G25drfeVvJWb7ZW+GsXJHFBv3vcHHOQHxP2Fv7Q+R6
7567Xb8tiY538Qrdcdt5ln1LQEM14ujl3vqN4vum8vbd9nJy9hhgovEC6d3dJPZmjwKKI2/v2N2w
/1myN72LIghmRu7t3f6g2Q8bgx1BRRbJAw9BDsO+2+8u+eaJS0bmAbOB2LrrvMNd4kJhfVfs64dX
VvKyjQz7PXO9ze2d4x23dGrsi/Uj05fZ73ebh8Fmdic3vvhxvvBpLx4D53Gh2G299nJyzYWM5y0i
AqEd73x7Ic7yKnKbJG61YbLLbQjTlE9dPm9R9VhEUvhCt94t3671tr5zffnwPNi7RXOA6YV1v2hn
1Wc3d6gGkImaTOElbNZbqrub8qLe5s62+eYWqS653+mtA6jN0h37Gd9OWlWyYOqRWhHfMFuyH4Td
w+w+7xtWzR1vig2LCNh+0QXBQNd5voFnnJ29UDaozu5N+3zJXXuI84pz/X+XFSJdzkVaxl32FNxf
xr6kCUIdUTnIz0QvQAhgXZ4FiZ1exytoku5w0DeIv+YeOlssuK9PH+l3d3jqev81/MkJbIVWqKt5
s+SE8uVTcTGewQ2215GnXPgb/aCvym1yqL55G8uHnr4MRPLosCkQr7Cr4u8/HHlimES9qQzRfVNH
pRdq/tGSYRMJUvUjp9SMqn1ZOMFYG99V+X63CiwKlvpyn9fQEv08cJaZi/w6Aw/efCa+m+/q4/Ag
P3AjKffGUbj5m0j5R1Xp/9M1bf0jjTDNtrv67Uf3r+L9X9ftj5b+SvTSfO72/3/Z/JcWmcH/vuK8
/jH/4IF4VR8RAD9/6N8QAJ3GwN/oSWb+n+oy4AAWvUUnH8oNBqQfIQDSf0DAgToDOlzH8G2B0f0D
AZD+g149VXFYNX8Vnv+kuHxS6DHAIAAIBeOjL/hObPxO0j9KO7rhlwHQQi1FsakTjPyih5FnAXDy
FWPcCr6Sp05QIh4jI6Q18L8MXas3NbjH0ZXCSgmcBpGpfdPLyU6rLGFaSQN2MVwk5sbuxjE+NMoE
+CrMA+TFRnqebpnMmVt0oyAcGrFJzvxUGOnA5ZEWr/MGyy+/1CXY6XIXIMiXw9JJqQEVq59v6o8W
6P+MCfa/DbFCLP1q0R7f6u7Tcl3++V/LVdBN7BIlqKK0LZD6/OCxKJgSDiwAfpdbKEDgn0v5n3aI
iG2Luqh8smRZRyDRWOf/9EMkrFsWKBn9EABsFi4uf7JmP2frOvZM4oIfZeuQqWM+eRLHiJiBENRx
AK0cmYCy0Oa1LiX+N1DPz2H671Es0MjABlRM1U4u3HU5yOjrBgibw9wUYsjbVvQjHI29WoSAbZP+
KCjFN1fsz+fRX2NCK9FocEIlYY9/jtC5WeZ5HTaCO/iT5omCL1wFZuefa838gyavsh9zWf7m1str
+XAc/TWmqSi8bZAOhJqTMYc2Caai6ZEhF6J7Kr7tNm2CGRsCJf1ru/0Pq3z/jASwFXowBfufNboP
B5+EuLYRmK3gTmMz3EHRE1wlEFM8a3sJ5Wdf2ijigBJclqdnH1b38a/D9SNC6JdnZDxoLRSzoTZa
oAw/z6s1x3hpqUD3+phSo1uorXQNd05DC8iXw++yml/W54IxITgjLEBBE4TQ59G0pqqDRlKxYIfI
7ZTAA1aZRGH762f67SiMREoAPBsO5udRWuAh+N1Dl+7S0d+bOQAQIZRL789GQctXJi1jpwF5Bpl5
MoqSg8pRI7x/0jafjhbu8CtZgu779Sin72cZhcv/ArCXgTjoJ6OUUqg2eRog0tfOFN0zabguFB9l
XJwT118PdTptDIU68eItpVFyQMv687QB92g1IcsbKDCW7liBwpU0o9v5x6OgzW7JvGANKu1pQaHG
ALkzMebzykFCf0bEkQHfpODPXw7QXJFsgLr5Utn+/Cxp3RSJXFaImZHgI0UeI5HWmd/VqU5njMBA
rCcEYr2lSJZ4EiAmLebqUAPfAfEab2K/HCVY7EL1HYxv2Rb/zovhxVH+p5dOcJAhBsCK+/w0vIS6
76xK9AyxGb1MHJuNLIjJY6CaKDOB+M2PX7+kk9IiI1qsAkMF886ahd58epBkRd71vSl6EZAaMPUK
vDBJSFa6LMZbVS9/QD3GK6INYcbjkbqT1TQ6NxAq+CYwgutchvr48OD8WS+cjig3wMA+tfprVGPu
Ddif3gCcGzx6U/R44fWzkZ+VcVaWiYurkaW4ahSr8mpIaiu7Q6g/MC9bvwumtZAOwdskqk26ldNq
bPbVOAzzgyYT644gNs1sazXwLtC3zmrCezcgDerEg1xfkXnFkSvDUA6A+alzvUnjoTw2UjL0q3wo
63Ox6Be1fSXEXciSy+QGbzc124R6Y8jrKMANwBmnyKSolely68VtpxuuiJ9V41V9hGFPMwzTa+PX
Mdfp1p/Vh0DCEozamZ5FOzGo1ORq0IRm2jVJMO66WBssWMZ4DjpBHg5gmadyni6QcygSYScrSYvO
gzolmhsEQndeRAXINQyWTASGNBHBXNOCghiJDep4ueaj0qniHhTnUx27SZAkN0NkUB+DWj6d4/0t
lq+5mS3Yr27ZsvBmDNRje7+mbNRJRbPS0rChCpXiI2a3oy4gPDF0xn1j1CoitHJbI0Gowxa3CylU
sNlSG+0IcUcvHKMW1J3KSWfaAB0TxCG0FqkwocFrIg8UOXQzq0KfVolkrbMbFTigm0vyPHpyMxpX
YmZQiG7G5VPEZET9V+C534W5tkJXVCM4hX3jNy9xWw1UmLKwCzxQR8FTKDXWlQks8EnA3gbzEHBS
SAmqCWyZWB3EYS2CzUOoDr/T8bIpy+GxCcrxfVbxXC3AwD90lQrTTBQL34XM7KNfWATQqxt/1B/U
eIJoX/mWGjql2hjnem1ZXKEFUziIllG+JH2pYNoEbhfNXr2eUhiVulF5chw326AOQTK2BoZqtg+B
XbKNBOdVrgiR5vSyRk80MMQL3CXruyYHEwPnS0fcDWOdEmh77Fvrvgx15CLxtKpcn5MC+g9ec4nb
t2G2FpLYeGqDqHwQskm/H5RyTLOj2euxWVxaot/Me0ykig5VUix5sCWOBsmJQtm64pXJqqssiEEv
IS3CptkarTtM7zEdydAzga85jHK8M/HJSDHdxEFuBbe80+2oNavcwYKlwtGpa3JkPwPNOKiJr0Lj
rqEw2Oo0yfN5EAaxtO9rKWn9x8Sc60MQjEPHuwn011lOy5uyHTVoZHOLoKJpDSPccohlT8LQYS+W
l5JxOYFkpTVRGxC8/H7Ir8OhqFI79P3yUBQylJ2ylSiT07HJY0eSwv7G6GIYdLjpWjdJOKTa2ah0
yUVYZyrerZmqVCtcLSo80QZTfRTmvoJ33uIUtrOEcARmWGPS6vlCG+tON3ORdMM81PZylklvRlTO
ptuphr8ddFlOHYuu+rTSpLoVnMEqkBMAQq43wb6KJUlwzGjuqLn6kjGs5ML0XSGSI/z18hwFhaWD
STk80pSdkRCvvAZqYuWBoYM0Af1h0uxMzLGz6nKhfR/U0UTSiyATe2KuWf021Iz+vKfhPW0h0BQs
ykGoRxuXoOB1Ang01J5Ui2irl2X4XHCUTXbemvTvJqyL3zq1z+4UHECCdd3J0IdNNXxKNDG6m6VW
eUznEdsaPyi1BfSdofVShsF4nVq9hIhxLKRnIpdUaW1OMbmFGBWADWEkAXOeDEN9TAdleh6mqrgy
wyTGLVj028ouhtGAQBjOGnqXTZ8irl9gKigqViSfF4KF2VwZJhaW2Cj4vBRqU8FACTI2T8quGOhB
a1pm61Gjv3NBSxG8r/sq3fjqFGJtrAVGBcu7UzZ9apDmYEJY3aeNwRXbMIYM/btSLd7qqBN2c5Ka
EnxoS3rUZmN+yOpkxEydDKO0E0FezJqCCP8B9DbYjYYC0OrMLHukmaXEUJ3eqsYfszg0kpNiP9PY
2tT1za5TxAk5h8R8t/KqVAnFZAGYRAI2doM+LZ81YsCrECcCrQ8UDS7lqtXQG1YThdKqZQkUHzmD
PFmRGxx+ij48AgWqMSUbjRm0T1LEiLT2SvjctY2AmKgZWRF7o+tAZMeWVHsQtJNrnzUfYJMlC/06
qtOgtCG8d9mulNTkkPRypK1bBX9JZwrTLgU/W1fvONUoqOqpAS7ArRFhNQ8BVD6C0NMukd8ZLtJc
zF7asS+PQFqQoDTKyURUY6rrH0MOgt4euli4GcZ5ehjDrm2dyseUBghAqYBWjozpLBUnEaVV/Asx
LJrAkq4mtZSQV1TEHBR51xIvk2BWAf+0YXzs0xxieRZ30qU4l3DIgU0KVGZNuR2Qko/Lq2IMoSTJ
YqipDkZs8OcrLAjttFksvkNTmFAGU3pjJXPpu5RbsPa27FtSaIcDvLyNroblvRmNBYYPtYQKaiW0
0V1aQNtwLIA5hhNOyvSuNrWCHjIWpPW5mme+vMGq0EJ7ZYYK4+q1GFH+KYwEJwxuLlewvNnaU60b
W2kU9MV2DZqc1CYwPjP6j5eW0mkI77apou+rVEFOw59FUOJjK/W7rLOElvcSIszHEYfmftuJ+9qg
qYj9o9/cEnMSxeZgty7iAd9LRzR6/a0S5QGhgbp505XFSy2dUgyKgsLvrnus6ajEp22IjYYVjpS9
ax8q/dQMwlOtZvNDJxozOA+1a658JVIPajUmmjdTlH0iWqRn09xzTuW6JKMHT6R7mvQJMoE+qgh2
yH6r3uvA/l9m0S82Xap2uVMCbb8rplynnVNHwqEsJtghRqSEbyop/IE0QHxWlUUsJuOzQVHLLAe3
9FXxWWpU6VhGbfVGbqe2KJJo7a3gg2Ve/DWbvRyUTe21punPbtW3c2ZXs6pcSi127UImZdKZJQ/l
eVcbcB/QiOmf58yE1dfJA5uM4hwFuKrFaX00WhK/ZDFja1vwWuTEUneWBzABOG19ZIjlEpKhDi7/
WkhHHUU4fy7AhdViQvqkCxPNQ0XWkE4ue/wkLUWucBEZrPisqUNEbDCWWxDmY8x6RR/GPKYGEQ7H
u0IvvVm1kpsY6R003iU1fc5kCUuo0W+kYzhUM2YJs+IjaVcP4KzNOI5ocSoTjpyIoTS3LdD4fY2j
aLWuhMpPPTVrpOqmm30ZC8tM9LuNQN4QebyqZrLVzO91zBcbGR3qXkhDEtkyhwnSWxkGfqEZItuc
NBFGB0VjofCoCp3m1Z1eAuzOi5AKaVurFYkHoHpnDJvxLlCMspWxOPSrDEdOOaEIWlgDDgSzkmuP
rdmKhxbJhsY2h5hEbOpqNgCzL6DmXlYqTvJDdtvVmXWJ0gUoPzRy8gbbW7k/Ghl2h55G2Qk+TZ5Q
TZ06+CK1H6UoXoZjiMtVMgd4CVRJKXDjTCQab1Zf4G2rj7KL62P9UtWhQsyQK/hQjTYB248HY0Y0
vbaihZFiZa+V0eMF2Jeq+lpEwYyCJ95fpl2YpFFeow/Yw+iGgCWNOsqJtFJbpRNdSrMtF4sgLqdV
UlXGFflcR6OwyqPbntsBAvtmo5ypReaPthyMEz3GOclf6qavzwWQvIUba0ad2ppehG/6MOaHvqib
B1Gpx1tmLXurorLCkTb2ZwyljLB8nqGiXAVoTeiOH4bkwVGaW09FQdEO0kzdADadFMxu1BYhKEsv
ciSoo1hGOnoa4dXI6phhXqO0ouTGKJfc9v2U3YgGdTfbwpvuzs/M9HX05QwjriKozqzeJAgnSqul
Z4E26YTNdOA5ImLTXkZRRLPVMDGuS+xwcdURKqW3NSFKZ+SZ/PxJquHZwA1CVMRRa3ozdiOl1nMK
s4yuYdrL3B3ibrxlf4kJeQ5G05CYSX0R82h+6Eo6mMCMy4IQi5xetKqqIT5XaiMjUiYjwOJJiKcf
ZTeYPe52UN3myqwfjLBOEnue5ek1GMWydcLclPa5lIg7QZGnGy1GecAWtUQudm0rxIaX94GJL3CV
bRV1nhtOI7l76rQJ81PZD/xzocFMM5g05Ua1yuEQ6vpPiae4OoZBywGnyIJCXs09dBOqWvZuBcKI
FGrfFL6t1cV4HxYW5pZRPquYaih52OGH2igvHSuB20i0+IdC9gt+REGCm1OR9q91SBKALSPsf7KX
mBfWBLHmZWiKkLsN9XAzQdu66eNlZ2ZoC7xDesquR6lLw20zBV1IKj6oXF0ss41ckICZ7E5ShvR1
Lkz5ZQxd3fcMsxgDZwyGAaPQobDO8srPnxNz6hFq0XU4PLFWYA+ZYEg62VJZSL2d5D5ehSEdkxct
6RL0lPXaJGPSW3F0si4gD9GaevrhG8UChzYD60ERorrh4Jwn1au1zEDRPpFVXmJUWttpMEgi4iia
d7qZ95Gt+L75MqS+WKNiKNXc16VU3GplDZXY8KfiYVGCmXZxCcfT5pTsZC/prT63615iIehlmwNX
NE3ptpxT/TIu4inlOZo6cYtaER4hTjZvVqV0JINF0h04UcaSPg0cxrCqp8e5sbJbQyngFsvZGL37
dVUjvw7760Vp2+Ct68eFFJXPeQtXSkDE3NKH6n1iSlEN6HWDRo+vc2TWsno9SFxrnDovgo2cKRJg
V2PqnwzoQ/edqKbYf9YBVfYmt0IEDc1Wx0jJtFBQ07vGAG8ZW8p5m2MA5uik25IjTNUMQQ4NhWHb
llKJoHgYGBwP0cK8t3KdkkXdFiqoOA53VND1LOQqVhQSl4K0MzA2bfAeduup6a+pc0JhxE+Z43kY
JS5xSlU26L/C+mYjsxiSTW1mASKrY5POd4kQBLCL9EykNTYkRssNwzTeDG44l6IR4RsKdxIzDm1E
dDxN0EFkzQciMgSpOs4oKmRoelU42saIqs/xk1+Jxg81birFVvUOaHcjm7Hu0iu2FHpvWY/arBJW
odNxg+FrGZgxu0pcBRN2rFaj7PWs9G/V2B9y5QabU1+Xb42gRVNo6Hp0SuBCjGZo3sytFtWX1CBC
OOdx3saewd/eG9UsnoVJGAScHHX1PCfqKLnQ5JsAde2GA9HM0kpzojRqN2IxlBACQwnb6X4yKW2W
daGOiDqWeuTpeovsOmabMrvRGOMXXY5T8JKZbk7YYcc5TqBhzq9WbyDUZ0UjlozFVN0JYoWhpVxO
xZ04zup13GCN7rT6slFFlPTu0XmrLeqCxXTex/X4LluC/NrGOQedPKXcgVRzbFAYb7jq22Ecpwn5
jIZdaioNMX5ccdVZTqYnw7FVwmMrSCo5dxbWx3SCsYZ7M0JR68yU1IexEzT8f0YDi+a0oFqMplVY
g1Oqp1D1CAMW52zUpfkZHul69SDFnSmeW9jJRx4wsokI2NC98iZD4k3Zcp3mwPc5X2dihwoxEDnk
xhgILakuxAp3Qt+MzzE89XtMTsysN88ARPd1Z2tm5qtrswvHEWCMNqQopU+B+Z6nnHpOUShFy8Uz
NLdDOVgwL6KwKy7iXCngnaVjSlVTFIKm3fqzqXU3dTiMZU4hb4wzd06oANql1ardZT5as78rRyNs
z1ES6OG/iqnRaRdWOrMobWQDdN+3IYGXwl3dIg11qbRI4jwhjqijylwObe+vBpmGMQ7quiW6Usf0
eZ0/1JQ02bQt2UyOxavAPggteEx6ms/RZdm0priW0tawVp2hSFwvIRZbdKNaPxw5JgW1FKvsXCrn
vgbHhbXmiO1SZTXFZOt9i+UmWoWUtVKmEhd3PF8Ubm2vMAGtQFzRcKqZMjEcGmVlqqjycI1WRgs8
WiLU4aqalyuImKaY0spivVf6QSOsVXk+e1IHl/MllGN1Xk8d2l8elqsFRheDQl1Si1SDyzdPkVOs
iapoakWnL7gl3BIOY8QUhVmd2mTdJl3YK05dEkslpj7RYC0OfWRQ95xyioWtVmRv8O+XgEIZLcdH
LDesdCfK8OYztGMLWkdxw0S8REYjgYMR+0iSWdvRWJ2PZlANN1oP6R4aNYJJyhGus7joJMmphjsP
mm6KZJtFLGCrPAhqHl1zbjXJXRsRYp0k1OfQVXOtim8nwZILHOcqs9oltaZFV2M8Tqi46iOmiIra
+Sa2s9OMcGSKCmFGw96nDeDmuVjIk02QL5Cy6EjncuSkq1YyNkqhC8pZQpdFdjQcnEGb+LV/Rben
UGRvbBQrjdaBVsfJeDZJzShhltrrY2AiPSa1Qo+ldBQolI0Tpe58yslcmAwMW8SmhQgzDTrB1h7L
EpPgwagVDuVe0Co9AUkUds3s6UZGQ/qvbtX/C9hA/1a3wF7+hc5F86/V4rvZ4sD7vwH1ItGe+e9R
L2f1j88iY8s//wtAoCsIhsn0VRBJop1D9+sfvIuq/geCFgYNUSDk9HcMmiD/SF5YyFrToQWeZInL
j4Nd+hs8gMqYuFCQgJxzd19+7E+wA5877GCMDaQMZIxLUXehX2ItTagPPeh8jg0UYGXZyyjq+tu+
kaNdGDeSvxnNXsEJpShKYyPnnJ3CNz3Bz03Ov4ZG1UOlUUcnFQvnk6GrOYoS1ReRbY5iV8jj6WZQ
e7zOFvLLN2OdPiYqQSoe0TJKCMAtUHT7PBbtGklja+MeNWRYCjfKK4Kk42pOA/1eqtrygir0cP5h
Bfymyf7bMSHLygpVXoUm1ucxNSEZxyIzQE2qk0J9cKzekBwL7oUywQG8Kq/IjtVvxlw+899ts6V/
S8cYtTgVPS5FNX+C2z+8Tq1raRaqyKmpZRDi0N3GyiGZFBlbA4pf17S6isuvn/J3I8IUlqwFNAVE
4+QtDlMz12lYYLYyVMlOEat4p3OHXomVMtyhed5906/+zXiLLNciz85yNY2T8Zo0bsxZqqAAKMEu
7BPH7MPwotaDCMqdPHzTiP/NO7Q0CUtnGWAi+IeT7njdWE0UjTKOAkkVoBwxHSDz7aOsE6jPaxvF
DK+/ns7PzeWfL9BijS79eJSiARB9XjSoiwdmOiWTG8n6bdPH1labp+ybOfzdIJwEKNyY0oJQOplD
WRgtVecm5s6+lAd0IzFKtufCNL+Bmfw6ewZrAhXFRUeK3vLJw1B5qURdkSY3GGpsyPU666MDVWU5
WHUC3XUPHb4QKRFS21Fzv57I07EJq4v8rGQQPbVFrvDzRMpZnOVVWM8ulQwIoUHZ3tL3EVdUzyBi
cuHezjkT/U2cOZ3ZZVQo7sRm8IO8vpP1Miezb4T0LhDjyv3MVXWfmmBoSsG8+vrxfhmISLYAo5DJ
Za2Yp+CAVtDrIjQ0YPwGWNmBks+lnInV4c9HsUDtmApAIVb/shk/hBPDFIZU0EIRSQlpekpiqyGP
DkJJ/8NtZkg8yU/JX3b0MtDncfpKL4O4oFqrdXryqhJTPVGTsoOoZ90u5xBz0Mdrv+O5/DxhPkZL
EmhFk+m6LjI4i6zA52FBkoGxiRNoIPK65MpjoiHW4MQiK5tGQIcmtjy/7Nai8t0y+WVxgmjg/QE9
hja27JHPA6vd1AhC0uCZbCjB+ZAogYtWGXRIyhyqF6hFhMXfJLXHr1/n6YmLoiFQQwnRQQ3fcWRM
Pw9r5FY/yEQ71zfrSffUWpl9+t/+VI1OmhdC9A1k8JdFyngoRQDQsER2/+lplBX1IFa+ILoBhFuX
/n+x8a0k/mYrnJ4IhqaClkIkj2wIOM4pftzoJfa0meL9F03abqSNdKynfEb8Vxi9cIzmb068X2aR
8RZWLtEF5izb/PMsCrVKi3IOTVcJLZwpa2uE9RoOERSeluPiTyMKo5HjgY1fErVfoGAdhdk2QhfT
bQwxOatbE0OkcKy/4WH/7plA8TCRGgUi61QyrIziUBNmE8ctvzReuL8UL1RfaFqmiOi4f7gKlyeS
kcllzxkG2qef568dDZTCUhAxvUhXohqaaK/pcrSd+3H6ZsH/sgB/DrUI6ZILkUyTRX+MX4GRzLE+
M3kytfgdkKnGgdvX/GmUXEZhU0k/JVPQBP48itxoFo3NBONroy9uekpn2yyI829e0e+W+cdRTp5F
z9BWVDSWHZgifKO5iR4nKpXuHAb4e6HSefv1a5KWD/wUHX8+Fth1eblo/BSa+Th5YGzoCKHC4iJi
MNyWZRxdDyhh75JoSlYSKhM2fyuvzKQRt1RPOxeFJlzt5Q5h/kRbiUGffMPY+CVsLt+IPExWOSPo
Z57kE2FSGtAzWTlG02crQZLqcwwrjFUz5FRSxe5VHGr57utpWHbzL7OwEIy5cVE2XtgKH2ehy/K5
GIGruogvALEZAFdbqZCtKQcJdLiKq+A/2TuTJUmNrVu/yz9HRt9MIYKIbCsrq82aYNWCA+5OD87T
3y8knXukVB2l6ZjdwTX7zTSQqVRJBgHu2/de61vFvN5N7Rad//7CP30lAd1QnINoYsP484WBiJjI
kkFE53Xxzk7X7kcxL3vWCjt64dRwUSz+9TP++1LPFI2x2lux7nzGmYbYLQObR3emeV2pgIA5T57j
0d7f9MJycxps+oUv9afvKPp5/DdkqaBe+fPnZPznQfHjSx3qFbZcsnsnMybqv1l0/n2V+FnJS2M4
rNYlig67t2w3/gxeXyVxlwWdP7xQzPz0A12WbFYEHCvPBeTtvlo9lRNfnJssJwXh51Ok55cOCj99
LjEmsK8mlLfPDwoW/LOgrLltG2lD14m3R9dLsZYfaOb5n7UTqGvO88Ep7n33hVv58yvHiPLBQV0e
0D9/YVWsbLKmuHK7NsiFqp5kqtAWVh7QFbze0MkdwlDsOa3O5uvfvxM/u7UXiw5odowIwfNvcRc2
GEFr4dKeIBFKEWgi3K18YeX72Zv3x6s8W2ZMNKKaGHd0yp1T59hz/Kx3RnDaWzL/BuT/jxaAlz7Q
s61jogUYxaD8Dipaxqu6r4t8nOaXOHE/2zqgchLDSX8AWfHlz/9Yxit71J3LByJuIDk4Lhq3MaEi
c2CQ1uke6/GFR+Snd/APF3y2xTOnRtcpXLK5w7b9qgK3xVjQivfjOnv/xdtG+4pEEditVBPPvqwe
bva8JWyLyzB4X6NhMVfDuk0vbPE/+0B0U6DPQpxGNnb58z/cwX70q74MeKcbPyFSzHaKGxd5APj1
uDr+/TP+00shX8fuhpQdJfufL8W0sWSwXceHHvtLKqSlvzF5IBuoqKYXKtmfPX347SDJgRvgdPfs
uQDzuA8cCqLDhIA5Q3LRoeoMmhcehp9fBV0qhigocBf74B/vXZw0uEKGEhoifNbc8eLu1uh1fqHX
8NJVnq1Kphk5x1h8Q4iaWeXLBViNp+V/dRXQ3xfHBEfi589BEdtiY5B70D2KqdFsbuqgFn/hEfjZ
Z8ERi6uM1iG2smdbYrMgCd8ln4WTso/CvJSs7d5L3ZmfPGg0Xdl1mVsGODKfXWVEYT0jbGeuWddg
rAYUAtsRnxXJqUVR/j4k+I8r3V+vdmkC2Rx2vQtLP3m2JOyBjySguOA8wQS7WTUAfD1IwqHgLulg
VC+UNH+9hYGfOBcXA7Yjwh+fPQ6OK4jgsiv3YA3SySmlhnQu45ewYD/5ULhzLuUoqOVLA/3Pj/YY
zy52Ods96KlvCQiNOm9A11ECCOmJaWz+8XOBV8y74A9h3rBCPHtfF9lTUqBTP2hhB99ocBkfj+i2
vtSO+fX3/nNBGOLwoyePBQnK5PN0j46AE9Nh5Dnsi2nWL4Xqwz46OpFlm6smMZMhAWhEnPfBN5il
TvbirUO2SHeQae0WnCU4C/AnjzS9XZFrDud9niCzAUtaxEmd8WeOknlBPI97LNCRt9myOIN3+qdL
KZam2I4oFNj4/nJ2xhPZ6GnwOC/MvLOkZARLSbCT34t8a5R+/PurPd9lmYRHIU1VdJa+z+v77Ann
G9s59wDFV1i6JC4qq3ma+0q3h5K/BwM/3oqXED3PH0CumeBAhSfsRFz0eQdrHsuLqNpPAObvSXzT
rRgbaSV5FsaOWcmXxijP3ypQsxdLNDY+ujn0kJ4t5QHqhD5p1oKGThXRiLBD/2kIF/eFVfavd/LC
Lr+gtrmP+L2fXcaK1VDrqUIJ36IgOZC2F303sgYyERTdJ7RFznr4++/urx8M7MHlH/Z4ehLPoyTo
BK/0it2CF3kdzt2oiEZfxzj9+6tcXh9WhD++WRzn+PE+eT6MA1kHn73C47COCPUrfVxdtMufWzu0
+nMUU7w8Cncn0K/sEXfo1BTzx6pu10M1u82rdpDxq3LxNrDi1e6JNDKJQi+uq+lNXzfF511KtN6D
xYCc1VB/3JsSgrbzVpXk6Tku0tIUMYx34VElxb0jqczDUK4PFLotcTl0Xt5Xez8dYV7XbxCdjY8w
XXtFsBgpQjcwwrvuZg2IEtmoraqzmTcGdY3jmHsVodtKp1DIt8E0ryevEP6V3bL8HbENBcS5JgPx
DL25t9z+e+daAgEZlol0KCrnm6x7CCTOWH9yTDLedGPUPqyWw7Zq6aF6681C5pFHgljBb4JdA6C4
H5gvzaZKJDwICt6QlIM4OFmMQgKA+KVIl96KcDjA50bdVsZldyobRKdHG5HviCR7CTBHxR2B3pO/
n8NVxjf9ZEkSuS6j9Mq6xPIG034vR40cKADZiF6P0EQz9LaXcvohznKZNVpAvyGQuiH+DTGAtOsj
brM4JS9zvMMN4YG+a5T9FBXL9r726YigeA6yJhgRonY1GZNWVXnffXdBhYnxv5JpNQtUgJqNcSnd
6VxX1Lvvpy4iktxygsudUmUZ3Vf1SlwvrpxdZrKkE5kXoURRFwvcHh88xJEBOtvefr9qPyIldw0I
ALWcRB662NGf21oRrtGMqvyBrFbdIOUp57eW02qw0QN8X82kSzNiLNMQPQuBoBV+n+9yjyrnAfrY
SKD84IavIuMkxTU/dqQ5iUKKhsEWul3O/IrxWL1OrXOHls5djiAXu3MBhHw49mRaouXWJZpTWTjh
TWkTpksQR7V0r3oWneAUyUDY35ZZio5gqz76gPPBuh7caRfHOS7lB3erH53K6IPR8/jRNS6ywdFa
I2Imkfx7x3La/TbbFp18xabSPJhu3nM07ujo4K83d6vlorslLcTPfLudzOthtMOI1awL1wNNTyDp
KHWxIWVqlXrLJmEMIr06XAOo7nXYB3rJReRUGr29b7orv9srmSuRIP3RRN2ljcbRna392N1PIxfL
VtJRg7TXsYDphSewyTT7rrmrO9F48lFzjKHXspWIV9958+bwHq2dRqfdYozPpOxN9cgGOde56657
gEqt7urHMNglb/ZKYkFJ+pLfLhrdfG3J+/Li/ZgzboeLGDsox/mwT3EXpEkTNX5KYsv4vl/jPgZ5
mVjlJ2U3yjtHpSIXNKxLi0CbeBpfWaDhL5T8cR1BnJbGrhh5drLASyiYmSzRuC+HREcaYVI0Lfxg
UO9FHsUj2tkwJsEaobWf8Ko1fULSCtzw3OddnQ+rrWqdKxN3ONF4k/Jqa/eHMtljdSjCRTFn2gxH
La/HBoZGZvQy66KNPADL95wc2wN8DOxLxJt1pRHwcOx57Q6xDaf6iDtxf2/hM8I65yXGI5e5Lolo
bbfqlehqIM7xoDoyCGz3VbAVq0Ck01vmoDEWAH+ET3JbObvwDvG6NleRW0bWdSyc8ls5sPsdhtHF
4LUb4kepZ8qW1DFVr8khGor9y1o3tpd1Kl6elt1t0H/VDkMWS4/l53AkX+AgdWkzbq3QOaBVEzW/
r9NUAG2tnuSCfl2tIyN+cK/G87fTGkSAUJHIeWC3Nh3KdNjtHs+D15sbM+0LlLSSKRU5kmReHjt7
JNKpKz3pbkecXFt9EOFWR1fR6qzhHXs7PVqeAQlakpCnJreliG4bI0xCIKuFSWhOIqJVffTsH/Al
JgIfkNh2IqCKOkx3tZgfNmIJgJqkdm/5UpXhbdIItqwl6Ijq9uLNeXD7zgCOHVCls8pW0Y/ZwYxC
6eT550rMwROqyN2+9qYByWq31fio/Y7UgGzWinVE177zvVvFgs1ABt1TK1XIh1qNRmdvStLOtsiZ
PuzJFKPEFHvTnSe2jtdENrhsEHpH2DjsrQd4tIgSGIJ9Ed8WzG2+WY2OwhQ/PTrvup9GLy17tMYn
RxsPeeochV95yKYS+W5vOzB2HT5B55llIHuzHlGlT0hzT2gRvdcVKuYgr3pL2lm/6u2b1jVrUIyd
ojrMhExOue+rqj4oDI1R1snIxwEyEnaX2e64Mm70a+rRkafhk8dPBEm3Fe0KRXjzpmM1jNaTPfje
p7UVdIEXKb2PtS+bgDs6Ns3JYcB8HrEJeKnTb5cnSq6Agu3OTW6doC4BB3ZD8b23/A0nVrDqKE0G
P4DiGRLNmTc0OtxUhmJ+FTuINlE8W/Qy6NyN+ugbvwXERWc2zhSWPu8wkpL5bhJ7ax8G6TUNu/La
z3ngr9uXvWCxvg8BR7wr9kYQnoyl8hMO7ua2mVrbTX1xyfmYVCm/o7pjRe2mqUpe6xBpPvZHS4GL
NiP+mFlOqyavdauwWNgV+9ti9XyBiUxW72CWJoI9Zgps4Z6qe3Uyehc6n7nZcCUaw0dcnbKz03pr
7T0dmKF/DeLN8276SEdIv9Ul4l158Z5cVzba1axZ21hnvGJCZO1mzQDOGtZZ3M5ehVw6QmtHjI2j
76ulaMhNpsMAV3QXZcJpIgnMeTDazvUAoiGLknWYP7oFK/3V0jVOfcA/Fbifi9nUDmYed2zutdoZ
2Ke6qjpzJMdkVcQbt17/eu+DvZmP3qir+kvkCqG/TVjDCtqPEcrak7+Gyz6+2zjkjPsnjkygAA5o
UvxavSbsA6lpvgSXDPBjsQ0rDkXyfwZaLg2qR8DY3Dg9H+1u70OCWEMrHNvDtOMR/iZaUKofI5JI
LsGKM7aaNKImAWFYbPA+t2jQKu9kiIO1VWIoDsHUjHMqSjl1rwq3ra89fg0Mv01f72kx+u13luup
PEZo40karzByppukC0WSYq/ddBBr9X2sywJaobv1b2yJlCn3gz04KQYNbV4x38RxNPNfDry/7p1k
qsOeikc4wFTDjpCpjjoIc5NbJ+BRyuEJl1JvHeOqs05ePy3ryZITHN14oCaFARE08bGQ2/q6rSc/
vNnWxvq4OGySuV9Gjj60Ozk2x1U2g5PkfR1sA+OkcgK6gbeQUBhZm0xa8bzk6H/Laxz6jrqascvu
74ZhqcYDW0YXf0AbjWmn05H4vCAF3MlCnNj89mTZk7yZ5eBl60xzNFt3E7/ZQIj0GXeQzPJq3poi
L3FFwsNzCQpHT62c+hi7S/JY9qa/d7uwDm4sYS03iGbC7eKlrJ5M43lPdY3/6m3dEY6G2nivX+Hg
Y8EaejFdD2bFTB3BfCM4MWlrKkZmXU9Ru7kyw3dJRujgOBp/2xz7Krf9IX5QZmx/OI00EaE2GJeQ
1+8BlbNHNOXBr6PtsY069YUF0X0rlWOIFXSLoTztXl1HCN2ckHnrHq6ZUlP14yKy8E+ycedvxhq1
zQkmprtZdKY7m3rqiiMyOHyZmm0fX/CA6H1opuUBcz5574F2gEi74cTRpQup3HuzN9+3mN3sqDFl
3NoLEYPZbLlszHpqR45whQM1UFVUhVhpoi5v2RByq6FddPCc2quJpfdw3jaceFb0tM3yUe/Bh2I3
XWa35edg9YbjKC8f3A+nMTn4Zv4x9WRIr8i3r1XRLq+caBOvhnj+RviUONBrqu+2UvEBxDjE4Pow
8Y4PFa/62269GEVE4M5XVTgrUgnnPsd6MaDMx32kMnbCkQjTZcyZqVh53ZQ4Bbx+l1/mduk/1Jb/
Bm/6BT0+URylwSziKO03xzuRcqMubi1o1oPocXqELkLyuQxxAIJbyKpFhADJ6uJRrrFt2FZ75zYu
rKu9hk2xms1569tEu+/N0GXDZOK7uIr63EVw/j5h/niTUCJkY6QQOM/2ar3thLKepN+oN2s3W+QI
DP7bwV2X10ssXQz4ifikiETjDLqTyJRuNYfXy9c2HHDE79cV5T14AYmPmafoQxmP6xuZBIC33X25
xx7VZqrHJawt4nzCQL7dN3V25k6iV5n2W3cJl2wdeLPTCgJ+ttjEslH5XLLZav+D6FtxdlB8f9zZ
QI7W1CSZvwIhCIotviNfSGieTRc2glXwsXRj3owR2yE5gP71asR0VdHATrfJviWT9SZS/mnCt58i
UcW/UfianZBOXxLiVGxWhzSQUbgfbE7YEPq35qT15j7tkO1oALb1e6VIP0zD0o5e7dW+5MOGWNwU
ClU5uKDFJpa1MeFwU/jJtcUw5odZxv4KIfzHRPrVvWdbMut8e4SX1GI+bgPrQ2V7/a0ZAvU2Dvzp
0ViTCfPFL1D096trn/F6TkebR9HbFy/3muhp4bSJ/9q+YsqkPwxYsChjVH10CaZLzdKPN5xBhWHq
aidPoq+jKvexlmTVmIQ4Qi+pGWVdHsyqxRV6vfCmHeX+I44t79zgwErXxhWHhFP0vtqfwi60Htuk
Kc5uOVk3tajEWXR0I9LKEmAXtvJBT8H44LeOeCtEOPbZMjd3WDmsK9oS29lEHWvZYr7PCDVy9h8n
Depw/kg7ivzVuZnSIh6brwUG8GvN1PG2DfRnRenFwcKLUky4/mFcjLhZpRKfrVLqt6h+3WtlDSjl
0dljCwxD7nFstwhk+yWvqSjbrPCt1sPUNNR5zZk+HXllrlBivcYmndz4C6rXzA8VgRY4Wk5CNat7
rELcsh1z2WtbKesaOt/10q7FlR/q5mZugvd+4VkPe+xsqRr97iawK5vncd/0h7DqonsUMo8sGNF3
WfvsDWHpPURN8WPyxw94/8xnTh96yGTQ6k9bm1QtZp46PAZNPb5xdwmTbBfDBQ/20KrZ471hUU1N
X9SIjUPvATUGVZc/rU9iwclKDN2eb3MhiDPwOIiwL10MZ7JDCI3/Bg84T7ksPjp4byvOULTJMjOP
HSYhdwoTeBvOfm47TMSp2Bps0FoM23Aa7HHZMsq3+ZGoemjBRew8LqW2tyO/fjBkiaKpcJiLucHm
07eWBdWsHx+3NaBojXGi3ISavm3arb73sQuk3kGdhO4XBNkyr/xkLPLG18SP7XNY329lAgOA7hCm
FaLW1/LQ823VWccSochpIE6MF76LvzossQ2vXhiciFpz2xPxt5dkgqah3MLqQaYcmaEAU4Sv6Miu
Fc2eKrEkTiyeoR64w2r7uQ8ZQuRYMfDHyXaou0x03uxcNSpe52wPuHmpZTaLnbhawL80OJT0Iexa
0KGFCOMMh3YUpE3smSerdk1F1l5YuGlrld4HbZVkXTCaAEJCvtk0pbEdrHfaJzYGV6NMvg1Acb6E
0zQ9tCTOjiTj+bjRFlbtr8oSMWyX0ZNePg1Jz4OJ1K7M4jpyx6MItf9Oddg+MiSVQGCAYRHvICgt
u7uZLorJmmltuhygD43j0bR9fazHcHyjFi1CDEOcVsCvNBOPAmO7z62LgZFB5BB56bROW4F8dgro
h62qoQ3llOAfJuMXd5i8wGjgP0Ojtol6vU+A2Vis6SWgnCbsu3cRlLYCr/NYfPCDZmO/HYwoDz6l
2I95aMhv03LpPutm6eXVBucLmfdauNGdBRgPg3g0xXumsB0hJvYbNhpXGUrKmcp/Ppii75+6JeYz
SEPTNFkuyAxWWu4eRAAfnz1pgSZz8cf0B0KY47tFtfHj3uMIzGVdNCHNHVBlh2jjKH6IgNTYVz1O
JJzK3rDmNSGxZLsMU13nDjZCil6Fqv+A1mOLTuCWwgHY1GDLk7ZH62yK4MkLpFsdg7asm+NKF3ZC
jowjPzNmWPYz1fY0HVvW7fdh7xXfy5qdJzNhrx5jIcbq1qWoAzt6GdTQ8mnjbx2TyeVYRpPNI1hW
xSN5xHGUWa4LhkAj/ZRHS3jFnvmctt7BbKKRzQNYc+qLy7A6IvTSXWrRJ+6JMmmWLfUn/1cTnvGa
PC6S5W7XA+exZBnpH3WxJLZG2AolpUv/KM7Gzo45PMpodt/q2JrLH3XdNBPQPemOVw49tztlym5+
Y+9YTU+W5pXiMNJfMnuVz83IY2GvHQ0STMkHQHFsILa3BMFB7B2AqE0lAmt3sVo3EWeWbzXzG9AI
u4G16gw1cAOoNdF936j6s7Nh2cx6UZlXLp7vOJ2JgwaVuivVHws/mO7nKlLiUHmtxRNZSeftMkdl
dJpms8A1wkRRp22HQDfzy6Iy6TJwIrvulcMXf+irtZtCuDz+zO4zdZv/bmIA1Lwe+lH1dzW6ntDP
Krdt8cNFLUPg2FuLH71pOfyQQqyhrsjODlPYNHN76WfPBvN+a7VAiwJJuzaMiC3iNFU/6Bnne2ph
N/bSHjZFf5jK2V+P2Ifb4q43QeSA1RABapsiTMaT6poR7TpKehdhVjeuc08JsE8iNfVMdGg0sY6m
/hLscSZ32XQPpnEG5842iijyZJngmexymG1a414zn0K015xE1577VHiljK62JVEdmgoqhQ8gJdBI
46WvojzQiNCAzeAZst9vuMuDIMeLOW83iYnq7Zo+5jI9jCNa3CNLvru8CcaYc9Vxdj2Lb5JghTo8
aQiK/du6DUhTmltrXV8XxrPLH4O2pXWNJ37sruMN1mPOwtIPbwA3uAjTOoKjv2iYDWGV4dX1Zpk5
wreCU8BgSF2NVLlJywIUYurkzRP9vaDlp0kk6arF0ZktGSJhOoQLoO0M9ERnnEwyr/4xjf72pQk4
qZHL1W106Wwzhq1/vXTYRq/ozkzJuxb+MArSRlq7BWE9KcJ+STkLWnTKidocw3fJ1njbq320ouRR
tC69H0eIhYpo9itTMhoGBkL6WRIAT9k4SMuPtM9bwDyVP1pQSpw6ptaurT1o7kOJqKo7Ma309pMD
U6U5a5dmUVaS8cURMlgXDPXAbLaQOk8xbErpXY/AWyIV1P2pq3RkjjbEteh6LQoM2KA1vK5IDpSA
pXwvIeLNp6jfFqpti63celxdUVlATiptbe/QHddVf7BrOUkrG0yi19NYBDp5kPVkzA2AGFHehBzy
BV7hxW8OxHLNgvn+MtQte1uyNmerHabukeFU4eaBaoLlHqSYZg6fzH0XXzcg02jUXPhg6lU36Qjk
t8Os641pcbkGbHeb1XW/TYX/X9gV/z/L5XYuRoK/MSmOw+fv7Z84x5e/8DuWO/gljDFy4fyBSoy6
BSHV78ncYLlZAxNmsiheaP4wjv2XTdH7Bd4mDu0AlSq2upA/+pdNMfnFBxJMRCW/FTpBrDD/IPPR
SZ5Nui9cbow14eVH8asgtviz1MKv5CiiaBpokm6wwvag3T8OhRxex5u7fyz0XHDkKZbxu4m87j3h
aabNy9Vdo9dRBbwqw3nrVEfTSJqZO23PvK+Ad2RhIYN753KIt5tEQs1AYpiWY7B3R+zi6r3dDKeI
6aE6TIuHriHAsNimizeNCBe01RNcaMU9a21k0D1Pnt7s27L2gJuUnCshCBFT5OQijtsbH3TiVRvV
7t2uhlmdA0aGkI19WcMNwINBI8TS/Xd/9MYpDSTO9JsJyg7YAM7ZycmioeVStkhfv3G9wi2vVl11
7RGx7HTHvlfoqwLdrMO4Fwtu7nnzZLJSJAC2SuXA5JkUg8TLiZRFXjehM589moLN1TbXMaryte6/
bCHwXGr8i4c70K1Dp7Zk4HlY0OtfN+EycQw0Y9NnwrcLaHywfDW4vJgd0pEB0Cmva5fX/dAXFcR+
sZ7qsMUauKsimbNtnkeQHbXdwlhZlXPXF6N6P3YqkqfOJOYTJ6lozWg6c6IXO+uCG8vg1pu2VeWJ
vXr6rvDmz0xFp/VsF3XFni6D4eKJj6PqQBBT0mWjrdCX1IPXwLOMvFa8nuhsfkusaH+UHt27lAFQ
cS7L3iUnxBPxrUZazehWU0ll8zZdiKDgB25Y8VWYTrKksdEVIhkoCOqRA4oIDSQODUYz3ZpF7gd3
5bnLXJz1fupQ0FLAQ1ujXwYOjKPLIJLveOs0+KyhJPVY1qX+tmBQj48TqKNPnC7ROLSRNqdoAGqW
tlBP7mTCapp5yrG+JlMFzepCEBrOCc0B/zTuQfwR0lx3DcihXtLKrKWX1lGt1MNcdvX9WNsrT+Ys
piJDC6L61C4c64cxvr6dwRiak99XZqPpNw1MoYyXLMPZj8p2OfdkLsAA3pQzfXWAM6030pChAfqx
wFXzsbH7OT5gDe6La6Qg+0ijRiX2qdujIjxxNJ43BpwVLTCXgML5Mp/erhcGuvVj7W16rtPEKIuX
ZqrM9WxDaT67LhvVmFKhq/oMbpbB+bDGJUiNhhY7+7FIHlE+KXlelWt2hkS726lbryGO+hvKdHFQ
kwjOoOgUvbtelwebXhZ5YF3v7FlTA73SPAT3SmzitsfmD9wtWocThuck35FUZQmMq38mGGW5wvkU
oiZBweJgrHm2XEkNOthCsJFRy4zHba1EOibQwHj5nN+MIf+7n/2P4yKP+c/72bUevj2z3V/+wu/7
WcLWxEZByYd5EWcy2rz/u58lIZUasjDPtonP/tN+drGKok4kxRhD2cWr/+/9jP+AMgiAOf8Daq5/
sp+5v0ro/iAEIngGx8Pl+hxxeFSeu6CWTSTsITMwLkrTc+DK+bbetctK1A9JdJ4Gq50ANdn1lT/S
qc6tSB5oApohGwd/uin3aL0aHe89UnzahiLeXgOKfJq1OHho5O/BJZl3loy8ty40M5WRLUGWmVdv
OYPX/XbDKc8T2U0PmOr6uzGQ4XjtrU5SHttt5LdwrVAOedLRY7iORDNdfD6eZHqGyV60WWgP491s
h/M0Z3GoYEGGsVM039vg0pOjTefjFIWUToWalGAWOUNSAB8NBLGRHCDoNwyntF9uG4d6ZDMIChT1
KWSUm7Vfwv6mi6r4uHemtmFY4diFacsJ0B6kpMEP7+++Hdb1KgbESGuC+XPqTLvCmI3HOKs2YDRH
1Qhnuowa1z28Z5+qyCPbht49qXkL/cfCGjpaerUNBLcsjLgaJ5Cz1+suHEgaOzDEFQl2JMqrweuS
t94IWRCmJPcJcKRHZXwTXHh2lmPJp15uW3Tb9p267/sN8WOJLuIVEpAmqw3eqdiWTn3nJ/U237dJ
x8+ljUL0ECtn8Nmby4HPgLKufWuHHNCuw92aPdR1Tl3KMmfxh/V06VjJLh+3pViIV24A1x4Gdyve
OUNZBTCx42IE/UJ6inWdNKgBu9RGGsVUkNLsaxkidUDUA1XuxqZZz+iHh2hiowrbDVHNDHjFiR3c
9BsXBSkXY8fNg7Ge805NcJ8hwuzy8z4vDouzUywwoBC8et9Zv8EfVp0ss301DE5XEXBaWBuJ3KUT
AZDUzdq/Tm6N23zbdgcca+HbT7QARXmUHIDtN+CATHmiAi3eT/FSfm59uvt0p5kMpAD+kgsKrmre
zOUaUBfFhm0WtxUHOJtGn84qu475bJ2eb+JwW/lK5jl6FfgdRKiLCfbVWEYoPjgmcjZ06Hn3B7RW
4qqA7PuDLGGIdu5lw0cjjLwAfxObua+7pj4qy49uOTdRKYg+Ss7tr/VD1ayUEjtaWIagPjfLbH5y
19gx48+Wo9VVM3iCKcpeA8hj9GTeDsFQUTKtzfwFBv5Uo570o29VNM4Jm/1mf8Qcb955HZjbDK2B
BkyKndA/FGDoi8zvtWxuXcW44242lZecYHJQFaKPVOqmHBqqxf5SOM6/1pDLr/Xk1GPIOXj0l6gz
yc+885cSf8mlDHU4nDq51V2qU40VZGefNQtVa2xP66EY0PpyQ4BR5ztDKhfQ46XiHX+tfhV4VXkY
YwQTjSvfW8OlTt6jhadtv5TP9qWQDpkk3oe2orpewl3kQimG97UIbeQFv9biBJrM0eu9i7YWJQfl
ekRAxPc5UYmXMzraPopBNo8xw31mKZvnnCFCMM2r9LKhzOAHRXkfRdsrmrPqvNBax8pinIIe1YxK
ZTgFhR/7+V5sY5N77q274e3GnMSZdArjnOmmTO0l8n+PH/jfjfh/sG383UZ8M6+fxfSng+XlL/y2
EfvxLz6BCegGLziG+GKd+W0f9sNfAugPDsNnO/k9WOdf50r7F4e/AhjrN8LNZfP+1z4c//Kr/5Nw
tMSLwZ38s3Plr4LbP+zDOKLgekRAKnAeIhZPnhkFTBPNDLqQDTnrCH+tpIPJ8cNGgw+4QYdbe1cm
6Rx/KEpONLMar2nMd4wsA3T32TCH65ZaILl6yLOD7WQ8oUKCsm+0yeJJF5hkRVVcuxA2RKYWSKhZ
mGxDkUpRgegL5opDFjOGsribm7DpD0D4RnVm+rN9hf9nkL0V9kXai+jZO7Qoda8vwhiS3ZfYeQ3w
pqRVjJiVpg76kizxO6Ds8TzHDBqQ9RDP1zmIaW3dNAiLlg6xUNSrK/S6cNSdbgA2V8RhfC5MJW4n
F4bkoScerjp08HTs84prrMqKehwI1lQ6BmajiunYtEa8svfpvp1c7ogQ4ptXaID/jm1N6wNOHPFU
blZQHmkur8vZYvC60f0SD9WWFO89zFzMZXf+VU00ajPa/b555IUNaVT2lvemCIty/paAi/4/7J3J
ctxItm1/pazmkKFzNIM7eIHo2JNiK05gVENH5wAcPfD1b0HKqksxs1KmwRvca68GZWnZCBEIwP34
OXuvLXaFLAv/NCnBj52iXx3lvvAaj8CSZYi3Gko+M1o/dokMT+amviSUtxIbMQQkAyWAuKzLfkjo
g3rMA1mQrPCI1sNaKP8TJ7kBvtZPNPGc7li7HJeuu0ZD7BwdZmwO+MTymDlVfTZpXRIMjdKQuZrV
2a8lUw8W7zC7Lig/a4IiCHNPvdS7jS2rOG+bbEBJCOmavzsA6N3UgVMibZnqL0necQ4obd99EtIe
jwW90HXJrS+FM78waMS+pBpa08BV0Sa5p3HRFI9+XrAxUV0RGymdYsM8xBS7PrMhnqcutSJG0XRn
zdNVV4SQlHvKnoEtRJcyCv2xIu0Aem94yKrpV/CAtWn0k6gdc4UgpTzgZaI6JkzvXW+GACgekaXf
1jJN94AvvYNtYhoBf2mqkRGYBxoupdzbaMcdaMC2OEHKsvSOAozuGUpQ/6b2KxcrYp1cxKXFlHy9
cwzNpl8J/d/1kfiIfFb4DT6+djpa73lFbjfHZl7k/VYi+Uw3WebExJGnbRDwS4Nd24CqRzEDhrHA
CGC3z9OymNOZU9t5uMOCP2xz8IW4sloX3DoHu/HV6zz5Gk4C2acRlkcjzN1bO8nZZTLVUBP5WVad
JXbpbcukfCV2gVQBv7qseAdBFa/k+rHt8620g/BbSLzMTV0v3bNiwKQ39lBCG0XS4vhRm1jxgyIf
8tss4+pGu0FxqTzkt5tYO3W/gU5pg5InToIPhoXr0Kuc033CSUL9wnVpvfcxrLeRfRZgEW0/DCHr
P39jiMysyR/GxO6x+qfiY6WagYQM7z5PUvs4y6I7EabMI+DW8057DNaNvPNxO/TttW+M1ok3pN19
bCXGNi+G+Swg5WDv6y7fz4Y9/OIn/4uPSmeTOBmWeLgd34Pi33xU+K8JygQ8BEtj948Jv8ZuzOpl
X/WmzdTO03vMLjgGeJWqX92mv3gz8NtaWCv91Tf6Pl0pDJskUDPqa4lN+6TMUVRYWROivZvru8AY
rEuEusQMpq3ar9ToXV9VQ7SENG+qZdnRk/wWK2mcu7Otdszl7dMJof0vMC3fPbI/74EBWy03h9E+
tLn30VlBVk6q8pJ+WwQZO0lTgOSVbXyLtoZtY5k5WbQMJhKkJL0Nx4UEmXhwlkj7+VMo2/GI0Mh9
wt4P/FbbxmUTG+0O4q46ekijjnBD+4MsbevGSmJA4d9Ljd+quv7HxRGuUID/3Ng4//b5pax+Bgqu
/8UfnQ3vg/cmNFN8L5VgQfGQrXC7N90M98O6INN9QsorQs5+/66iHAeIoE+rn0Y/UyvcrL/TzbBo
fvy0A9DKWMsnqiePUm8FYP28HDTdgGtEgXyevLRrdtmQy6/F9xYmyqP8AhIP+ousyz+ptc9p+Gvy
UP+9+xk0XrAr1p5on6XWGDFwK+7Tbow/5yFb5BY1vnUdx7gWkBMaIKIUtrZnuYo4mLVPAF1zIz+H
wpCXe9mohQSF1qLnPRukE2yyZghQW9HyhUvsWTgEzDAeXwsdwiUtwuwuAx5/F5dDQp4Oeo3byidp
Y1PRWz1Xqh/v1Nyll8bQz902G1JJZoDVeXs25DjZOl4fby1jAkc9iLl56jiuITZHNFRuPdHLywSI
QB35HpPBfrDNYNsYZTkd6Itip7IQpexCd4W/J31BMgtE2pqaYR6J+Errr8XYkI9EfbPjN7RxzqBK
YfKgzEByJgxZXW2J6orDsnPhe+iKnMS6LASt+52B56CM8jif94HTQzHXfSf3dlJ1W+D8GmZuYbPT
mWv23AY/1eBF7WSapzTvS6YotkqeRWFKer4sziHlJOhRZEzaMTZOEhROZJGj0235u8zrXIYgkeRM
SQq6VYy3QxbQgG6FeYWGLTP4cjNKmaIKsxxVQj2v6VWWGR+gLIiP5B/Mz+Q0qPBgmbY7bWL0q5xn
w5KAoQLEM9kOvbx2XdvLI2BvMf37vB6ZzvtO8mnqq3iOSo8GGfEnYzhHkNLouVe+0sfe6u0vRTXk
B5NCU+/JcclfFVSnr2lSZPp0adrCivLS8L5xv7TaNro3YfrqhMYImJkTSlajBAjcq88wsWtj75kZ
x113CgkQqTOJ/b9JXWa8mYfgHRh/3tykLY6BTRcjf6LACNbYmkW/Qk2haYSQjACgXOTtHYYhdVsg
Gii2SIPg4HpOrU+bta0/zaNwDxh26Pb//kL5vzTd1cPP+Z+X0yv1rku8/us/1lIRfqBqhbDDEsna
+R3m9eN0uiJC/ziN2t4HJwD/g3xm3RxZcP69jlqsxQJZKEXv2lL+za7w96rp7UYMjHW1oQIVC33c
8u9LlZRUnUxl+K4tI1gzhwHH5nuUqyZ0csjD14zFjO5kGIJBXwD0DMtNDsccYVRV4ZsyalqVhGY4
9WttxBhMTKOOLzO7GsAPqx7llaaZuEq9rRBJK3iYL0HbjTOi+qEGChcGOULFXOW0WxnG3hrlMDyY
s04AnUOkmDd+Y5fudk066Deeqc2brjOSp3JZyGqDps7IraXAmDZIpmoUfzBH8iOQJlGc0dpObOr+
Zvqk8ALAmp8aDE156ONqTLVurL0QZObsus6q+r1Np/IU1lUWH5SmeR6NPTkrUKaaVYo5E8W3C3mF
ODCIIs33bZ6mzh3pVsPZ1OWJj1XNyfjrKUMblUpmi5tOata6oO3RqsKMcjcu3TLj1K9iO9/mY+Lc
DhZfMgJmvhD15Te/oBx9PwP99NNy3jAZrodYpwWb8buCuYiJKiBzzCXKNqzpWoFU15t4VGo8evEa
RsAKuY0F7bXOTvxLszU7L/KKFD2xNfrBkT/4V3mPbP8/HdsCy8PyDIAX/OKabLweld4UxlZRS5WM
IbPfPncuYf1PYC1GzkHJ1J3aeKb2b9666x9f9h9lr66rtOza//rnX1wPZYHvclGOMrazFstvrjfG
5lDYBHFs1dQue0aP6ac4YE9SXdV+sWgRH/7+eu+PegEMJsSGtJcoSGznPUmlr0nuAaMcbKH8TiDS
5HgKui+L4jT+VZQvC8i7W8mlVlAXNb67NlR//motUz6PjlawNWb8fMjlqi/pWBPL8/ff6E+XYfmB
mMz/234AQW+9w2/uYDp2JN3J1N9KA5sjnFG9T5gE/eIqtv2unIMPaSPYCNFvQFni+7z7Ovk4uWO6
jG7UxViNwp03CYNsc0lg2ynah1TfI6s1xafCZf4B4spOX6kICNtFF0aCHUr5RrCZF64YWIUSQMhX
04j/Frnb6MafMpcCZyPtCh83ksuaNCXON2OMadiU5TEXlfEtxGerLsijNYZjPy3eozuid98tXc8D
lLNINhJdsrBbchBb3FckOcAWGoNxUZ8Sy6VaipIQdC5zK4TDFIsl3eI9GrTidnQM1ohuaHLsE4Vd
h4e0bWP3pjQ0M3dcdJ45oN1LHEIBxCCbMw48SPsiYfQGWvt2YAEWyB5Q5a2askTMCJmMSUQy9/zi
aJRk3O1LS1VVZOEJUZfWgk1m23l9VirETnSrznqgcjyJSuXmTppWlzGoSWsCrGiVzPG5ogOZ7gTi
0+IyHjEm33vkM5HWg+xNfKbnX0JOZJSmD0nQtuWZCWL+CZ2I0W7DBYne0wQ24suC1uJG5Dn+zU2r
rbS7XsrcyB5UmGTNjTPrfrgzyafMjkGaV+kFGUTkrrVFqYrVWTF6qSaICEIN8Qzx3B+7pR40dpEp
yx9kOrvZR213upaR0yTp5UIEoQ3Md+rnz6KISWrCn6nDq4GmPF1FFawBAz0HhQ3K3xQDbeqKzzNR
BRiy12xJHOBiwLeWtfVXXLU5woask0F/ZOoZOpvFQ2EnCN5oDOPe6IvQv8dpi3svTfug2FfpErq0
G2nc3bekPri3A8iA6QFhpix3rQwmvLSqAKBnkfo2XBV6KaVBoIku4idKM8c7BbHRdBucIlb5zG+B
Me+YdKNvITT3xWC/2LL3je5QW5PSX8A0++MYkVLAlK8kYBW/t3QGomucNY3AZ3x1i4IEzTsQ3Vxu
89QdyrOCwC7aYk3fzkc8eWFxin7bP+ALdrwDyYMI3OsJpzqbQFsT/jL0gbnpDMPxdx2fm+FbuSTl
XjdLbx/rMK8+zTbP5JYs1VFuevIfpi3Sj474h1bG8S7Ne8z/2TgTdoTmIe5Og45R0K6o6b7uXDrL
ZDbEAcLUOZbnZontczc5ImWUxVcNd13QWhhaRrfBNOTX7jZpJhxRRlzSHu8Naw1stR3cL1M5001D
gYOqpEwSfDNejaLzHPniJPcms8X5SJiTOMvggpUIRXT4nFa+rPcMmYizQcGc1XutU9878RQ1+MZH
9G+eMqd2kOH4hkHLm3bshU2ij7wakDiJuySZbONYOb05YGkwy8t2EH7NelRXOTbVWN65A983QqLJ
5hKwz5DRYPWZo5aL2W3qwgBcEDqKj7x4/Lh8ckIhOe+gjk5SzpKXk5FBd1BTk9rhcWLfYAVyF+Z3
BySPni31KfoRzfB+25dFQWc6SHW7RWxUK/eQjmS4y1+0lN5tahx0aOQGxJNZ7DXEB7wTlpRlLJO0
yRLUuqV7FU6mYuAWj8TpWsYv9uvvPM03Ncv3azk+W826hVLevtsGqNNqXjm0VWYzlHumnwqnzYg5
3K7EwwwN5mONoJS/Z8vLODDMXUV3n1FFUp/8/b73rnJYPwjHv7U8D1YIrvPuS8OyaJ1ulXLbAIe8
I4u4/Oyy0qBVgyEUngdN7P4KgvRur4WowwZrCVNQJHnB9wSGt3ttRhvaNVx33Fp6nLddybpVTNVv
Ip24CuUXXRP4tESj0675eUcfkCok9YDPoRpX8jMY7MMQIn37+/v35+/iQkjmzq1xC/73ad7b76Ir
KopCpTMN6M4Ed+HaJ6PR+l/+/irWX1yGjrCAa00V5EHn//nLsLt1JWpnoDUTMvQShTtxv5dw+XS+
62s/rB8mZYzLie2VdXogicd+7ljBw/OyIqbxXJMsax10OZlBRJdlDiGdgI24//tP+a4li8KaW8BR
zQqIGEcZ+O5Zclp7RGpR0H/Shb8ToXaBgBbWPqxCdohVdwYCJv3x1v5Wk/J/6dl7Jbn957P3zUv3
0vw0GV7//T8O3/YHjt2ceJnABgDUVnL3H4dv8wO6KDqUNs1LwfLDk/bfh3GUKBzGOU0JThOrcOpf
o2H3A6kQ6/nC5BFn1vxbo+F3D7PDfHm9Mn1Vphtc592b6bs8qlYdt9u2qd0Ly1fZaWraN29uxl8c
if50EdYXQWvMZZlhXXs/Oes5bhqBcJrtytk/FTjcj1rP8e8tnw73kmEN0wGUa8xBAm7Z29c/C1qj
Yn1ttoAwzDNatHcJkLp9SsznvjIN60ej6T+i/tbX/M228eNyzPS5dRCTg/UXenu51k1jhLQ0+uKa
gXY852E0cfSLMIuMmNvm9BSEV7ChqC4Pf3871zbzn6/Mu83LLXya0j9fuepic6bs4MrFUJwTBxee
dHkz7+yO4OIF0e3GEA6CGHc+yUQ7/97W/P17+1wafrrrcYZyfr76MFuwoAquToQgJIoRgxN9lZb8
h07+op3wrgrgUjg+uIa3PufrM/TzpVKg08UAfhCV+UzTwqSOIgOsiQTOjO3f31OaAn+6q+hsobDx
IIJoAbP688UUZ4u2TWkwFZigxkiTEw1215e3qZV45Y5isHkOaBeT6acdi/xxDJInhejVc6FjbOoi
ASSRwTnAyTTEDwwTkmrbzHn6ChjQQWpc+k+Tzis8uRMBHcwwMztga28cWAB1xUksWuq2fZqJ63l0
EcA9G0RR35Gk6DiRyJfeIna3IwPSLlo3jto4scUucSck0IFsUFzDpTxPApHGkbfE3TknTa/cuL1G
oGVhtnkQlB5f4qXp3R2emqLl79rUFkNih69TRaRp5Ol2phmvW4l3tPTiMz+zQLoMYXARZo6E8dGE
D+g541e/IsU76ou6/ErTSlsnY9ZCvewIKLyn8bwUW0z/a/R8v9ynNHzvZjG790lTMdMvY2/izO3b
C64xqo9PWWDNX+yZ1tRWiTGzqHVVdpl6ozEji/Rxps5dQqi65NDSbwVROOS8xmLqNs6E9hGjZdtt
RedR1LreArbDxOzz0lJa0+7zEoSOYvSMsz7kVLUt627+Unul/Gb6hr4Y8kyTfdHo5MkUWXpnjmmL
ZpGw1rulc0Yq3swvvgbpGplM28u8GDMDTEU2E1nmm1LhEkV3uixJcoV5yjxVte32yPAMA3NQE3Dy
p5JAcTgid/TgNHXjHjAUc5q5IvI4GhAM9sIxjloV3qXltO20UWEWfsUw1d6k5uqNMnFYQREpGrqh
UEPwIQHy6KOkXrKHmGEKEr66i0PGvWvKcpvhCq/r3MUfqidxRnhtE+8t2D4mFM16urJbgFa7wcKU
ZqZI9Y+J51ZbGWtI0Oh38mNH7sNXQIQlYop56Yiqsoo1a3b0ptchaKqHYiR1tmUY/khs5EIgdrlg
lGVlxus+WbX3FAhNMtzQVEMfZf5gP3L4Jr6ttgq1T6vOAxzTBAcq/OFzH3TOx8as221aLcNr17UI
B0cIVRgRSvPG7q1fQlPf931YVsJVoRXQoRQWw+B3Yzw4aZXT0V8FFI3MBOaXngPgAPeltHFsTTsm
eJsWGJHREwNc3tb6y+icIaeLdHgpwvNJXeEi2TKQYvJBs4bwiD3xoD8W+f9fS/2TwubN2ryldPrH
N7wL3Xz5or791z9v+yYt+aufyqn1P/lRTrF1feCgxpmQEwvTxO9V0496yhDBB7ikIDsZdvihHa6w
3z8KKu8DTVIXUv2bKuyPgspiOAIckoQoZ63F6Gr+hoXrx9H0v3dndhBw9YxREN47ocUY5V1dIG27
8TK2n81Sp1awWYnk3T6wswqdbMGmsAdEVV95FSHxxAVP46PyyulMyHik6ZZn2HaYa8qHJA9K3mZG
hwvYgiK3QUtYaq/opfGXNu7pXQZ9fJ8NiRKbhMpqXzZ0v6J1CX1mvdc1hn6/dw6B36asjL4yp208
CnU2E8r34iLzQ98czgoKD/I3cB92U8E4jGMkZSASUGiEGZvMpkz7+iqcA7OK5lpW7m4VV6EvN8YG
RAKxzGhKlg4zLwswqg7k+H5UBI37ORiGqduO1ZJY+97z8vpEtuRJYFbHjY9RizTwGzemo8XcQsxq
xwICZc6psnDcUK4uTKiLxP8yBkHyUGKfXfZm06kpouEV3qCqj1/dvpf3sRjb+8ap+DphIJ1HACDJ
R3uyAWvoDs9Wz6i3iwZ0KMyM87i8ykqCgTAYDFjrg04lRWTT9AhOaulPLw2c6McKlPhzmpZYewbm
BF5khPhsIOdlKfKv0AaBkDsLE+LZaC5CuFQUyTLGWTr5j5XsCyCRWV7cAYlJ1NbEY34HnD5uyEpw
gkuNcsmInC4In9LCHG5QF2qqKTlgEKuRtx1L5UkoSaulvK/s/rQh+xsIACxUi+h6zQq1mJanL9zA
ABSQgqnEERZKAqUn12luA6vVCWLpoXyJEY23+OsJ0trKQvIHyjF0MbOPQ7LVUxk4W813DXaZ7y7d
VreGnrd+a+CA6JfGnfazkOUNA//qSDt4UhHgc3CD2TBqa9MQ+gCd0KnTb6as0ifkDZzr5zlVdUSj
yeigPiXANr2uIGU5JnrJ27QtzLBocRinE8BKibHnPWqB6jQWKoOyNel3L92CgJ9agep5ksAWcMv2
RnoK2mZ6VYELSKU2fInsIVhKdSOLmqn14BXhzaybjqh58Pnb3jWaJ9hThTy13AJ/iQcZ5baDaMpZ
x53Myb4PXCn05zasvOxshs1za9XjEDzSbneAIzCSgiAijHo66saIb1GZyY5mYEkFQ3C1D46l0EX9
0cAyAOtsNMpAR7Szl/GYCDpFtFy7ccNElloK64efHCBdOdn5aI/jhVXZoBxG0N3sNLIjlN7uSahm
3CeX7hopbA12RdgAMwAfDQagA2/yaTZWiZtHaQsKa98BItOHEuhafzpI4VRH06i8bpOrkplEagkp
I/Qpw3lbFfi4Y0P3mokFNL+dsOta8BNhweQDeuYNXFJ9m4VmnuxAfYruxBBTe+e10mCAoLrwazl6
LuL2MDdeCngYVyFON8KvFb8FNzNzXlw/G55HMGhUJ8SpX/r2AOZiipPprl5CtMIm+v4Mf56/GKAs
M6J+k6mq+Wtb158ax1pghIFh/RRXU5JFWogZIgc9a9N25DdtudVrgW3TQZEgFjdCizoTuozB3zwQ
vuBM2M785FwUddOcBWgdvwrTKbl72TJeMXPrcTFKrOaX2qVtvYFPh47DJwrqsygLx4pWDSwSi5aG
yQn89P5Gh15OBA6MEjOiUQxfCSUzljpA2xTuRlXXd2DRininXKKCOpS222Egh2kzMXMSWBfTwt11
qSSndk789iRcwqLf6apWl8Ku6uZzoVVTbmYCs91dKAOfgtv3Y7XTQOxO8VA0/i7BCWDsWNwwVdAx
3FhL0zyPiCrBqLiNNqLZnIx0N0NUyT2PMXGGb/449ULqTRkgQcPoCUg6D9rhGeLkZG68pYHWVOg5
/RwPYd9jexfhChEuEr2bSKBWwGxspuugNGZ9CBqOL5B6M/1ot1X1bfDK5SsdcDQvylnXHIw183Yu
bJcnf2qNDCpXEeebHqFfiwNyTfrOrVqSxZ221qsY0YFHvRrBYMT8XDcdMtDntIg5uQbOaeGXQRTq
HNV4kql5P2L5Z0wzzMOdC5sWEHLroTjlDxyO5rRW/x1orM9pD5JxpRWEnxkcgkSIXdKbozBdgG7S
deDdJLA9BsoDPOzEHmKm4sPi5Q9DB/U4cpjPyG3NNn7BCQyc5Nio/tY2HBu9KRO8/uA6sXrycFkY
Jy29miNpMF1yMMCOiQgeLxSRzh8ysbG8Iblj5mI+DsR7dxtonplF9rmXBDdu1gO+UHMNDUkhaCYh
IHFR4XuCPa5S9YwYEmvJj37o/4sS8n9sYjGm/L8tJl/6r+k//k/z8jl9eVtQfv/P/ujPgQTgfz4+
C3YGl+7xv/pzDp22UDBep6D8l7nyX9YN+4PFSNDn9MA8fK30/t2fQyxDpoCgd0fesUkywu+Uk2yf
P7clmPzQByQL0qFIpS57P52QM37lllMyr61VGYdYghdNgQ0H27LxxSn4EOYFDertyDZsc9xYTjc/
8Owr62TgqBqyJ6niFQbTfCsRczl72+2yI86J7GAnS5vjmsBinvoj7Kg0lBqDgEQIm8262iBWkF9F
KfVJ0BoknDMPbgKzPLPQC7IuOnHzmGacG+0yNb7GdMk+Qky09qOYsogb/YlxchbB8cIOHfQjc0Zd
Ou1J3eTyZbIL79Ms84YRlF98pANQUgV0eU5suAs6lnMWnztkGbFY7KIGe9orNi/MbUUzjFtN3Pm1
AAiO8bt1ozp2xhs00TAG8p5FF7RONRxad2DHGMLEJWurI/IdxQf8RDyUCvC9Vot7Frc4s07zvIAO
EiRNdpuyIg9gqae5phCK8+6CuX56qGioX2RkGi/QkHzxZKJhmu5tsOnlyRJngPRY8r7FiQfDNClM
KDMB8YXkCuriHjZLylnTCpHfYIuH6XUE3RPnX3Jd5fQswNT3hXpAeTiHeBnGWHmsvcHixnfDEswS
PmhNiyXZucPQ6+F1TCZmINmGw1HdAsQSqsf2/s0KK6OHSSxwuYb8YNIOd1hW+6oxtopWRG1eABII
chXJhWnxZcp0uUoiHm+jwrkmbQ8ZNFurVYbWBR46jA3LwFlta/YutiC7JHlupCXDB+YJuqDR1TYn
o+5DL2Kvr4LzYGltGLzeMMQ74PbeYwyw29i0XqCHrV4m2dItDMKXHuaptalEHp75zSC687oAUU+t
1wCM2JP/o8z9MPWg7wuG/1FP/V5cACR2h4+eqwYeLeV47ichUN2LJVYgH/tmCB/DMA/uAjpslx4I
nX5vJl1+43skfH+k/1WKkzGuAYIDCvMe4iXMviZm6bhXuhrq52nOy/SA3ZEh6ZQWMtLoH8eIZGtx
HdBiyaO+NhSuP63y5L4d/Xw+MLXGcTD65fjFa0Quo5xBMyMuyAZfqMAlSjK45MlZbE/LGOFCot/T
CaMNT4kUW9DRClqFidXKs8Uea9hJDLqLDchNO901pYHRBGTweEVw1jAdhxqt2cLpNtw76IpvatXb
91RJtrGNUz1/Ktl05y1E8aSKWjJo9gOwQUh6QWedolGfmf0iocPQNTh3Op3jlgORFd5nyYINWldz
ctJUM4rT0aglGhA5ak4ZEtrSixmMzbhrHBiJ1ChQr0452+j22FIRQY0HF0TInASTizXa1NtpMfLl
DjMCJ8dq5lkEVkz9dgUpqu825uz4X5upLDhSobqVYCWa+q7n6NCd1HgeF8xmKiHAHE+ywgDsgaC3
SFNAqAIUYtcRBzxuastLXupcucfKGpMr37cGd69KgkhotmdAFsrQNdpotGx+lBjH25msIYWBjkjd
bwsT++ua4+FpKEbUh5XU2asfgJbej0VVLJsutOceFldiwtQyirQ6BSFak7FgNt52an11VGZPeMFc
yfIBkYX9tHDaIRyChLFHtFPi02T1HfypxgP6ZpXzqDe1iNueR8XPAbnDPOvQMkqZ7JzJc4A8pS6W
EO32km5dHRPrJPUVuoDw0WBhrTcjsqtgn3SuOqn8Okz3gbZAXqhV1bFRYxiSw5PppYBngfpC7TVZ
qlit0rIoozkGxLdHDVFtsxic5GnZOOWTq4X3aBVCogqCmCf9E1uHVZvA/VhNVi26K6rnoYx5nA5O
D1jJ26bENMZ79ETJgltPmYhA0tUMDb4yoLAcI8M0B++85jiFPV8ylCQeBo/4+KyYUOxSWzteGvW2
2RrBsFVZVWdYjoksNOL62h9tJ3eHjRZKDxRFo+Yet7w0I6zRS7zURQlj0ixNnhbdUI2iAAUaYyCy
sfqADCzatGo7fTfZl98N99oRuskZgBgaxzjbpHVemuVkm+RLWvy5u0QOKz5kdttywzJExqgtyLGH
TJJLNR2g9RI7gBe/j/1hK8lJ6PsdpDUHVIhIYnCEqZN7U35tuEuMS652Q6UhDIIyEWiq+k0zykmf
uxk/MHp46xk2+Zzfzr6BZEgE/RxuJXz+21SHfhVhS0HqPyoxe5EZq665ybAa9Oex4/rjkSp9mY+c
ydpXpO/tHcnm3bTraJFJPmCtviU0MeSeoIm2i6yFAj+qyCR6Rt2TLHd0ThT4/EItAkZOPZdbxQDB
v7JzJ63PpGs3GPgnE3O4rBGTgZqnEuYnKLBaRIHR2t1Br+Hp2YZ3svW2rQoG8TSArMefPTfe0l11
TCdWrrlEu19ngBz3Pr3eFKWaLhfo8xnLs2MndH6dZfbUeWL28mROWVjOR9VTEDOWAeN2MEvOTZdo
4ib7ejFL5UQTRq98T6vCQzxKN8DZ2ulgP8sW5DHez6UOI6cJsvZyRJ5+DMY5uOr4RuEDkqqKkxq7
BhQFTIXuKb0Wdqy8yWkEbYiCM8urLrcQBgejKa7M0of4s/Scd2Gs0vD70lqxrKIAf8SnQhsSTmk/
yUsxGPOtqGPyHxKXZRS0YwJ00bUhiFkby+7tZyttknpdhNzqGWQjnRGLoyAwwDzAsZEh8ztRhtTp
DcC28taacSg8GBkHfJMMlrywT1lJUHkV2iNdJJJW2Ly6FV/qoQpUGe6qTNG9abE4CDS8fdDGZ03h
u+Yhq8di2QOPxSLbxS2TuSjljUiJvdbw1U6la2ZfcD949S4YJCjFhGdxvh7UlMjnHijjc4YE0olI
E+aDZgiI+U0L4lF3FSVwejI7QyvuZGmIWgHqE50CLJ5BCFJTP+3rDuPeeQ8vbvloBQuxPOkMtWC3
6CrkGByG2n4u7QRvnJpFeQ1q0H/OCtfk5NnmtnPo4e47m9Ky64ZDLw7fzWpPzblty4gBxrFUyjk2
A9LF6tAWYj8HYT8cExAiDp0OhjkbdJVzsCkyp3hCn0bBQ/utEQcnjJfkBLDjjLDOq9kavMXPlL8p
ho6v6Oi10S/asAG4LzmZEW4zu3vqsOTCmkb7sSym7MoGgXEX4A2eQS2T/rbrNDrRqPUGqvLOYks2
K+rjNpmZhXrBQCNLF67DnCAPm0cz7Oo6cpOeQzfWB9/YFQtG6Ktc1F1+RUsbZGqfl+FxScGHn84w
zCOyLSYivBBUn8Yozl9iApuGCEF18KzXON6t4qHxbontUfmWzgqOnjmfe9AnFPxeV8tj3Bt0n7Le
bV8rU0z3NWSLw7DmkR0LW9UfF17Vee/MLY9o6sMn8fgKJ9Ieit0Qp+ZNjADvCsR++9VP0tHE95z2
drTWkhFwQFPw1DtuF5FmwfNijOD+N/A3TZYIxokhPZmRqAxMiYv0OXPH0tszT3fPFqaWJmE2pA98
VTnS9z0EjRh8qZtwIveVasMTPTjeU2Xk2VkFkgxuElySLspBTEHHzs3pRTR6djeOr2k5ddSPycZq
C09RZ8eNf45BJrkwrBjpatU2aOJhv5gAhKvev6ZqD19oo1egTjseiY4wpxZpbs/74mQMVLdUvcNd
spC1c1wgOF17w2pLn+F5H5F89zz8K6By53cNOEUzC6sTBZ8BfAQSRiLgKovuoCnGvjrtpt5SuxHO
Cyk6Ewv7LyRP76QA9mr1FMzhQdmtI5F1TPJWhFCR/1HpEjDwNBU5HuRFyNusjBliF9CUE0YL2M6p
XK+dtKuOCxv7+ItP8E7bsX4CMiBwGBPS6xESuP7zN2JtNktNGgYLZa3M+BK+o7uP27l9fXNqpzk+
y//L3pntxq1sW/ZXCvVc3GAXbICLekhm36qXrBdCbsS+74L8+hqU961rS/vax+etgAIONuxjSVRm
BoMr1ppzzCL/UVT/XqT39kKNmTQ1G0zVD9P5KZ0PJwO0cCGZki/tqqHL3FmRC/diKJSFC+QNOfMk
eReorbittcrCvBkikrrDLxWWv5FBfHzdpj0fyB1hkchKqvzPr7uNlcJPzajAOGqYa83iUJ37Y3D9
69f9T1cx0Ag5BCKqiALfXSUhfamH7IdBnqCFHccVk0LD/13o+vseA2o2RmMaLgIdxzOQiJ9fi5AO
h7kYC6FqcZpmG9V1kmbzaryPxyAofiNf+fiabIAz6KAYuqEHeguP+2HFGA7n9tYfcsoil5tmREO/
Uv2yb36zMt/JKVkyDtBGYLUOweaW8V4mgyil46HDveHjfIzXBUFJ5cIfa/QBRpmvEhT+v5MgvdOQ
zJe0VcyhuKwsoDuzA+vHm8GFAsIDDvAQtKjmtY6AlIsw7A9q2Fl36jRkX9j0pafi2kx+sx7nseJ/
jR0RiM17LeYMMrLBgbFcfr50YmqS0SZZMmT38tRMOGS8SjGbKWkXsHu1KJkkKi+ylH7zeX5YPbzJ
CNVs3maBV157d+XCUkvXGk36Ckk6sFPjoqB11MDlW8D20J9/fUdo85J/90KReZl8nqBREKy9uyX0
MiozBqvUNj0RNxzXJA+GOB3He9FnlFlc3772RSgeCP7y842obf8clUn09Otf5MPyQvvEtqshoNVd
W5/Fez9+1mOjxrqhiMyLW2euSfKJI4RWU0sx7Ejg1EKT/O2a/odP2WKfN3Rt3gpRnv180chH1J04
A9tgK8RDViDbp8ccuwJsWq72wYZZwgSePKndIPtNiveHz5mZiYriDDPVnG77/o3H0T+ficOM2CCs
HaqY0DdFitO8BqHJEeaP3l1jNuXOKiwm2czTDffdohobq1OlCb4/5Xx66DqGK4TNWp9SRuRLEhJZ
4r++4Ltdab4gDy+2WhrAvML3FyzduA0ZwkVeQZ7JtotFv2Qy8bv9/N2ioY2s2zb36Nwehmv1Yacl
GS8sXaLO2iQrV8yateVkNqHtFYMeby2mKK+/flnvFsz3C86Xm63x2DvfLRgrA/XT+yVoncDQn1MO
rI8gV1d0UAT0A/pCIXKk6Dc777uVwkVRenPi0DBVUZu83xHQztRIhGbHjDJ89WnJeG7RfU11S/7m
Q/uHCwmUG3S9cPaZhvluLwjHSCv1Og68kdsCeUUwwnBDvRPryZ/KHmcR4hyuizoQqQh5tD/feYM6
jGrEIQDmSAmsfn5RKeXp0p3/9OvP7IOLkmuha6GsQJIHqPG9Xjb1LRE3Bvjv0uAVaWT5OTRAh7Y/
xQRoxXt/soNro2j885Rx1FqgJGsJRpDZ5G96M7XSE+4dgNu//rU+vtmzAZ3pN0IaYArv2cR5SxZe
3ES0jCeOdb5akxjhdPHKnf/055cyWDkckSkSPrzZBLCFkkS20NOq/t7uhvs+6+5V/vznl6F45dlF
hjb4knfLh1RCs8TEF3itxgCPGI90ZcYO1Ju2Tv+NNw94BP7TGS7NIvp5+UQdSqEelqs3NIQzhNHk
n/Gskisy/+nXr+rjLW8Cwpj5FAiksF28uxQNljSpQWaRueTHW7rP3N+y76YdyqEYTIkRnASm5y+/
vuq7kwj3POU/DwfkyCwQ+/2TCcCE4scGqSvscC6GQc6aZwa+3cVtWtZpGA6PhLmgmHUY7+CYy35T
Kf/D6rRZnw5HA8Cm1Mo/v8Eclgn6JECD539f6le2murPRTrXBpmV8Qv9+tV+vBovFbk5blcX+u37
U0+WpWWHq5ugrnoGkCo0wq32/l/YCz5eiNHfrIPGo8pTULz7MLUYr0YfjjQ6J/l2JzBI+7fuBOgo
MI7mctyB2fru3YMHLaMZ5kFsIlmnEZ/RQyW7njEWf/rTt86iLp+jw3k5H0uYoW0RaWlIP6om3s/3
dqZG+3/n3mYhzMYJvBfs2Pa7Ny4Vggq4Ym7qmGFxoN/6NTPM/BCH7ddfv54PhYOFlJQ6kKqfcxrn
sJ8XniD2qY5b2h2xqRHwSWDB8vev5h8uAkAQxhK1tvPxIq2djVEB/ZT05jy/NUXYvHJHmes/finO
fIpHx8wWBUnq55eSDQWujEaSk9QbwTXPl/yAgu53NdDHJW3P75eO8QzuISOrn69CfRsBFGn9hV5Y
urFEmDj2GzidlM8u8LY/tBKyMXENVJ+YXChFkN/8fDl/bHLfHmmV6sUw3qeIm3fVSKsitWy5+vX7
90+vDFUqlSSHafHhZiXOboT9xK4A2NOXy9SNioOacHAvqjnO7tcX+7AkaD9A7ILxaSCC+nDWxBzu
Isl2yaD2yXFSOP+t1JDF94dXoWo0EUewMbAexBvg+YfDukJqXk8qJ6FR83Jr6Lguy9H54zeOq/Cm
zW4aHsc8s37+jLoSQZhVJ2QucWgftt3spOWUntk31JJm9R0l/t86dz4U4VwNUQeb0Nu6eF81ys5o
HItEXOYZSfRAVhhaBtWobkatZ/4eW8FvyGMfPimuhxEdfQlPCuq6dzuEGsdOxYjdJVmRlrJiwX6T
rhNv//iT4jowu1kNqvGhZvI52qDUIuQsJAdoPKiZ5Djo+LIa/2aR/bfv38fXg/6azhf1GX0joc6l
wA9rgjhmvGIRIAM9qzoATVJv0YQ6mVv/ZomLD6UMS2KuzGCWorbhvz9fqQmGgcw37t103rt7N5Gn
CH3y5wx1wrFsDLLuBhLEL6XL8BMbq5GCbyDHazMSsIkCO0xiCxwKteoih9N0UFE7H9E7EE6vtRkg
SfIszl3bi2dRWAbYojBtzraWTQ+hS4rhhsbneG+ZLWzMyu8YRNkV5gAGuWYEU5MSZ1Yuc/gPyf0K
dknDpGHL/PKx8gcj3me+CD41opXhWp9PWfcSb/qZnjp5dAxvEFgL+MH3w1Q6wblpMzCqjAGNqwrA
4bRsEDgcXULS5wjlwJ/DGwyLvjKwj29TLy20y5pJVGlQW5IAw7Fwzi0yu+cYwz1jK7uj6fOnKww/
Nkl1Or27ueH0bh03qdPgeCV9uQuoYZtEyRk8/XYdf7w7nbdnKdNFGr1o6X/+zH3eDujrPB5Mp6Cd
ZKTSP+duRw05KP5ZG8tp92cvC1QNBy1EVjMcF4LKuwsW9ZDSIhIKMpKkeZVkT2zSvP+dl+39TcNV
2Ejpr9Iho1v+3l4WOwo+KOQfC1DPlOIRZdYEB+f216/l/ROIq7hozug9shHQknv3BPfTSO+aEMBX
TyzHAcZEUEK68DkBZJjCfnPQ+IeXxAmNG5TSn0L4fbmQxIQiFQWC/m5QwJdnPBYCBpffN4E/UjHe
FRn/+4/5e74QV1WjwmrfTBr/9bd/zXe8+VbMLpPm/Y/66Sc3//vtn4NvxWxO+ekvhMljVLnuvtXj
zbemS7//Fn9/5b/6j3/bXe7GErvLl6KDLc9PQ77+EwuRqKEfPvuPNhnehZefJI3z13+XNJo6EsS5
8wL1HhQVRdb/lTSKvxjY4G/EJv/mqmTv/k9Jo/0XmGqMUXwnVsE3+OLfDhmDn0epAV+Ito6h8oP/
RNPI0uA3+6mHS8Fs8SvMWwmlJrOHn+/xphO1xJSgY15QZqi+ga4O0rs6o/YhKbNZk7TrkbujZy9a
hi3AM2dKv/EG7E8JYywXDE5BkvhWUjgghJ1MrrJCEjSRZOgGvCLgFzgMiUIggB2SlunIJPfXsgZr
j6uiax0CBDAVtLEXCpS8O0P1/XuGCYm7lFjlhnTW86AmX0RWaKP7JgVCkuTXVlqF5Fprq/yLleU8
Ixdl7YRA8rTWxdFy1jLb7G4ju5WgjZ2xlS22XMtK7UXQwo58NbJ66A10zm6yqjqjldvZpNPcSOwC
iHniUGDJqGtdEufWJlK8GlpH7qant2Rnnzqg2uqVw2Dzc0yFo+FsHBkLyEUnQRU+VGnW5TvsROQ/
jK0NWF6LfVhiKcE3uBMIfkeqssigNz2jZxnv0thqLlUHJgwFoQcxINjauRZ+aRTrofCNcxv0i55+
+lFP281Idl8sjW+ENF9X6YDIEjwPdKIOoWheaeTrtC6Dj7g4KVCO7icgbHRsm/o4E+dWokBSkrnK
kV/r0U9M3tOoJJIjIXwuDg5B277I4UzPcE2m9YEACmLf7c4DLjjuyDIKF7UZ2jdWK45uQJq07hzJ
k1xNrUksMfqQxkK2kJQP41SdSt5h/aRkRbUf6uYyjaHZL8eRSYg9hNcDCKc1DsrYQMzf7aVszpOv
i3Vjm2jHaVisgFUmT5NZyDNNUvPMzPyotoAeWBgcJLZhIm4HfkmkF8EDpH9jWxMnd53pPVrTsdcX
AUVAMNT1JpOEgcg5ZpbO831LFAduIvTo5EPSpyvJoKtaf5/GMWTNEX1pIlPL3dLjV492kN/SqV7q
dfZQJm2wZJKFmL7uRORZnSwrz5nK8J7kwmJvWbW70MbKwfQThAfV/caJKFjmME2yhUkvzUuG+jgo
FcJPm0pX0VeDv0fJcA6QqItVYRjmXRG4SrAqwRnXMOJ7FLssBDBE5TYS9U1kTvUCf0K+7mt5jmwy
RF0+/QXAu3NvqIQ+te4yjF2vqMNiK6zxpq8IjC4j7F9Tm2+YX99DzVwD+UUY72fD1Swi4JGhmbi5
LNZChK0I61+9E0lJV7rKxu6UUkrzf477MO2mg0+W7brp+I/d2JSEhWVddfSclJ1aARhm6I3lIIix
h0XlZy1vUSVX0ecaknBJ+kz81SZbufRQCryA7TSO7VDK5Vxy7udglYNtlebJmkUOZiK36ImrdE7v
azwnmfAXjL5J+EM51Osmx8QwZcYppnRZWLHin5rOdD0yV8WSV+Ve6QRm9Cta+1axNhv5kmjp18HQ
chQymXY2HT3Nt2ahjEeEp9omThGcemPIdzPIt5fDoCqrQYEasrcDvSVv3gojj7G6YMTU7kjRHVZ5
R3tvrRs0ieHVV5sR+QE3W94BeUfZDTqMwESjX6B/7LsjpWicXbJKedWU7tKE5avlWwhrjUhhPjkW
7V0je2cJZugusVGpzFxZ6KB0mUiNdthrj6rw99CAnkY7T5XPmVGR3Y7BsXaKXayhOY8clcBNzc+N
L8S0UaMOuQNUqHZPuqOdQaITRh+5KfP5QrkyrRCWfnmOSIw+EMCy6MrUvKR9zBcRtcqOhshb7VsT
ZTqfZgBPjD649go/3V1aqZMsjL76Vg+Z/1qH9nPqKiujd/H+GUm2mNSS6AvpP/r9eAKWpOxkm033
eo4yWfXdahf3xhnntZEQe0BB7TVllrwUvpJfgpysZY08zWVtQmfL4yugbOcxCWqErOho171Nxp0C
JXY2azlMcAhlI/wlwJkncPAL8t+T4aDF0wnhubHifuKfLKk+agCfPHKeQ+VaCypx4FCfstVAsirj
4tZu/aUzqfylgQknSDdQcJ07IaStRiUYsxRnUGTIY/22WVq4SYZtWbFlYI9nwEu6+NiL5dTwwAiK
hqnoaN/6UGOFPzzZorCPI5b9vNoWTrWWPabQJm2OEwTfMZ52iLe7JzKB1YXtdru8PoppJ91i0afV
JalGnqYDnm5DsPaL6iGoVSKZyJn3NLogq1AnMaBhnN1FX9jpukUcBuIEks28MaQZfDX6bynJfbDK
eQeVpkmuIjYHUGjXLs44oclN6ydHThqQl8rqEjEIW6TEgT6LhrO4mx/T0LixnJeyFf2RiCjEt/W2
nvwLgIIT1p9mq4wZsIOiStdMCovPbtBdSjwRQ6idEOPtxzi9TvQdWGZUVCRQ+3vMeJ4koUDWxTJU
h5MSdcdg1Dov15T7cRQox5VL1TLjDPJ6l+nBNzbfIdiR+pZ7uggvdK7SNWO7o6O8ltp1Nwu2m3RN
cfDYu1jbYism4Akzvlti56G/sDGzKI2WQ5V8Kdkni/JONz47Qwx2wVzU8VeUxEzMiwu1wVola0Ot
T2B1PYl9v8yDOxpl3GYaWxE6LiXwmkYDMBJtrfZcK7eZUj9W3S6irc8sjy3ZXwbTN8ciyLREzGUr
y05W6zQetlnena2Jzed5Ip2wY0dBp7/oLduznTNHvRO37BX1pJdmlDzw26sJOV038BhgM47iZdKU
myDq940ut61WEWT0Ja3FxYmMqzArVklFBC+UQuhH1BefhHLMDBMIXUVYiBMDpe/dU9bNu+JjktpL
K9Pojq1082ut6uxTenRFfAXvV7DHFQj/bbJWtQ/2AsK6o1RHFybHwg+Gvueh7RbXE4GMZmjCTdPX
oU79Id1LCZGxSbJtZ11VZNujdcVRiZVMP6H6Qmg8AO1CYVNeY2OkFqFGdrxBoFsmqqBezphI4haz
3WRsBLBq2RsbmgFLrWS1IAYtAV7sB5y9S9uXGyQYl0GCb7MqjaAQtyx5DAdTcz1Vir4T5pDvkZtE
22CkLnVQlldNcyrilns/b5+a0TR2aExRRVo2rELYdFF9rQ/RTVZf7DDGbJtp1bKrpgueyINW9we9
XdUGuSQ6iVA9Hk+bLbJIbgRhZQ+SXMMt/SzHw02CHjaG8lwQ+jQmV64rdwHfshjIQB+y7BZZtumN
QnRbEhciD0b1mtjiQw2EczGU49FRw9vKSNWl4HnH/bdL001BBjHBGwNQaCKtRYJ8PB/C/TA0rG6s
Icg8LMqemHm95+jhS6hbO9vGRB1AwScU6ZbUlVVIKIdR4YbEDGmK9E7nynkd1QvFQriqOw8mzmoX
Z91i0s9me10RGkdyZbosO4NsJdvjWYzgMfIQIh+1SEW3F/DGLJIi3oU21kPgeFnpbKOoGNdT0K58
iuMRi547sFgjuU0tdYkzp13MOm4E0cvQz9aloj4ZEbWmxFk9lrekjp5j2NQLxTbuG7V+nL/LqtMH
VSa3Uaw8k2l8svv2RtHU11bp7we3ijFCk8ftklvS4p6lI+Qql2mAGzH66yqN15msTmqq7RUjI2RO
41mvItuW+q1mNvcSr5BRfG5Sbi8bUgskvoOaWqwA61lr5CcX9bFT26egU1fWlBtEdrhropg3eVTe
y8I/m53YdgXSyrhzMw4juVgFrWrcDzZ2E8tS/JVwxMj3Vuy5UIsV2CieILdjp0fmykbMrypdWNF5
xcuZBYA8Yrw4YgrWHAoifDByg/rnue2jmnQPWW2xai9LKvpqAH2BC7drK6ToKfFyezc3PtFxPCSs
lVaSfIYhitw0lV8WHWhau2t8QnsskHghywrys9yKjuNUHH6aHGtciHxstnmpvuigoKUeLQqsIA67
Y+wDMMCDMI89WnNf2MUSa9sLTvU717fvSPQk3FtbQPRE7mjJzyI5+IruLswSIoquhRDh3IsV93KZ
uRnD++mA23kRTELswVbGB0tSXZui3GIEZBcyqJSBYiY6iGi8XpiMIT6udD1b20g5Se4e1rY93kR2
tINUwnAzP5IoBuop9thlVlVTPKeJtYLKgseblEEbweKMNRXpERz1PpwuhVoubPOJQfvKaF+DQll1
U34djT0M6g5LaE3x1y4l75GZX1TcBFneFktBZewPVFWBej3p5MqIfmvydEsC4mGTdqlmMTPPmhaz
8tC0FzuXt5UIT03AYSV4Gagnl3J014FlnZKwX8bt8FCQcephHuiJNlOSO3r7PB+MetK8JjjHDWIm
P1JeLYPUMYfQwb6ekHcG48HSpEiXKQhMlcNLlX5JAtfEr2ALyjw1KTjh+HVDhmxgOPGj3SUMW7Du
U4tDX/G/pGEEIAeNvpxuCEJPofjkpWtubCJ/kcQQxvrNbmL9iza0wU0d5iYvXIusl7Css2dXbTLT
M8h7ea19Asq9Ko55vGSGO96aY2obJB2NY3UKBzfeGe0M4we9mhPU5ooKmfEbsN8hx+HSc4bDGSy0
xvJiy6hRsfpt/QKeF/C//hYCYPsBQ8QEQjANwregAA1N5MAzi/yA1ClwVDZmre6Nt4ABtessntZv
wQO4EhTVo0VOKoE9BxSohS/XtlWTCpW8JRjooXa23kIN5niDTg/VZ+Mt86B7yz8AI42OVSrjSC6C
zFdhTZG8NELs0JzM6FgvordIBakoOK3LrPZhMgMdPOAaSqmuehyCSwUp1z1JjUQ0sO3jX4jIilh2
byEOw5znYGbdnOz0lvWgG5is18kcATE5A/AOv4qjM7/YcBcoXQm8QDFQ11STfQvlg0UTzcESsSyT
O1Cn4p4IguFVERoJFJNauymHOwIqPdAsBCRhY+VkMUiVxysBmjAMKjOlgNMLE+TmRI97gj2FoNsL
ejyNS5sNw/bMnuMmB+XauvHhud4RQAjZlZEhTCStFINyjBtgSR5Rk8JaN1Y+gJlTpyxZGVNOSqWw
IgGHgY7pxXxLS/Tn4ESnSnHC5yVxilSWJCtO2pyymLwlLppv6YttMJDEGERafKu1CJAoCeasxhJO
EZxhDBQvEa7zB+0t1zF9y3gcvuc9ztGPjBlJgSRjFMDTQDZk8ZYS2b8lRs7WE9z7s3nquyzhj3ql
/1oj9P+1LBnkeb/qhj5+a9r/sXjJk586ovP3fO+IGuIv4rAY+32ABmHyRvGgCuZZDrPEN/v3f3ZE
9b8Y5c6iVnql0Gh/yMk1tL8MvpZIaAZUdFkR3v8BNAhlwvuGKBM72qvM95Ffo22d+/o/jNQsBu5l
GOFt0Nxk3/vmQ2tY3VUZSXPZlUmwtappWPSDjdkOj+LBmeQVuTDFGpqATRqNadcLViT5BKp17FTA
vari8HwFUnNVWKYE6hvDhDGlbm5QHS2NVh0Pvdqpa7JkW46EDEObVkYrHYA2x9ikWHU5kDLXggAC
qf1Qj2kLvaYqxNoIW+U8TPaD0rnOSukjZd32VvzqQzS76K2WPyYKIQ5FZyjX+mTVV90QqXvbGrKj
6JE9Qt8Y5w4oRsJHLQubZ7tchhy0pxX04sbpTr4sVrbV7mO3/1bNh/qws28CVVGWkTZ9NXQGDhao
ioUxkBlm1s969KR30S192iPAx52eZlTwVJnhLnmh+4nYSV6JAhiOVT3nU/W5rqnO9W5Frt0BS/Cx
sOUajP2VHVhXRL5c4SQlgdWYtoOv3XGwXSpWubH81WBf5U58G9blbW6DDtJz+6wH2YotYlGN2gov
9iFJ5dXgPMXA6w1AfHWdbhyJlb2RR5g5NGu6EoqL8ly1Vrdo9Oy6bYJbd6TPbIv4uZXVDa6qR+xX
xzCxD3AEPyXF9Dg06c7XaMEWDSJnfRV09hoJ+/UY1DxPSKHPAxw2dvGpwWsiDRaJ4l/gQILPozIe
1E9Gegyqb9DciD6Ij/jOb8ieKHhkBAe7cNcSw6jnBPoBvQ6/SeScQi17xa9pYKYCFe6e6YRvq8a5
QCpa206xnDBKbgMnhpctPPh2yzYGCsNwUrt0gVhVtf+SJfnX3J6WSnut6PGFcFuyDCkNExxtW6Ff
kTK5VOr1NH3q8x1u+YdQw6DYQgntR462qv5CVOw2YduGpelNZr1x3XTDIzWnOm+fFIBXtTKtm6C4
F/5dYXAWSW9I7aXAl5tOjzeK4sVhdBUpwU6htKgxOruDfiZv8IyU8aznzroqHqbm0c+7nQlbhXD3
ZZmJrVkmKyrq09hPezszn6M6uAp96N9qehmhgZP5wZUqq15W0PGIKdwpyXPTa3tMDFsB38hWR0+O
rE5ktove2VS6fmK0EpwdqUEIDJ+F/sIKOhDOs9Z69VOiw0C80UI+pwoXiV/BBBheeYhfq8lwm/d0
+ZxwE5BYokpjZ+dPMPzhclniAAJq5ZTt0RjcfWyX91Enlk1betI+NYagedmta+0G1cajFttrczg5
1BniwJgSW7E9btxRHplrH2oLK3O8V4N0bSTNykQzYOfGRo/aVdMEz26KMVrk/vVI9JE933yh495p
/bbqbszqWzaaSyNeA5lY5iJey5bJdkH/wNlZdbV21OYI1Gttle6pIBZ0kWxr0n+HGPIMalIqGxgz
kN+hZllGdhGAm1JbbEfdv7dzZdWU5VFJMpoJinsNPP+gWNc9SAo71zeFG+z0IVgN0ybP6tWY99tG
NCsRPo+muGraplkGkPmoOR78qj+jSHpEm/ZFc5AMl9GwmvKaZle74oQmrCLiNQebtimpF8otMdkM
/M1+LqXBYel6gI9V0vU03XvVVa8Mt0YB3OHbbyLstVHbLCyNpF/t8+iMG2lNy8C111O9Abfj1aq1
wvz9oKtgmerafw39yYOATZBWkRwIjdrhXLchI/mHMs+/lkxb2dB95ikc74iMIjWpX1vhcEsDdCDA
TutXqK8jLylT99HJy4adv3x2/bA+ktVUnuoWwlpjqwdUohdDmY6oQDgODQqoK6V3Lp3P3QrlOtyY
ESCErr+Q3HK0XOZepMfEB4Qq13PltCg0jcVhbzO+dVFasIdaTf+U5NNtK9KXrujPQJPCQ4UNk1Sb
XN2KROuPbakLb/aEnE2ePDcia/SrYTS0s64+oWQQjZ8u8XYsh1j1gug+DKxoWTbQd5DsaRsnsteN
exrc6CWlBlwkZTbR6kEIETRbRjDXbUY3Kh4LlJcTKa3lJk2y9pBvlIS+TJwnu1aS0mMHtCaIFRdL
3R8Obqq6W0Dy2POqYlUF0SN7fupl462O4x4n2SZVi4MeO09V2N8XJsSgsLbv66jiEMeHlYB8oCXT
HbP8KspEir/e5xAitN5rMrnv9eIr7akvU2fcUaeT9jlUnh9gSc7VCzQCTmCa+lRapf9S1gy2UA0u
2oi7Q+5zBIO41jilEWBPzU8udhnQHmMI0+bcIENXw7TjmKZmtYSmYK1UNX6k5Qiny4iDnaPJUzy9
0Ed9Gka+igSiOt5kmcMhIZmWeax8VRN9RdImxlagVnk1kN1ujGuEPAHa8fSMKZzCg8OmNZ+f++lJ
7YxXZcTjPmkgWFrSL3kgBv7CkrinOmkemfkeiWq90yb/ORn82cl87nP3aTCHl8HVr4TgCWW2X0O5
q/SbAE7XMpyHfzyU7obKzDexqpLcLXqVbq3ioM1To81QAKwNS/zhJKppizjpOObLwWD7Tm+B4Use
+XTSezQ6dQ/8zGxEtSbkbfJS8PiePgfBF6nWnVpYxCs5tg95BbYMRTxRI3FocOK2g2MUJqfI4vnN
WLV8En7KA96s+m+m0tprJ2c1yA7SA2cNh+SmqN3bbfg1t5A7ucl0RAxKG3GKOAVpWb8DQ5scw8ZK
iCgd1U1karAe645hQ9M6eL0B7nX1Vs9qhs4a77JjUy1NTCssRzISMJvNYOWblMAWT+2eSvmpisxj
gLPey1z/yrBx+hiBuqe8EOxTzh1pFZcmrXeSbcRQh20NSqKQbb3AG3EOks/g3YHshUG30sV4dobq
FrYpXn6FRjURgtcMwYOVUZJhnuT7UYuXTujXXk8izLo08ttKhscpB1uVKm3KeK8u96iCnQN5LBCG
WwI6ziUioFPryPQKegG752x1wgLlmusChs81whbeNWNfquLaCUZnN4TlE9EewdqItlimlJsJDds9
et1xWhhuGas808DskjHvr2TKJz5UbbYBh9tswsp4ZCRmr/pGef1fWeEamtIbaOYNG9dzuxvRuJE7
0tLcVbpdBeMQdhAH5nI86bX+mbTRpd7rXzsKTbPknBn9DeL+/8et/wnu6lfHrU/fsm8/i1Xmr/9+
1BLmX4KMVQsjwDuelglpldMUTuW/VSl8z99HrR+izzXQWohWZh3oW/6T/icnq+/K9R/sgrh1DJ0p
I+R9LDUQ9WcR0w8nq7LtpYgEA+sC25WyMWLq96spMUOeOEELdRPbEHkN8SKAfhkddRFkYsPkfLrY
k50GO4s++qzA05VqoxtkTC6ieGrLJQZ6OlU2OZ2E0/TkFs/En8eERtcnp0gmRrZ+Ujw6hsIkokPG
qJX0TQrFHrwuKFqHhqoxNxL82jFBGtW1yCum/Mk48kNCQpDuNStA2RCkVWiUMB/rWHlN0jnFnZZI
SFAy900YJcQMka3IrEuJ9IYCPCBTzyNuukiOjh/TO6+aPDy2KrTWUzpEeUiEuqrTv0zHOJtPOU5z
JVSCbXfBiJYBJOFUM3EvRzhKL06rOhwMQsuAtplzLghRTCoJZGs7EboHIzYN9U08gBo/hl3bMoL3
1YiOB9538eIXwlHvKDSEVL0EgBAT6UhECvqOuI4LiFeGU/XPo2xkfY8wR2peWcuM7hCJMhkKhBC/
CsKHApyKZ4+WMZ5Bm+jhtTv57rPMMlnuOCv24UlGiAHSxSAsIwayKpTRF+uAlxDrXvw9ngZb5BxW
k70l1/gBJ591zXlWp89UDA4rg92urIOMw5gWm+xNvm0X+JwW+jRR1r+qMCHIHIXD0ukmVB9Ql/fK
d1QXfssWcFdgZLnNTE200miP6Xe2V/EG+gKoAMJJ4OOip51BK8i2IDbq6BXtjaLfsvflmymy65CB
l5vc+2rZvuS2FdOnn1liLvHxCuNrMGNV2pXxjuSjOjvZ4aDyGJpxZOSU1MY2cIEb7fMh04JtE+qj
7xWTCW21c9PrAR38sjXd6rrsOlpnFlAy8MKDpV3z8Gl3rd4PqwrYyb1eDu5Tq2blZ4aZF70u7Uc1
iEGxW4lhXhdGnX3RnQA5kWl0JkZftaufmOxE9UXGZvpUqlK9rQJa7TnDqE9ToAenINDtHIoZp0vQ
ni4kZERx6yFSbo2ynxZoRdLDGKV0IsxRtM/w48rrNBzMZ92skQDodDx9hEYzTimdjLUzMBFtFZ6N
2aBHhyRXlfXcajUAIexAjqpziistUkkRzd38ytmxWNEN5Wg0qXd92jJU7HTriGefH2Hq9U3g5Dd9
Aw1KT035ygSyPoxjoa/IBDA9bo4EX5jaJbdNBgfTIwQ9psmtV/NQMokza5XmiWpxlE6B/SS4rpJ9
JSLaC1GkucbSqYfWWfeu3yTnVNVkvDKsMsyeWAfx8BVXjut6WUNw4Lnvs7QCgh8o1qcgbqBvxqNE
acWcWVCZhRNkh3xKM+U8Sb+Bw4RI0L64VC4WMrOBFk8xJeFrYlj/h70zWa4by7rzq2T8E4+Qgb4Z
eGA0t+PlZd9IEwQpiei7gx4Ov7s/UMosiVJKoQoP7HBFVUhVqaRwgQsc7LP3Wt9iuiuFZn09mINz
CUdEPNtK1lmrUtmKsQp2asfflFR3jkQ2MRM4aeBDCKTQj4C2yjIQ8qDIgZp1S+1XhKCpl+3YxcA+
UoVNrxzJ6uOoDAIrqaJRKEIww9eViTSzNrFOdOJT0caZOABtqNKdVMODCXBcMHMrljjSQFU5Yzw8
aGZjT+xshwrmdB+l8bGpbfT44STapXNFCN31kzWWanqp101dbzqtEkLeLfiulhsKgk5CS9eo+Zko
EVCXfksbL0IhMqBi+OoN9wMExY/UrigVIXjpMAfR1n77ImH2pWaG1YdM7ckD9UorlSu/rkX34d84
DqlC+Ohw0eJx//Y4xqhMi6URZoq3s3mu43F+VkQ8fO4U/6OG/62yfhUKG5gRkAkTma2a659/9Vpc
cMnlJnL0taut7chbSNgY5eU1pezkNnXWns8hD8XPT+2td19bj7r6zDAIggx57bV+fVTYwY7NN7Q6
B0qVenKCNVvITGt1a0kDPEDJltEfwriqcRrmJTWw5VrWrfuff44fqaQtVcFli7VAN803lxizgIVV
EQ1ZVEY0BNLoyKuWdqk9i9/WlqvswzljEAGvoIBvL7PNuplUCsKQLiqdW2iFymZpZ+X4u+fD2H4N
G0XrCRPgrcm7JLVnQBLB/szheWgdtfXjqAyPyE/r334K6MRDuSBYCjTqd0ley2ykkWGWoWuIEFvd
rHyMRzXa/Pb5IA0GrWLpOi15/Y0iPzcNmS1cSjCDFFL8RPoaOB7a3aWa5d38+2dEKBH3omqZsDNe
476+ehKYcZpD5MiOS8HwKMnDyt/Lkl/cB9/fcYwQuOH1FRZBm//NGdVGo4HWGx130dIqdhkTdtlZ
NpTIKsuqhY/58wv4/Vq1Hm4NdkPOzWiLQvvr58ycEVzyENI6MVtyhgUZh6G0/MrTvH7ob0prCmpM
nIxH9NVx8NYPYjmjM+ql7rixQe+sHegjmj0PtyBJ/lCV8sefn9QPDse2gEnMq4uP/KtvT8rqbJhe
rQm2K5WSh4mt/ZmUO+qZ6J3qpM2z/gub2PdLJNlbNNqMFQjBXubNRYwWulNNO9NYd5Ax5F30BIyE
9v2gnGaTcb86FL844vd3CUckfpsXPsuc9ja0LUoijYEqR2zUqtosVkPHg+tA9xA03c8v5g9Pbl00
NNMGf2Ssd9BXd72hl+2Qw5wjrXpCQJCN4wY/Y39rEfCyAbqf3FntqP0qoe9HJ8jNz1MAQQTd/5uF
V5h5xApCBCVGo2ErIfAPVNKzNm3Ndv/nJ/j9I4AThtWdX1c3nPHGrETzrwSlO0PIYy52lhBWSZ3Z
Dr8w3b29J9cXGmQm25T5jSfhTVFQkhzKzBhOpMiH+HllC24dDAtBN+fDRcEYZvPzs/rh8VYmv47L
fl2Av/3aUhJjZztlWudYKZRUXWTbPtHnx4FlhdghKyp+cRm/v0+oDRicgoXixY1f49sDJv0iDRbh
dq4ykq+hlialtxpb2a2O4f4ggORm3mw26KZ/fqI/PC6riryep65Zb060mwZFEEbEK2As9Nu8nhWv
zFH+lcLoPsyKPNxIFeqxnx/0+3tGBRYFmAqvMGXB27pAT2DWw+cljyQRzDjaXNaeVRCW/s8P8/1T
wHwFjyY+MCgwDJe/vaY0ModXvz+TNRR2xCh/ZA2qtqmD8/rfOBJfCQ0XDma/wsW/esqHVBZ0cRXH
rWSlZcxEQ8/Vl1bfGShffgXt+P7epDamEYIfDO4W7qJvT2syI9ErJnFKgNG2ar6A+CV8c4w0Onla
/YtouO+/Ksx0q4GI8Gu8odablSS1KhEuAMTorQwy6QMhrWKj+kLQ/8cq+XVB+voVt5qdVBZlzmj1
oFpvbn+IhlMelxat3HAZQ783RwZn/az2s29KVemgvra5pimQtkfmKgIFi4xDwF2zt+vNzONheGoY
6wRiR6Vs/eJG+uFFWEsKLL8GZOE3n85gpxm2Gmdt1Wbjkd8tb2aSCn5xE33/KGKet5AnUBtxX5pv
VlK7HsOYsGDbjbF8Hqtlri4jWct8xW7rm9nqmseEmNTf9Ezz2l1rZgPnOYR9zu/bm2mUrLAfQF3B
VGSASvh44bdOHv9idVuX52++XpymHAQmC0+YSnLkt0exckw40tSarphL8cFIyKkk1iWjE5XgbW58
gTNIOsVNWuhHgBJkNP/8+fzukVHI3wU8Q+4A7yjr7e1lIcYuOrPm+Ki3jn200LbQhYJeo5yZ9i4d
EOyfH/G7tYfj8YjiQaWIxoX65iEFz1onMcu824CvLe/0sApBvVZ9pO8XYCPOL96P392hCvwFNj4r
n4njrhbFr8sMtcaap1sEmisdVmUnRLlWkQn/i6/xuzt0PQorKkU8/MI1EfWbo+QYvuw61gzQzVm7
0cpK2RqZDj66Usl2gbT1sQF8/ovv7vvNrMJ6wCALk5/B4d/mAJdLF8JGQHqZOTg94FM/JqZyXzrW
yY7bW6MYnnWkGbo13MYVao+ff49vgZjU9MA2oQxioCRmguCob8+565ZuVObcQB9oiEDSoUzEUdqD
SDWmS7OhjWY1XXrVtP24heHc7nrPYPL28ecf4833S/2owJxcYYfs59dC6NtPkSpVWToa1MGU9Ba3
7sDt0Av/FebrR0eBLcRCgOgK7+ibc4UxOhOmhrvQgGbgJU1c45jJlF9c0nX/8NVisGI0DN4mVACU
qNDE3iwGSamOLESj8BzcCvgQQbw+4RVIRGCXWjjuOjwdFYGS5KttZojS9Qa+n938gm/45gFdPwWs
trXwoShnx7je61+9somOqu14Icie0a50zftjwH6kmZO6kRgCd7+3L+VovOFkqkkgamA33m4DTBpl
UTmZndetPOiMLwBnV5aCuDWt0U79n98tr9Xit5dYZ/TDM4MMT2PJe/PCmhgXi0SpB0/WbKliVRic
cnRN0VrjdsDt1R3guDuq3yrCnG8bhw8UoOi0JRyEObmbunCWFD4v8xHzScihYvn6gGbAt9RIuR3M
qohX/ZJVZ0w6R/wIc6z05JMwNnpPTpGQg5T8IGdjhgpgX7ejfq4QJMh6+vR6pv+ZDP6XIbOG/3MS
9qn6o3gq/1v7R/5UspZ8Dnbcf/zvn3/ubzGmIhv0q6gp1i7Puov5nOCIGBN6DusI2DdqDnhUf08I
UVyyByGTggBpe23UsNT8ZU9/nSvCy4NEzNNLAf87I0Pr9a3/1V2qUgzwmdg88orkdtXfNBryYewl
1cDYhjNsnybHRminqK6eK7Ic3VjNWRqQlWnmXR/aB1qUB2vpz2uCA/TsTNF4my+y/M6qic6VzNaN
telTxNRiLqKjjjQMYVBlk8hKQm2nvpdCZfbACEfuAC7eS4fuaUhUr5HJgsRgu7TtsTSwF0a2hYu4
eULAqaq79MZJL7DfiNofdXeuN6EdmKCuD07ti3Zr2IfGvrwASYbGB7eAF8fHKXb7baMHMPURTIWE
8ykYvFyp2wD2d1sLFwZjDMxyzM8DWcd3c+lkV5hykuo6TM8SopehEIf+OgzN6FBs1eyEocPR9/lN
fpP6qZ9fhNFLc6fJ16ipZBdfP79qGW/l5Zhv8o3xIIVErrrFe/RR9Q0dlCJzbyXFI1iywdqWfIqV
6/IGV+Vtk58q6Z7hA9kSi4vWISI6F9QygTr1eZNuZeJjF1KKpIlApGSVcsG6Xvx9Ph2F0+zM/goo
OxEwTQ8EQHHzMifRqHKVbeuXnepNxJA9zh+k99L7+YP8+rv8+vv6a/zUvXz+NX5SP3Qv6oe//jO8
pE/Mhrf6h+FF/2CwJiGsAKhtzqeh3YTzxtk22VHF4a07GMyw0mi95pJsVpMRjZliI9MAVKt3aPcW
yy/YTj/mTzrwekRk2e3ox9eTvM86jJVbV/GqfbwEMAdGoK4CdNAFyT2KsRljf2B8V10IwnaXC8QX
mnrF32UpW35dQR/VhS12FiMWAtAIAVb5pTQ2sRRANn83eTY6IAH1nsyxQ8NP83t2M3mkFfWO67wf
PP3CFQH/nv1E1if2P+v9thC7tGbsd4G60SV2R5O3EaR2yzOnDR6t+ZLzjPFhYGzofMzko6vfzpfx
c4jcqr0ssFeXh0ndlWeh5te7uMco1qKBya8j6UPUXhTmUd3n/Sba8uNVfD9N15P23igPl6a8SaVH
btVIZ5HXLQ8HJ5kxvECYC9pztZmkyI9iyy1Ws+OwzzJ/rrxEPxMIWbXpMu532rCVF4Q3fiMFJSeM
hJlUw+Z8iolbQBvj1dHWCM+18Lw+4l2ZNviLuqN99d6gOesovh57DtnOhziGbsLz7c3qbStdtmQb
F2tjX/ipfMk8cHyJb5PTub/x7fxgv2yaya8QSj+dS65B/AFVolfq3rJs4CdAMB90rz3JQdwylAwc
7YiXLb+VLsgo5W9USTaKgnYOJpzWKyNAPWbFS5g82LHqZnOgS8fR00EmYO9qmY7rMlpNXLq6ZLiG
WuDPggXwqkqUfRIXd058loO6UJJnLDf4aA8CFXB3LFGM19nRYQcbMj/lszldUF/KT9SzCcPQe0SC
zXXRvGRAMSGRFvkUWJQj1wsVA/gjX8YPYbPAXKBQTFt5V36EeIZdnnjvgVgbHDOd46GQ4//bHy8Q
M/DR+EZTd9pjANWY/XiK9T4LIWJan5xReujSTW7s8no/a2fkF7FBI1HgNlYedNvgTLelvMnK+1K+
l/OgHs6QOD2pKb3nGOupBJj0MOZn2ur1tgP26m656fNLeb5FB6DXmyE69ufWw8h6qLjVVXGFB4z/
EiMgvf6P8qI/b89f/zH/7POfyCyvGHVLd1kXNCwin/9rtF77qTonWqMd9yyMy9nyMOOOjAikkdfJ
nW9j33Lty0Y/IRhT5mduey1BzvZMkDTz6ZMxkwGuPkhyEOl+0vNMNabbAalAZOXmMgQDBKTStUVU
bBTtI3iJOp/CKvdt2rlwRgFfoQ6dDyEO2HovjLsiCMeAWLiM/nG69Jj8QvMRcgrEVpdBMFe1pIeG
U3E1AkZcm2fbDTmyj21wcVSUptXgCmdb4cImLtMNnfoxH81N7pc4gqwax7LrPJnH9LkfvSZrPR2H
FVlb0X3F65H0OKfcUTFaFtitzXKqEZ/rHh7ESX0she6TSoGvR2KyOwUJSVQF2gVbXYI5Uy87rLgF
WgupeaJZFZQHg4c26R50YwpqHTN1Z2xUC4NAFW7ysX6JjNyrU5ZY+ippX0FKQdGo3oVK9syL/R2p
Ig7bogmCVOKh/fFFL1+SqROEPek6OjlaC2EdzOWjwYsczbV7xet1Zd+WZiDl9dlq+jRm29ek3C8q
EYzjyxgd7RZjw7gFEpy5iRxvUudS0ogXjtHhuoy3fX1OrhKj1AMJc/xErLEnHLhISot917kophsF
BSP8nSAj81MuG5/qgylCHRXuOCwbiVauNL1HUHrKUuWIve7Cyqd7cuE/qiWiQP0iLv+NKvX/NSOQ
QtMPjD7DmH8uQm/78vmPfbuWoO3XNei/fvaLVM34k8YBqKx1GLx2mqgpPxeihvEnXYvXnRFbMITQ
bEm/SNVU88+1U4QIwKJ5S1fjX4Xo+kcwR4mSpG+lMH0zf6cQXffOX5WhUF9NhkHrnJ5GJ+OnN/tR
RS0WpzF63bdkQAw9dISxih9TLXsu+hg3RKVMm7z5xShZebP/fD0qggD9dVSJQfDNUfkHiYkh1/CV
GpJHZ1uEi1PipsQ6HwY9Oc2iYv0ytW1a5JeRAbqcvANEOCK+S8G0+Q5geE8u0y9s0v/sqP7ry135
023V/3ju/zjvW57vf+2o/vVzf9/NNE2BNIBURQZA1P1Xd7Msg2Fn2/SKgndoKvx1Nxt/rnRFumev
fThz3bJ/2Vap/BF/DYA3muw8c2g0f8Pj9tq4+PZ2XtnXNJIJyaCHY/Hpvm5sSPh+kSHH4K266KAR
h8mOI8SFry2UEaqCaSPNgtGIbxxMr9JijrsBZQhqPkwY+NU3xqLMO1Kc9+XC89Aa9hem83/usP9i
NLACfZmWrAEvNthTtrT/vHz+z+vgJri+D/z/9cfqq/wkyj9u3tLmfvhX/r29R3glE4IrM15mkM1a
/WV7D30OQ+W6rPIeNiEH/n0fatqfOoMWMBv8FK2htRX+1/Ze/RMdCGNA5v6v663+O/fh57n9Vzfi
j67F1zei6HqNMDyheBGATlcYxi7CpxUkVb3ski7RiTUc4m1lDOdGLl2l+nBP3UBYAgWCoeOR0qCH
iB7VvjCAg5F4yiykd9oToZj5e9ueQm+QIB4VjGJwiUfqFljngyawgCR5Spqkgl/QFrN+IWMvCNJk
IdQvekeaYbmZcV0fpTykOpsIwc2La3gDSKRQBF/13YyzbKj0fa3kIK066pB5LP3RcQjwFU5CaTdU
orkWKnKFeIKgm/TJtJ2R57q5pQDGgnxWTRbhotS5ha1vnAGzZhrXl3rCNtCw6c7DaL+tdO0pFsmp
LMxrOUbTasjC0+CLefzLpwoTwFIl952TXGHTONKdPo8TdYtseCGxs+2xedp4Cgxt9O20XjyD/HVf
WM5Wl3s1AOZ3jgHhBTkr/sgIrwGu1GPRL8d5kXGm6nR4i8HusS3Kn9o4f2pD8xTFE8EyNhZQTZcy
5IvC2Ewdyehpa+9xavQryTU6ljUFozKwm2izM62O4AOWzk0W5vvKwfOkRsu26Krpk2ibFyQfLey/
aB0azHty4PyWtNCxhDcUTvswQ8qs+qgSU4Y/LsMbmGnWBfGEL/0smJjUoAbNskD/aon6wlwQTfQ5
m4U0BW+jwRYqACh07V6d5ZnIYkk/lYINPE1OsdW5hKSZ6xSk8rSrWsW6GZVnq5xTyDxtciBR8CaO
1KVy7bKAdNgJgMF8x321pA8EBtwVsbUFlM1V7vGlNuVUXQK5q46dGMfLZRW7D9IoHZayfde2sbMt
au44K/8wlMSTIZOEtaiGgW4M1sEmT8IXePDOWmUGjSvjohqmOzyEWIIyhjeeWtNoUIFSYNWo1Xzn
WMVFlra3tFBJuO/Y/UJ+Ei/Iczd44DxYMduG4B637TWvL+NgqBM3jup9RaNGzO+xsrhZ37A3Nr0W
w0hXKlvBUHUoYOxGqlfK7wa2IE46BYYoAonoYYhNbki93KQGDwdyVjvfWuJSjqftuNqEkS6esp7g
PxN1jgZJxjiHqRaENpwVSVIuYGirLhinQLaEVw7DVty9Lo//Z94c69/y4S9o6f8laNGfVs/upzxK
+uLrUkPlBz4v7uaf9BIgP0NYhAm0Vgufl3as8uh5mIKx5lP44j/4e2k3lD95/ZDdxgSZ1CZzRfF/
Wdp15881xIkCRFaR+cm4M36jxHgzBqTEscxV1EprmQEKqrRvKwy6+FPeFAwbM2OW2Q0TdFr1D31O
zPcguo26/EpjtF6Gr0v0z0dk4Kjq2EZ5qb05Im3baiQwBIdHo97pSvaUxDOcrvS2Dfsb1emv7Lqn
tzJqD05vfJA1cZ0CJ5wLKCRC0jaiNz7FhkErBqRl0z5W2pwH7WBGgd7av4D18vW8+bCr+QV9BoND
WuRrDMm3l6efo9CEcqqSyjUunkYzh2zuJjuBZmJqwndabkzMo7vO7tRboWfLVQa/TMRi3KbLcjdX
JSo4uGjuQGAiJhQBnHlyMOOrantC+f7OSEqkEBrdnFZrtPd271wJ/HcaqyOd0HjNNb2IEqx5TQY0
hfGMKzpLCwbYZXcloCgf2w352WGyo1JIhyCM5udJ7U7ToFsQgzArQuDD36FAzyD1BzeoNF1jUNC9
XmjNdnFaWEzqFB3HOrV8uTfJjbeq98VCz2tYcl6Ibcw6X5ottEMjVa6abpDgFgFPcoiw3zhlre36
BXACgBPdy0EuIa2HB076clhgC8VLOWufQkA5n1qghhvgMZPfqcvkGr0UyJDK6DMmN60t8k1clA8x
hos9UApoovWN0WJ7iBRKV6Ia0cUn6Tbt5WxrNctyZBjh7NMxvFcmHEnyhEsa8pLuyk4kfJYvadvD
TNzIVdMGdFEOztDcAReTr5eBKONiGdDhS4N0no25+gyIJ92Gs7bl+3N2DYjmi0gGq5IPpXGeFPq+
AIeJ+6K4zJ0wORoku2PcdjADJwld8oz0X7Jkk+0wj5Q2XSMbe8MJ7YSE8lBH8wvMNskXQGFgFYMq
bDF1xGlAIiKlE2IXen8ApGZZvwOQgk03c/bOoj6Vjih8BTG0N5fO5C1qWQRKrl0alBxApBacDS3u
0iQW1ckghdwdsqoJqrpGuJcZHfCuvj7P5wFUkB2+pGYcfQRN+9TOZOQOQ16kGDXiblebBXw4/EPA
rKh5pNeEBFup/MYScJ0UndfdEEcblLMfwBMkT6ot3Y9xrl1obZIdl1hpt2otaWcxyCRrqfLHxmzl
m2wWkxfLFkVXRJi3TzKTfs5AVoLu5JA9ZaQAG0urLg8irE8OeYbvyfu0dqkC6ba0I+QrhZXtpaQu
ffAYGEpEMoLpMy/iVNFuu8RKuThGsS8EsLO6qdJTGHb1Jssd49kC4hpIzWxgEp3ERp/iy8rIu8AC
mEVOr+PsWPuiu0aerit5gS2o4eMX3bzLq3BHcIODc1uMvsC54YegAQOyx3dCrGy6Zgyvc51ZjtHX
xpZGU3WSZGfB02aN7/ol1K9yMDXBKOICeNsA1kklf8+1nKu2bHus4bMgCngez3Vn1nsXpRDOOCvc
dj1lPjKo/jmfjAtTEaVX5yJA111RWM3nyWjd6bP2Udda/cgQmIKmsnsC6+UFQlPadVdDAQBQk+qN
hkVuK5ujTcvTahpXU9Q2aBM98bN+aj4Ok+R4kdDNdzCa7ou5S3ZzXJJAntSO2xp1YnrRGFb3etk/
LaTenhS62TtLmA+ppqZ3TWS2V60GX55CjGQkqyACbmiVAKhWGbQEilyUIAc9Uc3qJdwV+/0slekW
Q15/tTpSjjU565dqmg2eVcV4vk1oa2qSQZtKaLiqYf2EQa7dwtvoXsK4UVwIndEFfD1QswlO8JH0
hMcGKASsQK5l3113s6xsYzYbJI0PVIqSfAGM6FZS9YfJkO+NrC9MD3JJdJ7hDtxlulBNT00H5brV
5Olg5KqyN6BP+TkL5CdlKq0zdNzhrlZIDXYZTAoL9FHhlC7oZWVfWA134tAzpYHBPfsWSKOdZtU8
121By8dtG20na+W8baj3VTia2QoGmJv6om4MmSztqcEj1NT9O6sTSrKBN68vbhPHhEOUYSffVnM1
cWVF+aLXfbFbOlUDXxBaKZxjZduB3bDDJP+odrPqJ41dnen1WO0mRwf+4lihRVc3qjYo6EN/YLeD
wT1XkqCAFXKIDDZyJdYxP6ygj9paWhNbnGcXep7Pu2jSpX0EUJkM8l79sCRJQ1lp9+FtSz6Cx5Zp
UHA31eMpxPp86Ja2vEJEowTc1nscEClBmm0NT8wQ80aSq8XvY5QYEbqJKiiQB/kF1M+giw3nEkFi
s16xHA3D6EMzM4gJNkxMzhXmr1hNz7PaCV+aSh8uRYiQcKOUDAJ5aja4MxemgekIVkyHOAtvto9r
rIe5c+zD+GVElHpfidYJgNrpT91gMWXp9bHGILH0DFzirD7VYLy2Y54WvlUpRQ5EbSgu6jTUnyWy
Kt1QG5fdpA83alOGh3i2IF8Zmh7U2FmD2unJkI/yExjZKkD6oWzaHHmv1WYBDcfuslV1Z0OG8oMQ
VeZOJvUub4Mq3s1JCcIhz2sf2FZ6nsty5IPhMFkm2JzC+XJkZrHgKzMa8kxHbOYiWt2s36E0vTOY
e+cG47k+Z5RcNBdxuyQnxOjdfsjCo80b6JzKAPLEZBSlmw+8JPs0zfxcACKpraLeSF0yZr6N/+UU
Otl1VxCqxgMRHrHKaw8adYdXL2V5YdiNvpt7Y1cM9CpxrI9QKTtJjnfVaNnHJteUfaYr4UtvTaML
tLs6g9ogdopei12lpi8JxqV9AibkrFFy5z5puUlZsgEUEMbeI7M9yGk9TNeJLKAo2JHcHQiosneY
cMjVCrU493KQxwBv4tRfWnM61xsyy1XzBZKTrrhxtTibvJguZ6MtG7LtW4vQ1uhcxFiH7Vx1fLLG
h41UpDOMaiBIaW3ovJJM4zQKo/HzXqofl2QigWSpql2rj+FZPIXiiBczfYiIn0Bmj20z4/V3JoaJ
mMTGIbfdbkR6KCepftbzJDwbsYx8kqYwZCpRRFWgFtV4PkazudWMWFzr5njVjUQ1lWV0M7ZKuR9U
ewTPI6tbRyOfvAqLyDVGQ/a1TO12wCnKoI9WiU5aEeatSNoF/k3TsztNP+qm3R5KsJ/bxbAuk1Bx
vHxCBaHb2SdDb8KNIWXyzorhMWP+2PQQ++Ho50xSxcwDqMyV32vj7I1DU+6GNFFO5B4+ZIORHGM9
vAbvYt2OBcM6lpfyoAMDKKuxOrQ65Faj0O7rYeiuomHZkTeIfEIWHwUtx2oRihsO8EYyOaN8j9Mr
Sxr0IKmH/qq3e+Jb8E3bJ96k6f3Q8/LEOlqxOjbNGeGhkFAZF5VOan4KtbY+x96s3idJ5DzYXYhx
Kp0db4lGe/IxBJuXsVqOl6M2w9iAtY8/m0kFPs6xh0+XpPWZ4aQtoJz00RKoNlp1BJ1ioxNVtVyc
YBFSEEp5ytpdXYZKcau35NurSim7E/vlrdYbBxUT2k1Wm+dNTsa7oYqgs6T8qGnz4+p+cjvEVYC8
+2FTCVQkjjxsjNq6YaVLvMJKnMAgFQD3afpSi37x2eV9zHrzqQi727mqrxb2Yud5Zn+oTe1pHs34
tlo7UkoE0d4ubnHgS4ciiR+x1nYmTSjZTxyFxPqR6Zwj5VSTBTffCGdokzXDiOImbDxDgUSe54Bq
k5DpXwFNya+I9fQwxdQXS7HcwBCyN+SEoLtpJ+Z6EfzPRL/km8TKPYvzOpfr61pd4e0Fb1C9r5mP
V+FHyUwSt26nxRsoN5Fvc9g5BhqEy9mDMwh4BPcGdu6VAFO29S323/iYmaG0NUwM+YrJ+LQZ9nLb
Fue5kRcMZ2lYLD0IUW0FUw6DrV7KSU4zCEbxhtjOnMl0R5fRGjdpPdqbHFfy9TjVH+nLq0RSgw5K
IQh0MjKCyXA6bzS1Az5l+YQ3gl5gsWiBFVmQ0qR2N4lkuoAqfUjHvNtEqb2clbWOYq+URHxEEeqX
I75srRWGl+WSH82WcpVXrJGQ4NBQSPqxFlpxGScMopUOrBE9q+7QTlZvM4TMq4duNVOXyXLMpsn+
CND9YcnLZ7lZRp8uINRizQK8gVhyeI6ytfa1tPxG7SImsbmtcqNOhtiVtbD7/dxXuleVau8DkINe
2mEaR40S9bu+AcfTS7sZCCNkFrlHNY8duubWY4u5hFBRM9kI0IOxHOPvBwHWoXBQB2lG4iS/a1qG
stO0HwrbxiSaTO/GcXAuplh1PkjZsvidqEavokKCi51Dp2f6upmyqtgmhn7dgr1DEqBdicx5LoV8
k3dxdNArnoZkYRvZQVFP4rTbqYamPE4leCDwZ6epMO86x65ADSTvsWrPJ3ld6Sz4WJCmAUMTFtkH
RaETT43eu5hdSv3q6BTK3p6hDaWrD94BFdT2S3GTRSgV2tKQt3qUXeQ8fPjbncWthJHtx2K1Gid8
sqZ3Dnymd+Z8n8/RvCmV6oLNunotLBpgZl4iTZjma1jvxcZOrfZdpRLiQFaKue3DLN7KHS03/Ots
NSeUZJ2jRK5Y2C/x+YaNPK6XCQyMi5c59SF+FTx4nEBAc/YAHb/YcAMFJtOZrTNRAssTGFCwxi37
cM8Krx34GOdAFnhlORGKI9W8q6wcfFbHlx6ayzFZ2LkustO5NuviQnP8Rqti6Z6auz8OmjnvgWiE
H6yJ/bpp5/0Bb4C/YEF+EFl/sDKgRzUgYM9ymNlX7M9xeoz1YUWtI+vQavmuTYZ6G+aydA7YXt13
g9JuLIG+FC5U/GnR5vrDogkAZWnzxT36W62//y/Tiej8/fMEya3aMnn6g/n7H7tPYvkUVWx2nr7p
KPLznzuKivMnvUFEnQwn14H3akX/3FNUGBepBA7RHiQvSNdWf8uXsaVu/Kkivme4RCYPIs11xvRX
T5FWJIaKVSpKX05dhaK/0VNEYP5t24zxv2asDg1amwiyTWMd038lyJ56pgpsg9LXjtcCf3tFg4VF
bp8r8sIiT9eofbfWeJm7GBHjclxA6EyKBqy/S/4PavGUxufi60jxnyJU+3cEfg9kSM9LaXhVIUQa
TAt0ZhgVbHRIjOlA4hlq3tj72syBI6kDDSFkWwWwjMmk4XKC5F2GvtPO8otMsErOj2L8CfoBGBsC
bim/l6giKTZMhh4eUD5Ld0NasQdL7VhVE1zK94hTkgcRxRmayd5RXCW3SbYZY5PTM6iRYUlMxR7o
bj8GoUF2Du0rVdkpyQCWpSkd+WDP9ijOif2xGayorTizh1GTAGvlZhBZvTgjLcG5kQtHOU9mkG9o
Z/hrtdImGrgP01MyAzz0+nSgowAdpkB13sP16jJZDfj02WMYReIsLyqJtFhzbjMvyUZs+/KCqx5G
ABgW5FIpIy9p7F7amGXkLNe57n6TSY6MsilxEl8bc2EHzdACOlj0Vg6P+DSTwZsNOQyURqacDE0B
q96qneT9qMtMvMbOgptH1A98wm40sDgPeXQupa35XhKFPbq9RYJylcnWB0mvl9mDg0zxZzhTTocl
sXYE9tmOq9kFLYEhD+M7CxAzMk6Y3JY/yBnAMLvoTq3aorhV7WHKyakKuctAl40DcDFFPZpZHb5X
RR/ObgJB/V4VEvrQtK4Rzs/5/2bvTHbsRrIt+yuFmjNhbMxIDqoGl7yd943kcmlCyF0S+57G7utr
UZGFlFxREgJ4kwfUIGMQqRAvWzt2zt5rd6cSGFkXcPGZRa15pdXOLJ30Pb5eFj3ei+Z95pbxS5Uo
sH46qrGxtWW5fii9jiWgBIJj7N3F+X5oIfh+51U+7kwh5N06pmjY6galCP3SAkJqvG2qLpXSFqpk
AOXu3ouUeZkBLIp3TUeAz67JMoR1WxfucVydjfXiajSwCxTugno9O0MVoh+UldONq9b8JZ0FzV2l
YJOVY2xerTQvrZ2WKnoc/C5milX1vYkw2qVtUXQm/HzL0BOWgEEVCW9YVl4PlcH3f3BBNNZrM33q
Y2wqwUpUyBo4VYltFMJR8mj4FmZmnS7ea5qNxgePgTFVvM7me6uOzDs9C4eCILNGQmgtXroDw73l
WOF0bcLSpbcSku2oaFsQcr1eIEMwn2QLpZao3H5451mRMwadsyxziJXMZahZJjTVjcWtM3ReFENB
3BpxfedP84yElLrui2AaTNqLb6x3ee5XH9K5sF79qOy+0gtvzX3WlFy4JafTNk3PJVTtZ9BN+YM9
JfZyHHtRoT6ck2Y61iSLi51lRt5DNKJrAl5k9ijP5Iy2bDYXVaLS9TqiISoxoDMlqed+As9o76Z4
FYE7YECzdfPB6If1Neld9N0ajhPOXlM07q5uKgMoDYMzwFTs2AfhOBcDnm0r9NrK+TI1ufMRlFaT
7IEOmZrneXIlS3NHmBqEb4f8pWF532UmW+7My5M1xD26OAdv0bRDe8OsXoqlNKkm2QbtEghC4352
NFt3kFJev2865rKXMvLNp45UDCrifiviIzZKT6WtZnI0ojyWISN0deXW9EipTrfNdbbm0yvrhAF9
iAYVM25BaI3hr3UX8BJA1rFUViQo9sz5Q1+zE0NamaJEHChc0bZOkKWuADbQefVne5aBMWeGG2Qo
UMqbMu6qV2Q4mcUcftL3s9/SO8zZ2j9Ybsvwes5tgutWfHUh3gVWg3VYiRTQ/rrKMO39Lr9wuRpz
4DbEWBEKjzpmV4mVHptHMtAS+DSR+KbHyjj17kxUCVlc4LESeEpPyCUK95jgLnZOlR17jwap7z4x
j00hDwbE6xserNIPVDfQEmvTSKHN7Pu0Q0Idm9/o0VgFsvtSZo9rsxbFBUAdw3hPu5w/nrBg+YFr
tIO5Jwl08C5jX8aYDRqTuCXNov3Jn1y7xxVOC3OXuy7sRAPXxI1Q+fpQ19zTEN6axrTgqvlFV1Xx
QYGL0qe6jtzLyDGLge1ar1+HJJ1uR2NQ7aWsiD3bUcQn7AbGfWckKNpTxvJ5SPhq8gej1Rt5Hes6
dB0PhjH2Xhzu1huXBxkmzJe9lP3ukKFRN+LkzLrthsCF472VVTKk3VRdLhkt2P/CcfGP0+L//d9N
nGn/virURfz5TWrl9l/8VQda3r8UpAbbx9pIpfWDGNMifnKzj2IxRJYoyaH+Tx3o/AvpJvcSx9Cm
t/xBvgZtEFe04r8SsJSQvv0j+Rq8jzd1IPUnSlF8QVCCyYr9Xif+UAc6UxpRtIzEcsVxdjvS3Qql
IQk5gpghmOIl8xg0eeR6rBeO+pqTDREFOQphM0xFn31QXqtM1BAS34yTRn1A5zerwhSxeMTGcFif
TccgekR2NSA/Mx+JaPP41y6pBNKqg8GaO//cFFH7sNqV74d+Gju0vb3GynZJYnr32pCusTNnS8Vw
BeuFnbZVINu3/dj8QtMy/pyVcn7KkiW6GqKVw9JwInS7axpXnEnucBeCLr5aJq0onceM4Ny8TQ58
fD9Qmx2EK28tAM2JHJ6NFXLU5F0bZBTngJz9sg+nMT9EuCIkRgsrnveRhTi6mU8RCUdWb574c4xs
MnvcMxIS59ajMjVcaQ93Mx7XF2k9dT6qq51IrOstkqnycfZEuC9ddepF87kd3JvIoLXuZZdNC4Q5
n+8Xj0hkIxv2pC3gfnFJ7okbakeyIYgpgyzK9IJQ++0fMH9dOOuJJ6iv7IX/hJo8Sgyggxjotf1M
UNJhqcrz4PkNQW9tg/qVljl4DUKKlsBqTePrsi5xYM7lUxpnBxLg7lNVv8StcJHYT8yZcFBtPVZF
V6gxaSPDyVjbQ6qdBCl5cg9/7gBY9Syb8d4hGIPL+9yppywVu9r4GHv2IevrC+SQmCMmvDTq2gDP
argzCn0QO4Y9xc9eG3UH2fctzgjxmLgPaA7ej9YE3xRGOGx9ZF/gKWu6zJ7WB2D+xOZV+lDnND3X
fJ/K5kJEbBSgzFzWS3aG3n3nEFkWmcRGO+m+1joosDXVqXpQorhkGhBkKbUCGXFcuRTfllEGbe2F
qTtd2f1FL819k8nDmmHLKA6mYvUuXc7aeq/j5hJ89jH2C/thMD6p2r2uG5oSefvaeRN9DLUj9wO3
SbNP3f6uj7EedfIhm6tv2um2Qu7JIezK6fsi9JYxpHG5pyV/W4FI7imfMosKJ1Nnp/SxsFk2FrCb
lBLVtrwHb1h3hoabFz1EE+HefYU0wC3ufOrv98nUtbt5YSoeFSfyF06yXE36UM2efJgLErnaj117
rQVlYj+jE1zz7sngj1kGA90l0rdlnQQkg10hx31XlKMIhZchbxiPhB7sFmxJXbWI0+iIhoqr7XHe
TRtuWVHwFMTFpumlbCPgzkz0oy6h+VtXxBu6Z0m3mz3WNZNDEAsAx0Xq3UwO24g4vc4j8ySa4oJd
Ah24Qd25zXzuhjysiTanCiLfSiz+Dm4RwVf5DclbZzpmp1nJbzMDQa+cDuQF7iyjPAviJANayJaa
CPtjWnJnI2So0e+N5cVs0hfEzg+LP3nM1Up8rdeQTzRd0rVhN5FN4mQYyS7uiq8w3oMM2CS1824o
FlK8BJl2Rv5xER0SD01D3KGhminI/T0jQb1EeGG4ogW1CDu/uksPU94cq5jqR0M3953bqQMPl1ih
BUZ+LlCnpCXg6Z6tqdvmj5mpHsuB5y+y3pNHFkR5dywiTt2LL0hvP2Wy36VGi26vN9NLu6vu5jK+
Web1msbTldDznplxWLVWIJV/Zr4S9I5zsvx2wyMy97DHa5JKg0bTN0uKb3NThAaTB+UNJ3NAvrbq
wCzvZYohp2tJ2aVv+AwZ/9KJllurby9UhYkcP1xnCuQScchcf1c52TkGUiqWXG3YZkpFIlt33rCE
VSH2uT1CDREtTbJavqwdPc3E45R8QYKW6ggQY2KWpRcoYK6F2V5QWwNFzb92uWo+NHan+HITCQrw
3u/tq0hknxzUlLTdzyXkyNZZHxFTXydOHID7mZEAzYE9XSxjzeNUwfLU8lA4itSC7l4U9rfVqw9y
kWXIqjafYK/e9swQ597be3L+4OYD0zry6/tkunK1OtuCoNdk7QNmaQF3gGxg3ztGhnsxuHgxnfZq
+xzNURLKvLXOs/PViGCnSNKIbffL3LehYGLvpnf0NUZUsBWQXSRSbsvOElvQStJldD2AWXdW96S9
7Cqzl+9q17Mmo0fY882EI2e0yvx2jpZPVo8vaE0g+PTpHYEYEOToYdTrQ9o8l20zv7rJfHLqRw8Z
KZT5yygX1+1goNGIygjtoVku3oU718yESB9DdpvCHcd8xc6cXkEd1V8GPPPPyTQ0H6zO1dUJkmK8
Ug3b/r1N3iJ40pq4T/JTTEZKvt09zatffBDNgKEtGqW8I4oTQ8dKV+xTnZS0OpdSviCMMclwW7ol
RWrUV1fSzpivt/nWpS9FK2+jKGMv0piV/2qX08LqRr/7/eKXoxmUpALCrS2S/qWPV+2R7hdPCIwj
QoL3SRujkyxUBkkSYcR05eRDNu3nWaBlclyktFYzd1f95EQiKHrNqY9ii7AoGt7rq7pwyq+uaU2v
rt2JhJjrtO5e8s1NHyRTXx1bMTFHzl2j0cfEc4p2a8BG3sltkdyE0EwGJ+R/UUdk6GI/Y03mHKmL
mIDD5iCqb3ZonaUqr+bQncayviLLOkvPuUCuBfDWzem3VaWklwX54b7Qnab2yVOCIC1lYE9M4JXN
ZFDni3GyiV6lnZB5qTqSYlWyT+ETiyx4QJhzs/ZDrcKyE4azn0GORiEe4ghbaWY1pMDF5P3utDky
i5xg6P017fbx4pH8GpQJHDDE2VOc3MQmBQWj37nFjNf39imzUYBfOGaDhNWpcSjC002zCxctDV+9
NB3bE2oldFOzIsYzsZq+D4xaMTHPJfwSGLCx2ewTVgzi8yZ86UgzOuJOhyTrNrCyg6BnKWkxUOap
eu87nbBP3poCTTcnsmMu58rzXyEboBfudVMS+LNENnbnoep5PwtznUk5E9jM5VS41pWhlbGeGh0N
ZuAXVZagDvfdZxjyPvF344JfsZu8qD+0bTGaZ0vgvNgh8GpzZv8VwxjpSaO8sJfV9i8MEVXTVRnr
qqBbiDw+1r2n7+ait2+WGgVCsMBKjfdFm8b1SRFzPNGacE1SXOCUoEQyo8baQ9KOzKPtosXZVf6K
RTdSc4LSbp5cknoQf3xdW4Xy0ECXsdy6EB/Y8Y+WmeyJa8/OYuSJxnFaIs1wIWk4e3v0lTxIEkKZ
x0GZHs7TLKvPPsC2q6jFeLcjN0BfIH5QNl9bO3MIjmhG87CMfYHtkzCTy6ZB7RfAouXt7MWA63Po
ylaSSyB0ETBtortaqplG2GDkzqcO91O8z+JRFKEQC10QMp5LElJGdUl2t8H4yMjV1dTLIgtFlESI
3TUNpJ0BlCsnK3V25l1sdStljGYPHsi0SVjQKX75NyWY47Cd3QHrtTdZbjAlZGmHDg3UekePs/+0
aHfEjtlEQP3MNHMHIlij3A1ZgkxnH0G3pqmm0oTujJ3g5iIOmpmpW6OQ25OMXn8pIVK+aPod5D9q
TSiD3UfyKvV187VvY9TYI0JgQCzVGOnQiVt4HdZj6/OXE+ik4lBkCYo5aetllxQFkayI2Oyws6mW
GHxPHxynBJtjDXO4mvjywz6brBfZ1IIM42hKp7CZzPRizOP+ship/GCARFVxLOsyTY/IbY37BXNc
iqG3jj9K9ymWeRIkpaO/IKFaihtvdOb3+djZdmjFRA3uPBX7r07kYu5Q67DcLosxlORsTNZTxic6
AinpskYbhSbkggusHt3GsV/teqhpEZEDp8NKTM2rRzcK1X7bETeEeYTEmklEdLzBVYhz0s4gmUvC
lJ4XYTQuUcwTiAB/MBX6cM/+RiQzgjcGuQPplRjcrcmW6CYdF31qvajRQdeRTHwFQcqWYQHX7Vs8
NQAeoGRb0AWkBL2OuEMxEPNpee482ZKluea1+1D3zkzw4Jr3rzMAMkXWveb2Da0ayVGtBTfJVhYL
E8raYW9beAwCNC67wS2KB7tr2zLoiiJCotr6NYmQ7hrxNLk+y2+7kMQRWOVU45Go5k27vJrOxdjY
CzrPiqSkoPXy6bA0LhN9NUaIYie7bu8ToiNJ0NNZ8ol31v+y9iv+ZLmqTQXB4H0KsjgZ8ekrAucP
jZXMD1gosASktvnZ9SVzYX+tWMLWtaPsmoUXLfuVlfOCkEv88nOVmAYDlGbGrVxnQA2IJkKP2Nv9
6uxXxLJMZ/rVevFSL38Z+OcQxJFLAw/7D65on16fE/z/3s6wbACX3ydChF+r8nP3U/zefyIhGOSZ
MOQ2NtdGWwN09n9HfN6/YGZaOG0d/In/duD+e8Qn3c0sxv9ngRWk3Wj9xzYgiZgAHQNVDI4Q4CLn
H6Xv0XH6QcS/gbtwICiOxChRAX98M+CrKxBwuLBo7NQdT1zLyAjlbbtf0rY+/TAFvfvLZPY/Kl3e
ATgf+v/1P7ee4n+sZ98PBTKXWebGYyQkY5s1/tBDylM3Wh3dg7QHEMjGx7YOKWOtq9kdqytigRHw
dWXxPkM7cWzSMTn//vD25kd4e3zGmZieN38oV/3n4+uJ1k8ZrwOEjDxO7kwr8fbWzItxoC2D6MxI
mXRyCZYkQyqtWhdyTGw+uvbovsaZG90hA+zckMhLPtVZLluAxqhJSeHJjdLEYZGV1dGFI/etnVoU
zZVK0J23Hpe0M4oS2R2gd1gtXVtR0dcscKWVudA9QNe/4/nxCMdC9vUSu8v4YRyl9V70RnXtkwg3
7KeqSN7//oLgYv27K+IwMN4srrattofjhzuyNCJCw5whuUl9Sm1N3+9zNUpELgtjX5aETDkf2HyZ
n4sek3bI2BnYTFM3eIvUardfVjIIyExOSJwwyNFVIcas5rU3ZwYnPoPNKJBV5oF0iGOZHSlq7Vc6
dNI8smgN76LBQj6YZEXxIklhLg4bRHI+eUNTP8/ag3mTqghtR1t2mA5JyYPMoIysQIQFeD7Ty/yu
z11i/wzOYkIOppObkf2UhcatSeQttUWWH0Tplv2Z/QMIVyObSwQjfqMAgSgLKkI++WrZdZ2TdCEq
79kN/LwaPotCwOep1GLW517Txr9mUwhlhUrX+0S6tpefaiIoKFjHzoRq0s2uG5rEfVBoMJF8BG8W
x3d2lc0WpZOXfHY7hhUnq7YkshV3LkdmEy4bgL4nlXFPbAIw+KaXlKpiTel3YEEUeZjJlOqeXp1U
rH0jUyEGyD4EGZwAogUrMeX21ch20r3sEYAjwHbgyqTKT8XenY3KDC0dM0N3vKJzT6k5+9YrJ0x2
3hLBtg62TKj0Po88d7qOYhwOhzX1GrxszPygFvFUlAGbEIsERtsumO6OeW/tCTjzq9vMZMC0q0u6
t6FMpsIOi8zsbi1VrXVoF+7EFoIxPIKxaOyjF72SOnNwBtuNA24SISOZ0ao2XCffSUKX2KRlJyqm
y+TAQGrdO5o5pJFHc3oQiyf+BAn/u48RjCsPgQNWXACYPz/6fSaXfBTMjuMac6aCY4HCtKcXZFpU
xZodxR6xTn3As7gJUHX07fcvH2bftx8jHxu4wPaliD3dFoUfX73BNOK08Aq65lkMMbmrnUur1+kF
VA/zWJt+9s/QBt+/viCTvQ3YiNnMk28wgqpNzLoxHST31UTl4yAB6+YKlUJXe591O3enyFohlcg5
g1M1inPRNvZLPeVEys8Lncoyi4rDKjGHEOsT/3ssxEAn/lr/zeJg/qw02X4fKlm2dXA/thHDWwAh
1v7GHNqCXaaxVHe1v8gjqYDOnpgXkE/xTHZ8hkL0VLG9gbI7W8AtB2c91KUxHJ0uFn9YrX5dLVir
BWYx6bNuQyT8+QZVRl8J09YgZEqHXtmYTTGdcnKD/qqZ/t8n/utHWFIfOKxH4AEAuL35CJtNLifh
LSIgWX28S4qsz1DgTzYmaqd3USPXdDrmTCrCwvCjmajmU5ZqhxAbGv16AoWdd8v03MrVNg/4vlo0
eYbDjsGgoxPqepMA/9OHl9Y08yDXsrkyFCE/XxuiC6Q7RttPHtfmxbTr/hjNpJukbpU8pqvhHH9/
vLe00c0y71mwiC1ET6T4ijdvq+HmQFoNS2AuL5ynFjEPUsVOTRqp+WqHqp2q5Fgy5LmFWZk/TVNH
o2Jqe+Pw+x/y80NB3ULlgtwK+QhRXsAm3ry1ySobszEzWoaeMd0XgPN3YsyXd78/yvfUhf9UKn8d
hhH2NuxTwCnfwlVhGbAy5ohnDHoSD0tbFjS4MHc+EHm+vGry3A4DGo/3ZbPt4+PKos0BdQRPTaby
nG84wsUj+hiEP8Ns/QFO/POXc/txDoEQqPetLTQalOXPN79h5N/Ddm2DbiqjcysJYcWRkhyRz7yP
dZ7tyfQyyU7Pk0tBG+Hx99fm747OfhKaNwgFQKVvisi0s3r6mWS2u+uAXGwowK3VOdGOuyWJ+3Cd
a3yADIRw2zVC7zt3nf4wOv/5ff3r/Gn+g3iw+XDTI//5/D0XKoCZ8QyMVVaRC9hEzLqGrJ3vagRr
O4KqsHAu/bj//Ym/+UBux92MxBT+kq8k/cA3z57d1gq7J5gtJ7NrDN6WEO+LuKU0wvGWI89S7t7o
iaGWpSKXuJqTiWhnmeYFLfhiBdgqZDKHv/9VPy9j33+Uy+rFQorB2bG+225/qCB5RoRNgKMO1gh8
nIvu9azFrJ+cwlkvR3ozH35/vF++BFwFjwIR1uVWxIPf/fnq22OvSaGy9WaaQd60pkZIBW8ecsOQ
+9ykR2B03vBYsh3fT6gQcWh0xj9bS7+f9abJ5EsEldOVb+FEE8j0QrbdGBQkWZ1inCPXdmfn9IvM
6p0uXKK8tfGiYRscnLJHSZ+68Xt/iMW1g/jpoi/r/Jx1TvVZjtL7wwvCZP/HymL7cTRmvQ2dxJcK
NsN2y364JUUdU8fiEMLrkAOTqYa6Ae2wdA2dT9nlr6nMUGhaWbbeZtZMU292IyiZTbJYA8NNSzOc
X6rF2Olk0lmwuon+hNmjIQq1NRy0RL4ArteLBfQcJUGh//BIOWJb8X7+/LEd2cQLnIkix+LNk65r
bfWLD9SdMOK7uLW9+xROeYM6CDYbRX4XgsYbcIgNI2Ui5s1y7+dlKDPj6CX5nAcKl9QlKj00hzEb
UUCcNlMFfCukoKP0HNRradWkfveJYxBjFeM/CJPcTJ4VXjZIoD1FehM1xZHXa71zMK9ksYivXBam
aJ8bHkolJGIuizVGVEBrhf4mEz95dgzCZ7niSbruhSTTl6626KpDRSrnq5FELaarybPOdKdK2n8l
8Yy08Qld7Yiz5sOJTP6jQ5zErdGYXomDTo0tMbgcnLgcD4Yceo8Rc/cQpbeWMWVk2DWmdRZ14/dn
KvMGIgcCvm303qBmrf0pCvTUZuauc7Z7XC3LSJaeq3BMswexu2OVYou9QLk3HBhq4A+nSPe+ea1h
LETIqfZJmdqfdi3bw5k06RwSiRza7iuNcJd0VlnKNWwKI71gYkPNHhuA+4pRD+9madfPRZT2X73Y
bgHhYWGTITbwDNApG40zL5fDAKxfRrnDXjy9UBySabFSd70TTlzOB8XUqDvxecH8mgk0bocMqSEa
j9pcbitdmF+1N89EuyXJDVvw0X7HyfhPY1/lbDSwqF1rxHVsvmuLLmia1mj9uxkRByWm9lHQDSVG
VQsdZo7rr67MXRPzpdxNzcovY/1pvZuisdNnKHT+Elrmwg0dBHZDqJS6a0P4lP4Rx1KFabZpaCib
1bIGkSntc9UVZK4Q4oHSYGK3+IU4j/WJKCdL7EZUvGc6iSbDvWlh/JA3y7hlA+IpJIOvz5485Cuf
oeH6DiBsIT5aVL9f2KwsbajNcv2mcjd+TvJkqMJczOZ8XopFAiE1KvtdZ+Ttx1pPOA8t0783imlr
xC92dlHWWdzs8oprHljEFxFSqNaZOPi1ZhRDQ9M9c14uAeEYFxG1MOgE2OrYFzL3VHRkZ0SPgOav
7vZWI+PxMnZGNqFgfj3r2MMijQ8j+60erQeGoXAccgS1i0xrtreYac6ZlyDeLRbD5jQ0qLULWyFG
DtMxxyOIhwIR6kpcRBuYqm4/qzKHqCLdCG0JfQfowzNNcqxYzdx+c4o5+ezVNtJSOW/jviXNvXFf
Cl2TOoxolqAWxmT5Pu9j7V0snXIQ/OW5cR4Xi9lknhABuhuoJl4iw2H07zJZaQDCFM18oxeJMzdP
Fso7jR+Dnk8zZyIcIjNieLDadAjQKFGpH52m3wZsUjakfA7K6cFzi6XCIc1zQjppH9uHwqph2K5D
bT3TFpiywEsj+ybnYWUULQZVniw1MkNGq6iafbQK2DtO5dnvfF0OyJDi3L+puUdeyG5dAIvh5W64
g+lw1Rp1Tsq7qkZ712Ic5C8sY+sZzgQqplb6TcuOLVNPU19YY6gGvYEQqih7duyiBm5reNo453DL
PjX1AKA4g6v3ynS3uTfIC4L3iYZXHY3U8LnnS1Rddiury54mD0131aXMfzyUSuRD2f5Hy7C9b4Pv
R8h1qxXfSKG36zpvr53t9++WZbX43WuDtdxEgwCtNcUWduhdz/hoypiibrBznxIqkfZdbCIOO7TA
+PAh4Xq/HmKnAfS8cmn2sikY/TRjS6uiGZ0HX6KqCt3O6+FLzy1RkFau8cguLC+7GkcM1NgF4ASq
DgnvNV7H8op4SgkW1RswG3Pe4hIBwno3zmnxKJCHLLumsCPYxEMnaRYVCYM7pgfpEGhh2YzsyKk+
2UM1JuiQlXnT1Jk9H+g1xSdz3Z78qs/iL9J04iKY4aJegM1EjFQi5XauzcVh8+YPpQ9IOBoN4+AN
inKuL4hwjvN+vTcmq/oqCEz7wN/gfOuNCHFINrfVR6/sYBoUa54yQ45SdCUEZzVJuHhOHQomUEys
EmGnO5T/6YOZ+mq9hBxjYRYlwvfWs5qBbNTWpiEpOl89zFG7PGXVPCJesLz5w1jUc3Ox9DwsJ1wb
S76XYydHPKu0F0IGj0VxgmWP6RwoDrlL5jSt3/hymjd+FtEnaHucTjsNZiINV4BIoJUboc56wmMX
mF0bMXQTdbHqw4SGCZ0d2trcutWTo6erJFE9LsaoV0zHaoXIIit6pjMdfs5dg2//U7WuLsK2SNDq
gkuQUwWOJuLzY4qe17428Wbg5sBuK4EgOK6xty1mirDwJaHj3thExKQLPW4GODPhu2Em/QVvjrJx
s6vxPq+lPqABVE+ttZDXDbJjOBM6ml9bc89KmFiJoJNra62PBoKyYqrBEWuCRU5OlLdgubsH5MaM
CdsxLoO1hanrV/3XEpf4B7Od7rqRkSI1zQXoU+ZrfyiPf+6ifC/+qLgp+2jFbnrSNxvldkZTVMxq
JhdUQKjx7OzYLDAyQk135Ytw20cnlVgVEzPvznR+xGsjnfldas+0dEdRETD+h18k7F+qOVoFSEYl
PiZr+4U/16MImfDr5QzRfJ+P2sWIQ5wHaKrtzwS00B71CbfYEqWN9Ake/QY07/LWCxBXZ0+lsGH5
Tp453vsVdA8k+4KmJu+BInAjpzt6ixMv+SotlZShj8sSanXidQvbMAsUGodcqBYRa31BL7ZRdQjW
rQJLWzxOsd0UL23nRyawMB8MRIq04KRRmPGNNQ2md+O4RI9oWMea8cgSv4t4Wj7joZntEMOn/Y1W
qvhYrDGYiNxvcaGSMF/VgcCCOocMXJACYY+ZcyBIVOsnbE4oslSMj7JIZwT+8B+7jwkjnkfbzJF3
lNXYIv1cU/h6XmxRHg2D28Iqa0vj0q4zNJu4R+WKKApOQjEvOcb8rFU4QFlKAenS5Q4d2ymLXR8J
dbUhnD55Y7d+HrMlK/Zd3QFtc3tfGGEVSwxE5WSMIOXQP0ShXFLA1ZQOqJ8qbJyIbupoX8S6/aB9
TDOhlm5jB+VA4zSoer/4hCwk5lWUNYAWS47m0YOZ8E1R5jinQo/OYaDm4k1e7QbnE8cmyzvD1xMU
ahlu/dVNYZa1U4GM0ABI16L96MM5J8plx16zuaa8kyaaI3KKdpOfkPX0+4fz162SZBqkTJe2m/Vr
6ImuDT8tohrArMmcPUZwyEZ+pchrXOOS5my1t4ZCINvNxI2Cnf+HbtLfbJ4x/BG4QMabT8tze3N+
2KmZi1WIiC5d0CU+8d5J1BzJNHZCpcmyUirN/tDS/LVzIcmSc9kbupvM/G3CYjMDWMx7VjDm2Ehp
m8UJKnODILAmvmfYjdONbfz976+xuX1y3uzm+M4omlkWZgMwaT+fJQOObkT8ATPcT4HM+7PxIevF
eLEwgN7NzLahufQZ9hUdMfur6P8bEBISv+n+AAH7m9N3tggNZGUWEaDiTevAqFKPnTpakr7GcNKX
g9r70zSiUpX4axPEXMgTxfn3p2//zTNGc5dgnY0ABzD4zRc5d0a3wC7XB3bRj1/wO8OtMMeOT/IE
Dmk4DMaQZ4FBGz46VmoeJOzxZPmcDBYEoJaCo8IObBE1PQ9rfGhNmcogKrS+htql8NZDYOwCZ/Km
4ZA3pvFR2D1VmNUU79alyYkHyCCErWDz89q3r3051uCu0E8gZEakpgLZj6DPsSXOzW4pnWK/VlYV
b/BKmE99i4k5jJmG9UffqHtGSwK0+CQgbezRpUX2H97I7R68eVhcqKmKiZoneCXfdN2zckxQ/OYT
ULMq+kCLIZeAEKrlT7Fu29/z9jg0EIl2pMlPgtSbFoPBkXEGRTpIBxNvHLUTVauJRUHX9X1EbHcT
UDR2gCa66U/n+Otrr3ghMGXQ1vY2LPHPL8QabxFIM1JEZSXm0ZfzBAU/84KGCOYLI/OnPzRU/uZ4
JDvhBvZYgCH1vbmmYuxqQuDLIYhif71h1WtTxslzdDvw8gO5YL5g/OPbyFALIKGyGeco9dZe5Oqa
f98M31kOHcpDj/E6zzOS1t+/Xb++XDQJtoxf1ki0C997YT9+QXXd953DB9xdELvyzm9YOrYXsdkZ
z7pkPy0p+8608ca9XRrZ3e8P/2ujig0brUh6stQqf8F2fzi8QL62ihFFwTiTca+17d+ZupmDUoj6
+feH+pubCP8XQDClDEaft/mSwuvjgi80Z+quy2OiYyvCkezWe8+nwgYR3T/98wNiId9uHpMXFCc/
P6UFdCCjq1F9ernMDuiVylPEXvUdvs/lqlVT9ofjWb8QGoH1oERhxMLIg/fvzStZV4vqleCZ6UpK
eNwhlU0/siyrsMVydzR701+P+aSXd42SBjkNre9gSgCxB4OjFVlAdFdCGJAcNSQnn2G9m8W4KNBs
64dsMCRyw2ahQbzUfiNIlunNP/Xo/+ZxJL2YR58vhYsB/801g0zfm4tNGyOm33jR6Tm/BQ/PrrOV
gmguGcf/h7ozW44b2bLsDxXKMA9m9RQTGZxJieLwAhMlEo7R4Y4ZX18LyiprMchmWPZbv928mRIC
gMOHc/Ze+2wcDAeLToZXwx5n78j38HGJY1JzUXR4S42cWvn7l0Y0RNRVLqScoAFFqMPSORnNqX5r
Y3T3TpuMK99EYvD1SPk4Zy8zqW16pKnRoDucs+somLpGA24ZbQblTDfmzBHZfKTt9NlVUA/ReORb
X0rvB7cmg9ayC66Ci2a+1WyW1sge6iMh1J98Zr7r+mSvsyH3WLLfX0WzB+zMJu5JBMIEYE1lvcHz
zOEaigDnT5wGXz+7T2aQgO0BXHCS3WxGzfvrlV5teoMOOefalXcetWR7y6HFIeNKDtFfX+swz3Xp
DJDOEARLWBhL0B+g61/TFXNGQHmiHAhNcp4pyurzulGUkzl27NO6VWvHMoIbKqmUnls1QecW9lWP
FXyXmz4ZJ0lf6GNRx580dBBh8LsiDnfokDz7/RPoZx2pNB+7dZsY8XXoVvVpOGXyR2vVU7f2zcHf
hnVcgl/O0uyJAb7QITBpHXk2y2XebwiIAkdkwEbNRP/yMcs6cUTal5xSOwVwtab9ed/kJcpeIFMA
WHVjPAV5GsJfkOP4Guo+mm6KVFi/OCKgmZfA3ZLt1z/qk685pAVMjv2ygWSAvH80Td+EJT5jJBtG
/LNyk2nvNL5zhsyb0KSUQyLeA/PIg/i4MVq0ITRdqITRYztMmwwLIyzGRHTwA2Y8O0RubyyXJGqq
rAoA+4hzMOvNC9H3za9/fbd4XNkyOJxQ+AUHn14yst5kUdRz1M7NG0E39Nqw8WAkg5+cTp5uXzil
yp9fX9T++IxhrARQgZFesIYfTisyLZOl2sS04ksdrg2vg7nLni2tNw17h5gkurab10JFtD6wIYzd
NjOb2bqA/9o+BCPkSYr/rqjWE9ZN8KQJxmv0Vh2AYerEQ0ZhsLaukIlNt10euq+i9ZiaHSumPpN4
I8ZB5ZbGamI375+IIbWxoSXNdFnOcXNkD/FxskGQwIbFRLjCp35YiYE2FtYypApndL13AuS42LJp
xPITp3L/9XP9cKk/p+qAfWcUoFA9DKXN46zMhAxRhNvt91ktUXV6wLsjhPdvByw7FKpKS6eZBkR4
+JGkYQk8YaDiRW083QyWivf4g6u1aVg11Bgr3iinbu4cu2p2X9/jR5kGgzW0FvWW5wCV/vPv/5pP
WRgcL8b6hNOpML9VlliC5agsa3y5p/M0+zdFhWLPmGmK0ZJwrhoMrreWQJndtUkAzUQ1V41cpo+v
f9mHtXKJb6cKzTe8CIX9g7XSjEpHcuvzOgOYc0l+tX/ugZc4kkKO1/xw0uT0gnx50Q8DHzfdg9UL
FitB0dImPw8HZrhL4SNArQhgY2yxi4WP6Ovlozl6i4rKGzX6wSobaDo6kggu3MvjtBpo+BX4BVmT
V7oV+jka8/AFXuxobUUF+QIr6BxX2yE3zW+GofrrMmxatVtAFRA1s0nhY7bJxqKCuJh7LGX4Yu8O
yu5WtMLbxUBMSwWp5OyILRQhpXdW34WXUabiiu429eKVmQtqi5ObQvNvcLM5C8iCumGad0+NZSHT
tEuN+oiKXqfB9FCPxPFXB9+lKIR5rsn0k2eJgq+2GnTX9BzhTbPZQ5PsMTBGRTbt68jAR1sw1xsY
PJyOSGIajMFdGU463swJA+LNUYN3H6mx/02+y1ydirLMIrILnBpdoNaY/ph/amfHoZzWk0ZDDOS9
79uXuIjtZ3oyxM/3RlKybe5GKtxeX6qbtiSpecWLihEnB0by6gXJtPTvsSLR5FTur1S5tsQ8prqn
XMbuG61b+3webdSdhs7riHDNqKrW5VRUl7RSrOxsznKsF0RVmShunKT9RgvNE2yvIyo3NnQe7Ino
UbqV6U8E3ZlVw8kvSH3f2IyDE3B1t9bfIOFp86SWCIU3Xt8iOx3aav5R1ZV5HzZCPdEWLYbVzFgI
wTTSVlshClXxpmuG+jpxx+FXaFejuQWuPT23c5yC51V1eW90yve2ggAHuCJ+7qhVzmm1XPGxmDGa
tQFo3IAgV5wGs5WTPGYn1amJXkifUhcJC0iMtWVuoMbhSA0MzhIblNyLGSSfsAaiL7Hf3LTVkDWp
UnSc/pjhViPCAM0qYOlVVeHJWUWDLS/R0JXRymdvY3GYyZf4vbJaRBdwneq9aus62aI3A+PpZh1x
V7GoCNKw4iRwTkQxjC81bVPngsiKaGd2Pk5qIjhUdkGCBGiOLHX1o2aSu5G+COW6EKq7RB9UPWRC
2d872txy2xQjTqXOWGrGg62ju6i0xfcsGiNAylRjX7Dc1y/N3A82FenIfyzZquHiVtaMzh0tKJqa
dMBYrULleRtoMcj3xyY2NtqiAIww1LDvgVHUW61n9YuzTbcvc8fBLgZjL9+AQo5+sZPGRNz0qt1V
7kzlufVcHkzfAA9baSC0aidoq/KKJ0MW64rNORLyEPXyqsr5Iok4VdFvT/rqsZgpfJPi4bhIQmyr
PremNnqdhj5hKvAFCZ9m4wtc4V2ouhVsNkGf1vVr8lMQMFWbNvR6c9ckiKvPMeTlV5xsMBtrQ6Kj
40xADse/nY6XtoeNntRH1fInvu3vOm/a5mWRDmzycYv1ixEUf4NRz8eWow9bNypKOEYiikpoMpGI
vd8uglcFPeondFu7gf6jZrg8Y3sErhsb4RljqbmxixBDn1tPJ4WQ6ommPWNGFuEafCAaLgA9p+OE
8gTaRnZCS/aphj52D5s80UeWqM8WzyCwicqIQnpDH+oLUCmbnjapidPdDapdYlfBfeWHtC4yxErn
dNCyeRX4pKEy78R3ij7tvlJ5ejtUSd6dLwIifyU7Sz/QEMmOJcx/sn/h/A7Ug19nRSzz758lW9Ci
wsMBV6LMnJd2oXFIl0QZKcWRHejHAxCvjf0uMuMlDBrp1vtLIUeQhRE3A/CzIdnYMRp7Np1h9krB
x7/uACudyG4K1/SNErKGRnne0yr9t+defgQVcerT7GSW3L33PwL7ocOaiWisLIlbGCaCMkI1Pjle
61719A6PnGw+bhy4HMdeZN4WI/bwnseeAmsYUObtRU9+plmWL6M753u8AziRojQ+8m0sZ4d3pztu
jzM2Hhp2a9h0DnqQOYuMYaZU5mwDpkKYlzV4srKaLitTkAcdkVUwxHN419CT2uowZun7egr4cMxY
fgClO4SjNrjHw96DDJNpAOcxEvccSHJHywCIwRz89LLstYcJ9zgK13v4+pofxzDXZFdGacG1kakc
3LRpFAIuoRzhP+cZvbS03o/oK1COJsGRGY5sxw8P2LJslnePs1tgB8tv+XsrHE2GcGm/rilmpOSO
ogIZV512/adhiKCtB6Jvnig7FMmJm3kUoH0zTS8AlrK082W7d7VIuofUyOxvrZEgr8EgMncnvVdb
975hwVcdU+8Kt1J8a6JXhJvhldiNHKmpBxhzbb7MleNiwESsd1JQRbyHQS9+xiYsnk3FMfl86Kvo
ck77UOxst4eXM7VZeROCFCCLGddosKktNZ9AIC7STVYAFdvCBq9+wn8V4PYNp37xGva3tF0Hl/Oa
i9SkNTLcIWSJmPZ6MA3hnQRO0r9RVh+mld3MmlbiAMzvskcKowh1EKBxpzlL5S7E1qrWCu/fsarB
Z6+CUQZ32iKBzjk8ldBVaX3PURyIxuKpLH37Yiy5O6Mf0DQhlaiODO1PrsecQc2Wcx79tT8NsL9e
fehE6YzIhw1MZJGhNkEIReEU1OXaYGbbMLDNY1PmJyMbv65LCYu/HUPLwWyFzcozLL4n9LfzfDWy
oK2S2pFXSE6an7IlL1Hgod+gWc0udDYi1uJIjcfIf6wjczpFABZu+8x0NhlAeX1kbvv0x7HQA+vi
sB2GB3UMQw1hVLkcipQ1pg+OIA09I7SAApbvz0eO2Z9MK8hX+bYRfNBBPjQKtF05CMMJuFYEPTtV
Sl3U3WyeI9dU/KMUJzH8viM3aH/2xjloE2e1NCSC8GBi6WQmUsPjDnsR4WBSk+/H51Xuw/uuXbsn
LrABKrELIFo+CGXgdoxiAj8sOBYk2YCCmC74Ilnmpox6FjiWMv9Vh7FT0OPM1ANap/abRwVuXuvG
VeNuLlV4zd/pBlvKct2297JcndRQAt/Q2NL+7Iy+DY9MaR/19pzrbQi6uLRc3+FVvp/Sej7cMabA
tw79Tv9IKUgBd3KB8i0Akm0SaxA0rkNAdY8EjAgdCsSAhFycMH5zoVWkT7+ezj8e6pffAyg44sht
mofeE23VcYQKGblTVecpu1haTyu6YsmRYz3+4cO5/A/jDf8xk4dLqs/7G9fYRaO6GQao8lN62lmm
bAmqDpLbKajw0MP3YSEdgKn8BP1ANpHljwMMk64EsTZSuF4V5D3sUx0DyXClX96Z7C2CM+Wy/eZM
3lhQb4NpvKVwND6khWFCukoH8jFcqDEkd9uC2LuY/uk58MPZXRuVL39z8LVec3sMOIubXnWH45YA
lSkSNzmoeLC/RtvEu9A0ETsTJaUerJmkSOCMCMLWCIr8N9hxxbybYMHwadiZd6zn+ad8/m6TgTyO
LitrPPV8Yqmc988taQNIE2ntrZEFE7nkG9hYQcU5A+KYuUfCF1gP1Obsu9AAc8/sNI4ljPHQ/ZF6
sXOb926V3LL1ICYjpoHYXRjxWP6sJozLmzoPqFNE/PpuGzRQCr4FQaaCLStqqv+xN/wrqvdl+kvL
Rr61//Uuwe8PSxpeA51vwgX+vyM0+uyt/+/c7r1+XUKz/wZ1L3/gH0Cj4f3ncqTiYEV93EfN4TLv
/0PqNiwTiHfIPAi/e7FeLNPw//r4Cdmm5kpJe9mGYebiT/0PqptkQNrxi/t+0QLw571/g+p+Pyd7
bGuXjjvxsiSqUZU7XAmg8TQNgoWaLYX95FvevItqaW+zuSS5oQrKzV9P5uafUf23l//AOv7P9fjl
iwlnSR4M7PeDPbdJg6oE10Ntn5A0GeNOqMl73fXoUnYt4I0ThHWIzRwPY7XwvUe2fUBoWlfu66aa
ztphvBu9Oj9LCwLYDIJEtkg9q+zI7uT9avznd3p0lOmIgq9Eh708t792J1Ek57nKiIxNA/2s5CDO
hKMi6CRKHZk3P74BTouc8E1eNIbRP6vmX1eyugYkesNq1EdCnUA6JgYI7zsbjVA+ByNy569fwfu1
f7mzgD7VonpgdNEZZdD9fWdw/lKKkrB87ZzCzZQxU1JBSdeAu6fLbiBHInWM8Mh7/+QmqexzNcui
Z0K14f1FgWuXaJTh6FZOYKyhGiyudbA9mgygU0cab1/f44K5+Ovg9s9NMkRsPqyAY9vhuQmXY8IM
l2O4nCtMHITU9fdoV5HXSqqKjxlnPnbknWV8c4LaijbxrP1vCpb778CUuBgGp2ZjlEzaqrY+TIBg
K4yuzsh4SGe8N5nrfyca0fklhsp8VqkHA7m25/BbVkpLnX59M589OwaIQzFo8WAfNud1CoXUEzWB
sr0ZXlRa5yclSSxgo3K5rTrbP7JP+zj0KQSxpi4DZAkJOPhEvQyCuSlohXhmqs4N0MN7oivMrVaA
Ar6+tfd7k+U1YXtkE8q2FxUHG4T3w4LQ8jHE1VbjM8sgi0dRdko7tDpylQMpIZdhiqXJwyZvsUsj
J3x/Gfpxhl1oLoMxbwQRHmUovePwZewdIusk9iEPYMCmEt689QrZnnQ1IGuUdP6/khL++SFsDVEi
0P4JF6TI+x+SBL6GrUlWiNFTmgx7BmhN0fe8GDV9wxR9sJNE1pHN/vJB/5/9xT8XpaUDIng5YmOU
f3/RYND4HahSkvjmZGuHr38VK4MUkJb0hQbu7UlvwoUs0vqorPz9lvCfS3OaQcSJgAD37cH9ooNw
PPAo4O5cJ1jhgoOmnhFjFhulfaENNqUD8oarzNf2edcjfg6zIFmFsX3Mb/ph0kMVyBgzmckd2+LE
+f4ZWF2MXFJm9TovU0xLAMpLVAorQdLzOkkiYp/N8NjG++NzX2R6dLeY200W94N9nV9xAqsU3i8g
wfXJ1NuKNB7Tw/KWAESE1rbGiESLuE+qI2/8kwG/pG6wmnvcN8qogwHfApFUZFKQzuUH2ToqdX3e
dnitnSpJf4wt5ikETdUCXiPC3dcQzDrgWZ22k5OvP/APc0nID6E9gn6YZi4tv/fPfQRcXwIMRwdP
OWOlq2GkuwRnNRuoFn99qQ9zCZcippdWLtBp1NEH61oxqN5uvUCu8wrKioLLtUV5dOwQ+/EqjKKF
egTcge1XdHBDCPmFS5mmQnRuavL6yvRuhEey+fpePj42LKHEGaDfQBRmHu7KWmsYARQ0xH/iR+a4
XOYnws0BnfSEx359qY9fBmuKF1EIoGePLfngy4gz1YvO4VIEYWF8H2rX2LVp6G/LDBtNNEPvXhc4
OI/Isj5+HCxoFK9dC8UZ1Y5l0ftr15MqjWHTxiDRBEa+mxY8yFjE1UVvDZzyW+yOxFDDXm6PzYZU
ifmr382HUFNMttuL1YUWvH0wUGbPbx1V1Pmak1VzFieZrCha291Nmpr4odD0p1TOoemvwFQmex8n
6WNPL/NcqgQ4n+mWTnblTiEG1GzOKki2YVX3lIj9FBlu4k9AmX02HQoTyasD8vBRdS7s4MRNxKVo
yqSh52e7zUktCDPAaJg5Wz1Z1Q++vxankAexCBwoCV0gWD1i2XOOXNsAH8FZ7ejkNosjWnhN4GOn
dkMB9BbHJjKrkLSQu7GbSRhtevOnCieXXYlVaKqOEflnZKg20V07e4whDGjTvMXMTM+sN0csI6Pb
qh8RhC5NfHBO+8ySab+j0OhxSNag82ioxso7dbva+BWno/eDHTvGYbZStNbqubnJu8aTxJcQ5IKu
0r2difTLtj3WG4IYTAcW4lgWdELAAK3C1FS0n3V47+oomLF+JgjbHWc0kJfHYE/HDvnlZhhi8xe5
HvaTi+OkuFG2WCzXE4mbK3otkwGVZqTNXsakq6wSSIfM6b42wVdT0cd1SkA3DFuczGpr1UJJIlwH
cRlUgX2v8foDKU97aq4yIhsV5pSD3n2aBpxjRMIBarczpAZznwvyPIokpKrR10awSb2c+GU3owgM
Ky/o7ge75nAgRmHUSDRS96kBzYIxqjYnXPFN3XtbyA76uTSxja1heTYcX0Ys44JUUuBJAH8ExQWL
1WgWilhSkIk8CRsm5pqZfDBXSTW7LvFhbUscXgvxhyZnkBQ4akmY3BiWn0IXZ7f6AxJkv8jwMzJN
fSJKQTPimeJ/u2b1EBEMPWx0pI2nAh4U6K6RTEVU/B39kygACtWWONRWoZmND0AjyLOQIQ4l9Cnm
8AT3k1Gko2z8GdR4elbAsNWN8JrJrzEl1iEApBCj58511Xw1kYfhb8ku5jCRdWNxIjofLKeKOxjI
PajfbuNPSXzqg4f3d8S/AnatiYfBYZc2Fi3HKEm3ed8iZYhjqLzbjtALIpCL/A16jErWjtUXD4Xv
DTf+bHYl22PIwEC18+TKRkBDEAvjetglGAfp4cMIuq5L27k3KX12Wzy69V6UDrSupEG+UVK363cR
JalsM7SB/zJUfXUV0pUgBaiuLG8FqZmBm6DTaHAnV+nvoO+seRX5ggi6mffzzRok1C2TIKdkGxYC
17UA7YunipbYvktmwG/hBEd1m2YhbggouiasSrhZ67atMcTP00DGSC5SE+Mr6R7bFmxLtJmDWcut
lzs+KkPPMs7RxVvVBugwAdkj0SeopUTqRcT8VXzxAj7jhe/lgMV78gGbjeH6pBW1ZYFDuktMo92Q
92zinPaMIdlWRuENq6atp5fM8TAtaEOlN62xsNJbFBMtYSIl2FmfJMRHG9eXhmFXaILHgdJtg0Ip
dw2kN/rdWR0/NqbE+70CKHxbDhwjTvraT8R6qMvTGtn73fJtuyf+VCl/zSzVPxEEFT00Mx/Uykog
Cay6CXgl5taor6DJldFrRJ9n5qBoDufYFL1kJcLJBl0sFC6wYbApIDRJIr+lbdcvGH8pDYar3VxQ
4PMmKgRmgSjB1/4SCcTM4I9VjnWqEfKeoAjCkjOym3577dw+t5yL5cnQN167J1Yq3liJifCsBYeL
6Zvao7POIArd+VVa1eukrUbMqH1GInERQo9dD8No9nvRqPiaqHpQ1X2dIUn3AkFQlO8tU7UlhowA
mthp8QYnzoNN4+t7PcGgP/Emu3umkaiKvdMOKt9ag+E+TkLaPoj10tPb0ragfKOyVJftpMHtVXOT
v4pARJd8lfUz+GH5y4ezM0BMkCiZaotiOgqnsj+nd2pM55zIxLUZqiLfmhRkbaACifcbOpcmCd6o
7ecuJ9RrLZqovs5aRe5kXy2yH4ti1qXV4W0DTls2+a73vcbBPuGO4Ruvc6juhjb34PfAP2k3eUmq
E4MqsX9nSEEhGjBuNrAcgvvGMIrnWQTmvBGGBXRjJKzNPCNnC/07gZK0PVoiLR85B+Yxq8nsXZNI
u2T81EEpT+M+hcuRQggqsL858NWpmI8XdR4OJWD82PvVk0ANTXniY1hRv8UUn9Z2H+IGHTmlk++M
gi4siYtkQTOQtiB0N/aql3iFBjUSQ6AsCUJQ1Ab6ujibq4vMHxpzS6kM37oKwMGv+mAW86pRlWGc
2K7Mr1UOQn2jcLYbVFvj+H6iBtOsx4pMeoizTvHAAtYyCw9evSUBlyQubETzC+juRmwZodO3sjMV
T6MEik4AZl8nu9mXUOeVBGux6doi0vxbX2IvLXOF1KwtweCRm5Xu4a/7iB7KPHgJgzh3WA+IlyK7
jsxhRpyeiXSobfsCsY9N2nax3AL1Ef1DufR6NmkR5PkqFTEipciY+CgT+iKrtpHzo+PPNd+TC9cQ
iU3gvJV9XMI9FzXeSpy1TK2dUVRPWLOMjOhUGRIdlQhBLllQP/dWp0omx8m9c8EbFisotRkOehOP
mE3q1q9ABearD39iE5hsplDg9PFb0sNMXBFaV+c7X8/yRpsk0q4wQtbeZijJuE7DzvntzEO7JchT
PpeQF65jgeQBrq+jb4rcsC9hYGWaZa94CnxjvAlTgq6AQsctZXzYHVsmmHxHG49FxnTEjkaF3Kek
5RKeLhFwKHKZ4fBKo3uVdTo/eZ5wvxvSHc7tAAkc9dJGi20VdM3T0MChXytRdpsyRtB06TqV25xm
szc8DARZ1WsenHkpaUJMaysLO7zy9fxz7KLGAoA8599R5NnMqzbLDQ3hYoI3XbTqQnkByAUvpnIR
KXSotlqYdm2VFyQ69+x5V/ho+bDMHBi3rgOAPbKjDrUJl/+GmOtoeos7pBmr0nJqQHi9AmPZZr31
bZZQzjeqnOYHAFHQbJrRm64yQMbEmoFrSQDA1Oi3s3aM9N3oDpVc9aThfVdDzcyMqd3HhhkIj0CP
xkqaaJeRWj9uqI/FPzvb0b+bocm/+wQN1cgXO7temZls7mHBU+QhjdF7ZNAG30liq89Y5wADQg4Z
jQ0RNFh32BqqaOOaqR+sVCFTkrCHEJyxaQN238XE+cXbDG6bh20bNf2ZSXDQXjXmmJ4YmQHEwCYV
7xEKBQuiT1Iylkhc9wErii0usOI7i60mt18oFtSgCExNYHMaldmLCscGrZqewL2gBsTcmZYqPXcn
c8QHXRTRnYlKMIJwYBPqRkup+dbG/EEs42K4t6Bm4ATvYYQ0blY+TdKz75Ze7++6NKfvVtBOSHpJ
rhmBEhHLCCAEWxYHETN+AoQFRpaFgBxCpzDs5DSNhuq2SSX65CIowWWQa+BcK9G4mJtRIAD2G0jP
Icc9Ge7TysefP4qJPVubdYofx0ZAraUXGTca8OJimbZJHpcJU5JjGPlvNzfZ/IH2rm8nK7bBrQKx
PKt1PZmroOtDGtCOl0YnIynkbNlK2mNEbrghKSBRPd9kxOwU7A6C+jdAJkTM0rLjFNVIMwPBSIDf
k6brn5JU2JwgzrXB/ExVvu6J1juVlCN4M13X3xAnw04d1ic5AqiPXUKu7Wa6NvyhJ27Spjhzi7sH
s2U8i6FkJZmtV0Kg6LEIQ+O4AAAISylRVNDHMibwPnVxK2+8QYrhVObDuCW5PB23flHQdgg65Kpa
B5OzNntzofkwmb4Sq0TApNtZZGdk+VxtQjz4xlaWVurv/L4TwSapyNWkTggYYN3aecVY0rHEIJ8X
hEHFOcfkyGFmJmXdGvQaLWtwiU47d3ZBP47MA36KUjkwx2ltWHoknW1eynHGZJq3JFtNHkJXJR2S
FzuaGcXUTu5mUKq9DJyJ6JQk0iyjORrh3GG9Z4fOf01glTfEVNOc/tVPXNCPCYmHFTvjklc46lmf
QlFBPy20E6crr0fbv+r9fvyeheVwQQZX7qyQqeb73MLiRgapE+xV1TPgSDB177p+HM4i+iMPvWUC
R+n4NIE9t2p8jm0yhGxKXJBiFPtBGgm1vWs81WoOcyzV29pwx9sYcHiMCDcPvtPtN8CPSwDqFL66
mRhR2iqQehBo+muDfQEEhKwf79ypYmaDZmvdJHL2XlurZYuvSJRfaacs3yKnbX5h9g/Hq6yZ6ydQ
wd0SZQEX/YTbRLotlazL264pnccOgFdAQpNAexMiNKnWqY6gjQiz4ctJQHrkW8GaKzYVyCS1iZt6
fmha7Y7nth7pSzXZ6FxZReUVa3IOmIkLEv5OZz1xshsZ9v6qKQI33jbseUkwScn8GkJN5no0ztm4
MsZJ/zAmO+o3vHzrGowL0SiQUfpN0TUZFCyz8c5o/fkubLVecONVJC6iBjDKRkgf4S9/Xc7exJLV
d6JVfaLS2jH/pQoruhyzqr0Ae0w4l1Lan9eUOIsnNMrj7ZDExmsWKmhrk+HF+ZnT5+TMDGWPaFuy
c72ck2VOGeJssLbskwhVRz4IR4YDaHhiq6B5ioKqaE4RUKf71mnG3+QXEKKJ8ryD2BwaabKhWU55
IXK85MXtHJMXJpF8++yOnPWoQrCsfWEN+RYtPQ9U4RPj2LyYLt28JUGH3wToiBWR3FmKiAbxYGAM
TwU4a8mG2c1/znzF3mYyuvKiIG2QFyf69AollvuW6cl9bVJbnyMbCvpTNm+c5kZkgD/sOfDusaMz
X/ik08QYSKrsGkHoHAGpa4pmXalKkAGVSoT20KrfVN5k8I6DdkyeMO25lKJtkvU2faPNM+oUXgjC
KplRxFslW8cRB8FeqjF3OT4CSNz1GRE5awlWozhhZYV53CKmBZgygxkk4kUb5yPab+4KZz1zT9pz
ZiaCJZ3ZwtW/WltkirjNZLjKnXx+Htu2vWjSyXhWY2k8Q/inDuiOkvhJMUWVg2tAOewKWDnbtTHU
Wp3lWTclO06M9U9dtXGwfP+Tva5bCUmIYJMkvHKtCr8J4RbTtg8H2Br0AkxieUK3XLXRcmSWjojv
iqaRybqwiiWlUlvZvdcO7mPDRzzuMfi5r1M6zHcKKUNCBIoL9lw3C4VJZpbXorCLyXpPFCcQwnEn
4zxnEub/zmV4jyKpjE5S10Xn4EioUpwmuiZfLAELmMlF9r0fnD68iGCx8cR7IfaOxv+4dl1B8FNb
dc5L4Ge0MCCMNRX5e4FHvhmBR2cNYb41s68kjKiSRUBLOx5NuNotoF5ERZTfVk2W0dwpIr8kQNnv
yo0mIOiKRhhoL8J6YAerdm5+xEGjr1XqUKg285pMqqnwK3dXKqo166q09e90YqO5mtnsgdsdze62
nBNDbPwkzx/p/nAyTYc2cvaaj5k1RoIu2JpdnaszkeEPYzOrOV+uvMbyFLvDkvgO/m3YXg8ZSVap
RctmVbeTwWJYddmDDbItoinvwpH3yxh3Q5Kgd2dIAvI6sSj6vdFBCy9mtvYNnPK0fGGJGy8aq/TF
ZilPCjYcA8HMlcpib0P3y9smsFKrjdtK9PRMSzHZGyBYbpTG/0Jxwg7VGbWUjKAnZyI7puNAuSaS
jXB6A/A/ebw9NQWifOumXUJXU7b3Yx9Z+beRe6t2Q2csxIqA5IvW8TkcOSEA8sTpxQCn2O5fWH87
IrECW1wSqJh4e0BzQbXPJIzMFQ0FiRcjWQZl5gPoLWQ2Pv4HNEDLrFqDl0tF8QYt5Hw3hEl79R8k
X+OcKgdavgXg8Y3Jon2qC2oku39ZMMcIazkObfQ/utxD+L2vdBPPwxL3kQMsHqixXBiG05HHEuRX
qjTib3HmN0eaGwdqbzppXBUQkmfS0cajFRzUy11VAosqocdGbotFMDSnYTVkhcaOp7Itmt14b9lg
zQrKwpu0Gu2dboAPfn3rH9oS/Ag6lwv4wqVl4B90tAwvbKSTAJGbx84+S1VnUad2vKvCG6vrry/1
oc+yXGphn4BspRl92DiyO+0b2mWKI6InPCfiRa6U6OojjbJPr7IY7xG90ss5xHk0HsZ7FbDJdxJr
3hatNL5VMtdHFB4fr8IeNOIogf180V4sj/WvXofuoqzCEEE4WN+nuNhicHZemeX/umsEj4j3YmFM
dX07PLREVwIB3SBauUaMbJ2q5UZkghqyXGLDvn49H7pGSw/FcoDzLKhzbu39LU15TMFDLe1r00/O
5hkbgpEU2bkVlJRV5zbadhiljvTxP/SMuKhDnRol49J6cw+6yWS3idpiHaDQzfmt69mbD1CsTrRX
vajYmjYNnVZyDYPiSI/sQNP55+vjoSKccZDq4dw8eIOmES8VRb4+B0Q0yRvFUIgVXdV2jxg8Xw5j
wakx2pTIfITdutbduaRBY64VAVubmXjVI4/iT77KYRMLhrbFZ+gRBnPYxPLAEEnOGGptBnl9lzdj
sbF7amrDOL92/dBfoDyHWITjDjRq2+97VxenkYuTIBfLAa5P611lBG8RWejnE7FXdHnigvoBOU5H
JswPwx8I3p+PCxkq3fdFG/f38LcgicZh20kwgeP4HZATWATHzE+/HpGfXWXR3KIy+GNeOBgcXgzp
169LSYi8HV5WMngcM6O+/X+4SGAtd4Foyw4OJsC+48MivYwDjJO7p5iGixsoqOGx4bYMp3cvlycW
olvCWL7A/Q8HeueMui9BwtEc7dwrZ8kI7plhLthiG6uGTsDKijSor8YVt1AlgS0TEQopx8tsYlGy
6rT07PQ8xKZ1TzZw+PPrh3BgwVpUHT5SHA/zLihz0z5kHtiwLoHyZHJdl96bmSbqqavVnT/M8twB
B3ZWNJNcz15HFSQYgu4SvhDkzqAbrvwEM6p0R6qm5N08fP27PkwPf34WkguUUgh+zAOdi466yaXU
LtdlbZW7RKYUtXrwc1Hp52ez6jFGVRAypuj319f95G25y5BY9JqUOcODyYEDCH4Di0EBvZaSfxyy
d4wpuQ5meWyG/7gNYETgUEO952GEooH2/lv6b/bOZLlxZNuy/1JzXAMcrU8BsCdFSlQXMYEpFAr0
fY+vf4t5rerdUMZLWdW4xplhFEGH+/Fz9l6b5u6gLDX563WaM1utoMzl2ayv8owhcgeG7BZ4C/YV
X8qdKfFhZnL5KszgL0Hyp+V5A7aAm0JGeKuGfv8jMjlTaXdMBQZDAIoWqVhlSH1cW8X8nPGz77R5
kntaOtNbpXTiuy6nX01naUh+6BjVQonOqdMW5GvW9gX9KRxdDOHWNZppYSHMVzR/1MZCI53AkGui
5prSs2r1KzHqHxYMGH687o6jIhr5/MPRS53VSuvRcmhG/2FCv33AIpKvzA6h+GIHCmJwhA+Tzt3m
n5fM7Wf69ARNG5jC7Shh1XzW52Bt6SqVZoqX88k/iItUNziOxAPCHfWhnuVXr8YfNkdYTNg7sQry
lvwll/yPCqRg8AqEWeRehpjwAV1bf54LQ//iW/3hRcDOL6AXmAjaoSP+vi7QdMSJBnzYK/hhr0BB
a3asMD5DFde+KA8/MWn+2oOwNWCvQLkClO8zHm/CBswOg5ei6bTI0/QcGADgl4OGkR1wGCTIblQ1
Gvoq70osqg0gqmctDo6UKsFBDPUXm8/fn7CtseVQHfxVeX3mn1RZjbuUwHfPULRkY7QIu0A8h18c
pX9fN6h0EK5QRLINIBD6/QlLEeKL5x3ywgyPUIFVwgcJOG4LJLt3ZUHT5J/X6d9/UT4PdykbjY4I
/S/21n+sG0NJwQ4KPs8QRbxucbICHNaCm03qK4DMHz+KCB/OO2yAyOZ+/2ox7dCsJjTas/u+2Zk3
RdKSwmCD1Zp8sU7/8FvdRGlI62+ySORxv3+UTJlm2RkrZshw1BF7YWwiwK1ffMoffysQFyxTZFWM
PX//FPDyajqNfKGA4SI/k9kcCnpBXjcZjOZu4en/D7/Vf3zep2PInmoIiE3Nt2r65VpbzuCiLE/W
0ZR/Jdv902+lc9Zx0OrwwqxPtVYjW6LhNb4ae7XjGpiJvLbLmgOufuOLG9qfPoqDzuTeKbEKfkaS
hGKsJm1gmJVUnbGDDR+4+pRrd6XaKf4/P8BPWJLbnoIenmsFOUS0lHAw/f6LQR9natyhJyg0of2o
rRJlLIDFSwXCL1mXZWN5PXmpT6lYGHG3zYyxK6kuxPUFXmJWNXnldeD4HWJz5iJdRcQrAvIvXsm/
L97bH8mi0hCxkQCr//5Hqh11Y9WzyVpTCqhGg0sd0l7+YqP5+2PHxY77AQoMRTUpW79/Cg17xNoQ
SKFyVPkmCvJsV9fW4hvEF37xUX+7Sjo3Myb1Lufw7d76aTGVcW9lWBEyZrNLkfqMU+znyWH0OAO6
L1w1w6rmDc78VRX7h69oMJ/jXARvicby0+cGEt2RQTHtDSTOBm4Rhi29fa3bTiI92GiCHvjx2z1L
fbkTgzEc8LKVm4ocVp+utUpbqizKnypDlUetHpcvfua//3U3rpvFX3gzEWqfn0oou6kiNBmRg3D6
q6KG5alXaSFERGV8sVH9vQy60ctYT2j++QHsT7/1tMSMBEsiLQK7GZDq6eDzu/aeQ7e5EyJ13IHx
Nem0qvHVG/f3tYwnEZ+BqbFLwhH4VLEnIK5IlkehTOhs++SM+vzgNIvVfPEFb1/g92qL6u7fnkRW
2t+cxpUJadpJJ7Tv9Fv3y5SjZ+tpeyI0g9yMcI0x4gAJd0dSmOXKjBn5P+8sf/ie9GUolw0bfilI
1d/fJrj84IUxHnrU0nIlyz5ZpdEUXv/5U/6wZCgn6QHdLiI3ZPDvn8JG2SBK6BL63vrw0M3DPYaI
/NXMOG/++ZP+9H0kbhQNIw8ntfVpo5zrELCLMqD3UIl+DKp8+GGrsnr850/5wz0TwTi+BWT79HvE
Z+50nxHf0dt8oQaVe4bgxSHmHoaRH6cyXFltNvsAqyN6FsCGJ2t878wWRArqpjUdGWSDydyht+gS
/5//sD+tJ1bU7QIGYY/Lw+8POtVGZhQM77x6qs1ji2LKK1ImGks7MVrjjeYqbgXFmlivGjBMXX/x
+X97/DwSFgy7smUDEvu8N7A5NkEPe8ZNkiF9ihSZnuB2fhkw+IePgY52My7evBsUnJ++JsHpLQcy
cQ+oGGak2FG0wSKLRq/I6OqTGOeQbOEgktGQp63yaHkztGjYpCjxVkrcdyvia+2niPnLvx/A/3ea
/q/bS/s/O0295eM9ijnoPgoCQ/4KmL79g387TTXnX3S+6JRjb0H0Lm5mqn8bTTXxL2jVtJJuZhRJ
C5Wa4X/7TLV/0cA1HVqbsOxvFdD/8ZkaDnnRROahPWaMBRxW/7/xmd7ip1kv/70N3xhDN44KHWpu
bJRYxqfXZg5TR4GkeZvAl861ZCCLi01u6Zw/JcRm7rj3YgdPVMb8cQAuq7ff6lQvXdj2L02h1l5c
6+kuU2TiN84P1UjvY4Ag4UTUbGW0xwEWjYuR/rSUZnEHPPVg50nhUYMneM/tO7uPVAZu5Y7X1DMG
HfZDOx2ypt1WEfLehfmamRCuUp4aDlsFEQYkQsDn+XcrV9/LMdgaXYMbW/Ky6XuVJJtIDOveWEXZ
cyQ/yukwyOduUbdmsA9HXD7xUXOeUOqB71NntyZISCUdJpg3EqVLrZvvsvrBX0fH5qSiA3QDRhB5
nF86EpZUbK0Oo/u4fiZOYDenBMf0az0IDy2pnLYxe8lyXbKTwLtGTTy6pvKepOrTAipihNbtyMqd
6nyryMcxp7UrzHPSfFsKUIoZRIkZoRxEgjDah1N5guffWPEG0TOJunP/HObVhmd5Ew/KmPbHnej2
tUpkoYMIrDU/lFB57GoYbjPRP5rSPjbhG5MJ6GPcS6+QI7xMJFsNAsOsCcKigssYYayLBLoq9RQZ
1XZRQ2IiqDBOZZtslnR6T5ppkw9N7g4E8szTeLTV8RzNjYs8aDvE8Y+0WU/pG9YE3U1JFyZNxi2U
2BdiQ6rQ/VxoWzkonq6cDQDtHpP/boeXMrkP+dgoRC6po4C4NOI5QfTQQ+4nIy7r9jcQSzEM67kn
ECcjjG0X9eVxILTKS+kkmEHzQE6fZ2uXoGAeaZNW3DSX0BqujZP2bm3Om1YvzJtsCGLjnH+bKKbg
T833Yekc9EHN0PU4buEsa7VDfUBHa12N6kNLcjVixfRVnzikBMYJY9F+aeqHAe7CF+VwmpNntc03
wHNpA9PnGF4qZoO7DuNKYjIXTlLy1Wbx1ELM4Zh2x1zA2kOWtOxkNyB4Lw7ovxJvaMuzNZ9Qj/9K
7OmO/A2/aJC4deUmwEZgpt+gGvkDMUFgYw9x37pGcZija1OPELQ70jveiCN7akK5DRlZZ0zNTXW4
tGjw3NLBq0OYKjZKq43p+/yMSLU2tOylE/01iAucowPJV46v6M0ds5IVMTL3KMaQ6ma7zFC2oz6e
5lJ9l5n5LZo11sGrXLatAj+5Q1yfNzsDpm/ZHIbCR1uyv4nXKGYPA/lrSJeYwqjGZbaGrZMG98GQ
/4pCk5+FiZdnjJrG+u79RZh3/TJ0b7Zo3mVT7qO/fg2IcpGK2xmVxqSggOAetwch/C1Sghfp8Hoo
pv6LzJMPrKUIy51B0uZkgwjiVbQkB6Fkq74J/STML3JBxDs591Ov1Guy7ZiQEn+9xsZ1RZb0TZrp
4sN5tM/KrAu4Q84uKhnMzeE8k7+khOspys6TLUtfG5onxHge2qOTqmZbldDlovi2VKvYNF/T9JKO
8bYms5sdBMn7uxaQiN3liw8Ci6Cz6Ifm1HcRxhbBZNqL+oWImQzVQozs2iP7aDlnvTk9sImOvmbP
R63gnW4ix3IdspVcWxxEZtfXMlKOMeCvHXu6sannpx7l3mKI4VKH9mug5bU7lMY1BathL3G8MjqU
aYSF164atNcZMWDOjP8+b8n7nqxw52Rjv7bCatkGDdqwUlOs9RLxTjIVSIB0xt9T0R7wmhCkAM15
QMOvpEenNOZHM1dfmmy+kKZySGzzTivgJxqHXgHbVw3xRxcRtzQGhhtL66OB6UlsVkLg1JxEW4lT
YDVmTrJvDJITc3O6MMNRvumd5IoO+hCTCFRot53xmg1NUq8tvHz2zGtkKMGRq19zF9f1hGwc11Zl
kDhjBjVA+xnhZDUX3R1ymPgU53DPUtmvHPJ0XHRMw044GJLUSn9ClJvvElJ1dk4nravSkAqGPiti
x1ZPAVLx166nrWZZU/zcdNW4NueoumdhJEjKwviINmQiMU8SS9Ua5dbKiFcrnKomYEep8fbgjQCk
E3AOJgSJasvJbuQaRjc/GsYbpY82IbAZ9rN3Ux2RuqKacnsy4q+hg5yz6RtnFUZVuYN7kiGq+Vl1
4ZUQo61ORtx6Fg/oT/VjgFfYF01FMC5b1QXrAa/LIK3irtGNbq1H3fCDOhSPWEZS6Y77IlQW7H9s
tKK4Q7rLYHIZakKXFqw31qNiTkDFEpuNce7RbcIwvR14ofhuFKrqR47w5ajn+7TqJiKNfB4ymUOo
wlxSkdJdZxfGyuqXHCtY+q2bInUdJQCJFRm9ZCGkflU/hlPV71CsX+N0Lk6GnaTvnVoobkX+5T5I
F4cIetMhKWWq/Bm9pGvU0uHJZNpmRBG95rlTCFjiR05mL/pSjQVrcbMgzeRiGsqwMoss8AzmG6TK
5cRgkmiMaJysuIBj7FwU4k3H3r4xoVu4bRRtgRE9jro441yFpF6a9bFXKQ3sZ8HwdINGXvdgTi1k
N88/RFL17A4TQzwEnp7aOvM2tRYDqk5PunN9mqcN5NkmXn6FXawRfdOohCM1L0tR/Bys8J42jbqC
GsYWIDJi45InPW53bTifoly7XxR7revFtjP7R9EQeYxKmpHV+2Sn30u4NzhBNg2PPY6zDVfNjeX0
aObXgXGETuFrtwi60tzHrbmRKTEdMUJhbfTLPPDGNtovuRO7ZdNvssDhhKpPpZnu5ZSfQ1LrsvFc
t+a2KOhXV9Um0K0VniIkUpRq6JpXSsqrYWjVHc+e0gFCbCL3VVbY39B1DYdlWEJEZ9AQVpE6aOdM
gT/Z5iPMR+ijLfbuRqreohrBDv2Cs0lDMa2bgrzULioVnaGAUcSrrl4YJi2jBGSNqwu1UTuY29CG
MIs1PE48syFulxx7+3BTdPwgj3FCTR+AUGyslB5Mp27KaonuoU9wJEaizNbtkCs+2B51Y4WZXIvc
mFwYu+ZKbwXtUcLXPcLCFsKNDeVBi2Sy6cfF3Pbkxx5JWkm+z/FSP5TAdUBNEA0Gs2IJrkYxElSt
Wcj58OTpBC+B+T2bAsluXZnqNsmm+qUxpsU1Rp0oL3WIEU0rRYHdqpofk2XWsAaZ/R4NtPkr15iO
lt3Y3ZPk9Wai6UdpTFbQndMB2p3CkkImr1XlLiGKc907Rfyo9qO60/nqLgk79j2eXNtPBsRamWZX
WxwX9apUSCFdAlKA8VEQqj5Opsf4Lt83seDUsGt9XrN/6PpWr/TthDtuP8j4VbTtZKy1TjVftEzE
3jJokc/AO7ngwsOXI/MW+5GFu8lNoHw9IcOWO4OgWH7U25iwCahPcB55GlHJYMSwcS6J1F/0JCeT
R2+zva6PGLXzfKFGrGb7bQGk5yq1ho7bsNt+M4JlPk2Fkrw2MnN2k2YCkxJjTpRkkVXDzwUN9HYa
kLEpUfcd27DKhqiTD6L0xkmUzkMszY054cgJySxsLGddN8Qlqsq+Doeb12TKNzxJ7DOhciLgDTvh
9GyktNLm8U5MpcFSQht+oGBv/XogFDyZCSTv0+C7bozrjLnMjQV/jFXtSLbTJZ2dbEdS6SNepycd
KFXSgVExJran8pFzda+3zkrFtuJPDW4FM0y+Kb0GeUvR1hNkvVWtlstqTOC5YrggdboATYCLQ7Jf
0ksITiSOnkg33Mn2jTUI4jUdq5W0wucSAXKVB+cWbgSVH4xqgKbRHne/dFNB7gNEQ0KLQ+NlGVWx
6gfBw7cbD9zPDzlZA+dAVLjWHMf7ZDaqRyFquG7TYjwuWdx7DLxhHdNaAGasiTU60savkuZpyRb5
kKbkyRbhwuQks/a5TSYhsdjrIMjKcw0/hjw/Fv7NLeaqhL6upkrZh7axFpV8mLXvJblXenWDWjeb
QMVR300rGwcT6HAEp8qqCrujsHlICQUljma3BzoPKNijbfmrmONVjS8UOyT6WkjVTXKqtZdKq+uf
Uht+4ni+2bvI040ytVmTzmd6mqkqI29ZDDHR4gFwGRjTg7r0gz9hvvAR7EBVph7l3FDyQ9GFe3o8
d6HS9vtC7S9VhMIotk1nk6F0x18RbSql8c3WCNAYWvjOgqKdVhnDRm4sDQxcTgub8Hoz3SwijLdm
rOsvasMW0UaWheUwbS3yxFV0el2Br7/N6nOkx8MK0W2MYyl0Di0o65D7m8jXAhkXSZeZscW2Fu2V
OCueJkWRKxiO0SWDBAN5V7dfdAb9G0ttmk1HiCUY62WSL/golgvw8uEpgeB9tc1ebOmQd+u+CcjN
djJpvgizy07RUCenrFDktchgv9dlZiA/J/CDe81Y7zQ1zl9GcGKPN83G22Rn3Y+BemPfLb2yV61I
a9d9rXVPOOH7c58WyV7BXfkd/S1W1yEdho1BfNzsmjKXd3K0utfOFME1xQjzoPUxB9PQBtS7GFby
x16f9e+LZcB+pg+pFe4koIXrspq2fYIJUcAYfjRprq6dIp3uUrNSD4sWcxezWaiWnWvXQNSKD0hG
Of2Vt5E3dk22dGxCWbEqtn7AoN0NJl9bRw6B5YCZm+ubYzbFC5TngEUzz96gNsYV4U30iiejaXwd
o/tLL00CBA246rj1smnXhImxcnLQPyQT7RaSX3ZTGDcdfexGPEwaNicutL3pi2JOeTQDB7XTSk84
cfScJYaxqq0ivEgxRL96A72u24YG9r+gXHqWlh0Fm8WswRkEQlsvvc0VERPzfKDlyhkhU2ffTkOA
j6NYATfRV8lYHCNWbSynnXbrsbeLS/uy9REIjq7RWY+50lw4d1sXHVPjBSZ9y964qnnEPSaFvx9w
o4ENTix4DSZVLxbtp8wHy9UB3NMAir1hSvKPuY+7uyFLdnGQD6uCm/qqN5HiwahepTJ9LQORbYQd
rUdprBKdPZzYlfsE9iqG4ZEyLP1WlJPJHV28Nnl+h9W84F1Xw0cHaZyrkq6B17XBCW6LESrPMhyy
ketl9GuhW0JjHze1+tJHwU722Wo0tN4VGJjdRix7R2Uo1GX6Hr8nRspx4d9l47EU2XpA+u9KbmF6
lfvcSm/3yHsQxswZFjIEraCXPp16a3lKyOecM9oOdJQcXFBlHz2qcUeXQC9L4t6XnWqXW7Np8EiP
WsitT6tOovroxHkpqbzIg3OzJOeWXdmellomPALED8pIS8OucX85vpSHuF7ros54h2JguWr4kWjF
Osntj4oA46ciV07tNDYr+8atkTl5nJpoqboF96s0qc7crHY8yp9ENguGKIGyClsCBMPpzRLWhU2O
PZ8JKt/2JwbclVq9BgoGN/rYfhIMo1egH3a7+nZJS/DkOllqbnDv8+ejw+GgUp67sF2RtsDFVFaH
vln6g5pa2rqm+dwGllw1DmRebNsA0XP6hSZRy2oTrg3nqGfrMEm+1ZZ2DtPqXYlIxGO4CDtBSWcP
VjbOmaI0NpxCWAuyIiXXNO/XRIukFBIVIqoyr3GRoATIRdneh1g3XVKJ2VpynNTtY1pOx6B3qDLT
8rkJa19WzhsMl8HriiLeaGp6GtKt7O1r3+HvF+ly0hoVAn3uRYk8hYGqM0DugNMk4AuqoDVXrV7R
d5EzLAz12EuAU+zZ5PoV7cGIh8XVmlKSUyAAVuHrAwN2VGkIrTB7JW/hkrAIrbp8WcrplzZ2ZMLc
LqIE5Sar0BF3aWfsJVwNmhpvGabboxFax75VCjpomnbuCwsH0ahPZ2bZ9ga0ti+i+VBirexj9N23
AxCTOIeMLU8W68C17atsqvJZH8FdG0QqkTDUEbxZYUiYhqRx1ajCpEGm9lGh9XQFXz54ISQir2u7
uyZdNlYc3ucFJT5C2ueZu/eqXuSdLkKeV5EvKq2ZFjCLUaxz8mWLMnxKSz3b4E2xDhaiQxwg0a5d
4CAHrNImmi5alpuPOX3G2NGVdZhDQzCyyN6UZW2vRTknm6Swb0kEpXOvRPimxvAiFmPPX/LMmXgi
ap1X3nmTADG2TNLZChPORkC0SE/wZGnQoSeiJVamUl7qAGE1onVgK2m8EUFG0hQMjNVsOAdJBVQX
0/ydw0qj1o9XAy2hY59qtFGFClZCnZvLEGvVmdLgpHXtASCj7g+jofvOmNynUrEZN4cf2hClq8Fa
3rHYCtfSQuc6ZfD4+7S8p4/GJtkAHgDzXt5baU1QQlb2N/fl4KzbdBH7yqzM4ww/41wqIt4SgEfc
+djTm5lJGYanStaKdsmsAHNrZT3rfQq53el8YVfVhYNnU9SqJI3cMc+dCVGlYA+2zeSsWfnVMfGc
D/rPoVr+OpX4RQJAFyzRlDAAO/WLpH4y7SndhgY76tytofgT9SD8rq+fdet7jODoTGiTfo56cqJK
3xb3Q5StMvVNoR93dUpwFJqF+UTDv+hyEzOus5jTjdMtw2MR4CpanKk/J4Wu4CBMdw0xLScz6sHu
JM43shsoFGOs7fTFaLSz8fYFvn99zEg+lpVX1XPEN52qY6LiwpQB/7EXUXqIqsAv1PMgzGmf3HDv
DX5hsA4rMZB63NQAE0qDuS0vRGLpkpJ3zihU6M729S6VwU7VlNNIrvHAzKIiNFzETxTBAj2O2II7
Slam2eHh4YJM//WFqIwWGlBkukZum16LmeJm79w07LlpolW4953aE9z+9XzbYGqcKouJxWtaE3Zh
1qV5KG4IlSDujW1hyIgOAmVX2bUtrsDcBC43cw4m1a9Iqf2pTOsV4ISIUcmSrC3B9JJut2Lu1ZTZ
RGDaBFt0+TuE9wMBikdadvou7dPXZg7Vw9BbzT5Nx12eh9U2UXPb7QOoOG5eEc2j3aSuQCw/HDXr
NqPoj9ntsSs5b4ne1vshzrqVNmM5EzrPsvkhtSBhqhNMAQiS8Tg6LPI4sIk4TJo1WNvB1wGR7XOt
fe8ZND4mgfURFSjdQmPf00oeo0JZ48nlRAolia9JzyFZdKpGBHTe4uA239IKHE8qB/2xcsZHlsGl
z/HFVHr4QfUjjuCM9vpomYfJVA7hkOQwi2kFy3mMV4WOjX4gp1bNUhWnFNbSXhl3gMIJAF+4UJbE
xafJdOHWcLbC8EXpcXDnRr4xlzDZ1InY52FcuE1NLZDl2M2TcW/kFg4JAXQe424OzoOr7YQP0MjM
FWk9UKBG6erJKer3dr6108ciPaFLOHNtxYhor4PZtjj7rWxtw9Ap0C4UOGvduimFn3Mbpoe4dqrm
BEfoPBjaPWRrjJxNuuqaRaG4kWcMVZO7gBddy+xDcVycVCMAh1LxygkLA87Fra52F0jaV7PLw53Z
j2cNW2FDgjnyv/muTxkc1erPgIBpuuYxXrm4C72E/+Fs3/JWUqsjuN7EZpfpM47172qj/qLU3tqK
U9wsnGtldq6SEBquVecu6H8WRqwfndaQblzm1UqE5nielfDQzNzocMa/dKGpuoSPcXDf5Up2L8OO
RDm2rUXuFX3eFp2R+ItsNxZ641G20ufxxx7aYeAc8/3gqOeKM29Un8BSUd5B3cjHTZ62jm9m4Spv
2is/q0uhlHvBQJHUBvIy34aOlWRnxicc5k16Nsrl0M/Ct/k1w5AGGdyV0LWD6KeIwhMp9bB3VEFD
OCt3oSlfbI5NFxHxnd2ovhNerFuTXlNIHImxAc7JeShx/jo6L3+flMs51nilRp0wqrS3zR09lldZ
l/flwHeZJrkreqZS4aZewEtFiOdzU37DFe72rOlRJ26p638OEedzrfqNuc6sOylRwFvRzV13qoMa
9XS0zrg1Vj3vvfYtExpps0COouB7yNlmVSP5zSvYlY9zc7IK5WRM/Z7RsOeoRNsP9jmOg0MZODVH
cZJQApL/i2xj1dB7u+Lw7zZGKRzijmracdbCElCXq2TG+1i3k3mFtIXVHZPVo16OScQQMQwAoptq
eeCyvDcg9nFVQ8IQ9tzvZsMcfZ1VnHD/oGNttD7YB8XVFmUHkCPc1przIQu2RuBmmD3FAuOmjDi4
kXK5Sd14VpprnjDmG4DHQZzBJajqCzRseeLLoT+D76KiUskmAulAPl+p3Kd9s1ey8L5JUHM4xjlS
snTfRPkGDSx8AdkdMOFEe2ko4xo43wu+0PPcpDstxF9fZZO9op1nu/CUey9pwdvn6nSANWM/AdX4
BaF2dGebeyeUk4iiXF5tdkA/JnXAb4vM2CjEEh0U0W0TI/PLYXnIBZg0bir3AyiJ+6iLmKRJhe9U
xRRTQirHKmrXedqdl1q4EWYLbJmbbn7vgvqsmg9FGWz7fMBplnGPa5gJZ+VatGKDvx6ZVeWKTnKf
+9kC1KCs33ZOys7C1rWLk2Rd9MMGOfk6pv0G+Zw5t7WWMFrLW0zVLQbXPCba4NnloSsqPzIerbQ9
w486hlF9FwsCu7CD2vpY3X4145vUi3bVt6nhdX0qnpXOgt9lhdxlQLzhPF16vh0avXVsPUbh7KXN
s5HNhPKmd8Bq1mGzSzDMT0f8HRsjfJdcw2G+YEe9yQMwXTTCNbNforqdtki6SCuBKPVqddNa797J
F1D16jVLmrdgVi7qeJMZ6H4If3+BCVMhXmm6Y5YKbNlvuOi8iutmwjZM6BRWzlWHiSqnKZNZ5GKA
zcSBjs1GknAc73Gc+ZWtZn4NWuaxqsueOT6dvBR9vGf1mbpbHK7ablBZ6kOS2eG1Cdv6UuQ0CCtM
Kbu2USQMISk8oTfxDwRVxgYcW8bohn3Ia1rc+czqy9StaS0wh4xV55A6gXFTE/BV52g+VVUPyFAv
xk03wBcq88J4LmLB5W1q2eoTQX9Rktu4wux1xpurfTNt3mCzmjsauVn4qzXscKembNGJoZYvvdYN
M/VqNK2axKkeIDNa3pIl5yzUHDeN8by5iUHqOGQQ+FkC9h/lwONEUe+FRebrWstgD+6hDLZAm65J
ozzZHVwjWqvfghkCEtwF387YRDEV37cEDHFYPd9kiJtyJgkgGAu4dVwTiljxsCOFoObKYA+zuPbT
IHsXiXVhePeMLnMnoujXiIyzazG0d2jVO7x5lCwPnePsZUCft5rMs7Tp7aqBfoabQadJIiCrmIRV
wSu7fOxD9aJHrPs595fBZCxoByPoJZW3ZYy2FVMNsu5GV9G7+3mcbsPS/NKM3XaRxBBlxhlSz3dF
mA/6qOwTvcOI3WwSc8Sm3o4pP+WibMM0uWTwWKkLw+ukJvtc715JjJ8BiSyc4EZkbqtMWdMvHV1p
RNd60i+5in1boUtd6ro3Tswfe8Y2WnoitAsMlt3/MNNfjdYrnkpx73FLRUtCy1cH4eNyE/3VRfSz
gpGjDeATMobKR+2VgcajOM0gWEZKdGfo/b3TkcFCYuJGn9LvvUxJLQ6rjz6IfuhqSXkN27KZRAFB
Vtni1e7cMZq2haJtdKNe20u4lxZjIISWTLbDA4jKZwrDO10DCgVi6TKpeMyj+Q5FnTsHJizKPD8m
OsdpqTu8fSTeWPZtT9ZgZAHjCMZ5douWDgksD9XFbvpaLfbGiYa9Zky3AWNArLL01bLKNpXJlSXo
vs9Vfk6ClrPfia5qZCleDTPAGoKHHjuGmonvhTHvjK4/d0WyDulVBFH1SxiKSoyYfLyxIMa2ptlL
lpMqCPLr641TOPrWnot53eWTToitgPOI4t0dM4MEGYJ6cv0y5O3OAkoAxSR806LccVVL+Q4Pz6DN
qP1KtFl6ReLsmYKHbu30l2jSzoGc7oQanpUx8K22g63XnouhWSv2/GDLH7Jfx5l6x/gQaE2XrqBn
x1xgpJ+Rh9px90nVYZsl8YfJeBRgfq3xTqpA6MRAqaGdYLYSjEGLJRc74mq8Scse5v7q2Ls5Flun
yO+n/CpSxe8666YHMEPGZmbjcUnl2haku1BOh3q2waOMAuBFBLQA2OnBXtpsVWvBmTQibkIkBrgL
8E2v5GZLR5niVu3aaV3V9iaxQZbVKTd3Ce9MvdH0w9z6qSz5ERnI1ezjlbKQaVj2A2GPdOu6VmdA
k8x4FuibA0NJPC3soIvOexgrP8Om21tSe2DURka7c6LHsee6OoP7Y87J/dItLZxi4ZDbG71GHFqU
m7kyN3C2wBwljeYnXS82N3U/4UtDxZJjIkkZhietHI69o/4kTNF1DP2prvIfgZ3jjB0+yI78qSjB
Ru2DEGQlx7fom/fOSe6VGyeEs/XBMam2B4s0bKBGIjzK5L9IO5MluY0tTb9L7XEN89BmVYsMIIYc
SYrMJLmBkVIS8zzj6ftzStaVgUAFKm9vrknilTzc4X78+Dn/0NCWSndjhxxU+EuGgevp1iv6Kl+Q
/nlslElUvDL1sU6re6Q+nsJhlncZojBl72Q7pyCOdtApET+BLzmm1J/i9CtJ7kmu6h9pF34dGl87
8HK8GwfleeqrXzmNXQR5Monyt/RZ5mgrFKAO8/Q6Gw06HgVRMlDtXWebPygfC19NvfOisPrAXXyr
2tMH2w6Rf9MPAqVhpcqeJv/g6lk4McVkRiLXEhKF93GePVGys9A/gJTvDOW9hJ6kUEMAna5MvyJs
jwn4ODUOduemMp3atCndQAru66ZEj4OK2U2jthOtDURLrY4KXoEEn131MpovjFQp420UQOXtdSq3
AFQUoLTOE7QI+d5PwhCnhCz70pjprlCln3PbgowKP3eSdVCw4t5ZfRx6WmKHd1Eo6KYlXbJA1Qr2
o3KX03jY1VVQ7Nq6pN7NWeV6kA4lGJ9Dbfb6zlejX0bs/DHpHcXpWKVulx2coP/emp1r6/d5SQtm
qlnoMI5cC1XXHAFCnXdCiI3R5N/oJRAN03h22silaWpQ5Wh6b+rxsZzy8AdSi1+MUQ/v8tFR3URN
jZ+aJP9CjZGYqvwYcKzlYV1+UyOU8qYRUQ01EF2pn22jfiuAQRp0UuPW2EmcBVBFKEv2X2cH2MSQ
kkRpanbvj3Dk4+iEQssHPted5IBJo6X0IU51t0TJr1TpSaRgIFK/vJlCTJIenPBxbJ8jK9bd1jRP
sVreIndzrKr+k52m5UkuOVqG4n82WhOwRAcoZlKANTrDramNX424Mh8RErZcOrp/zOV0EzjZnTL2
j22EaJzKEmrq3gpxuqYidjNkpnRoJbKcQPvmFx9rVHVp2M17SfNhzXf0s7LwU0VtmpLcjR46HxWQ
jW0wvgRm+r2aQ+3QDvEfjZT82YM89K1XjbShoek7GEhFku+r7UEaDmVymgwU3iK6sEn6II5FXOzT
cN4F8ZdO7fZO9ymiHjB4ie5ONe9amSZHGd/MVES0Ccwh3HhifKTe5gYylfaQ3IcW0DBb9r6Ezk55
MkTHPcspOX+sEDL7HFUo6NQyEwWUKt+qUxu9Wkk+HzPI269oEyReGvb5HzM4yF9aaHPDqO1eSbiJ
siEKH6PMGCYXUp5O63VqXxKQWo8AarMDYlvImc5dfDdJrX2a5krb22He3GMFGd5nRhL+9LFW4Urn
3arhecfTaZT3mY8/rQRt4GagR/oVV/QfsFwfaiP+YVX0klSkeOm1tDR6JEv1wAWW93041w9pHCaP
sEHkk9L0z03OMso+VVBPk/Jnq0yQYlXVTrtVUht9yi75qw7qHTEX1RZpPytCw9l0w1x5KprwBbls
wGzmcxOBMVWivBKPqA9WrqqulBPfNJrtn6vYlD52DoVP7QfGkqhLROhAdvJDXCYfqsS4CTr/KFGA
OFJHkg50mDOvQiDkGPXthyqyPgFkiz4NZukCTAY/pebjbQ1mGqnVJryx0u6xMJWvUdTeFeqfMe7S
Uc8LhM4MQuNDS38+Tg7JhCQoPSo827/a8sMAj6Af7hUz2Fv0XALzQ2H1R5rkNxWJnaW8SgO9xVA6
xp2ErEH1XYt/zg66idEz53ZHPdgBPDR/R2d62ncS1b4AZedQbYDU2NP8Q7P8u1YGe2qYhYl2xVCS
LVq3qFF6VEoeg7g8IUMDpCkAOKhGL7WD5Syvl4qogvxW3Hj6SNoU58CzpA8FSvs1gU+NXF09oXv8
obL0fm9Hnaelsv8VxZpsj8c3tyygR0Qs3HEuXsIcmd7oroimj7EoJqEq5nuDZDenqXF44Y6IU9f9
H2nn3Puoq94EaEW56FqNJ3WOAy+16m91Zv1ofUrAap389GXJfqY2GO612SHzL0PU0AZ53+eiEwCS
LSnxme2xhHAR2feURGQtdWTuKpvLNR1N6ybFUrQ2wgeMvPb9qLzMbX3XtMB0c+MQTQGA5dj5y1EJ
khRYpG+WMiq7KTSCh9hE+dCWZnxLhgME70MiIY0qRdCYonjsybRUnIHn0b+xHP+vUKUH2AJ5lZz+
oerCe6t9jRoZqI5OkqQb07xDufoHly6HZwAPV4xfERz1ihy0q82lTrM8uRmcorxBAtlNMxRN4z/r
sgGJrjoPA94bNx1/YwAevTFIs9OybtFMaai5pmlMKBlsL9LK8BFs3Q3R2aEXYVEb7QovcILPUxsU
Hvw56xWxkdzFe7t1A6W8BQDwUEfyMz3ucNfp6QD42sgmL0mbjF9Bo/Y3zeBdhIun8jX/o61fX9uH
H+XS3uvM7av5r99/HLwW7o/2x9nfeL+JCx+713r69NogTvbbGeyf/+f/9g//oT98nsrX//yPP4sO
TXr+a6hD52fMCFhJ/zOVYh/lS9Mui3/hbyqFpvzLoNOPaRe2FVBqbagMf1MpVPlfBq5CgpKEyAR0
BkgW/1ApLBmWBd4yyHUov525+JfQ7WvD//wPw/kXuj8w3Wy4FJoqa8p7qBTnPC9Yn4iPUK2FeQRn
Dk8/QTx+Q8rWNJxLnNwIPSCjHR2S1B5uyeHCL06htac3i/Lhb3bGW7+uc26gGEsQQyBJ65BDULGA
OfJ2rNgI0oSXYeTJ6DP/hHbamNS0TaQpM8RMd4ZEQ2lGoBwceZ6+zyPin8FNE29YBOFMTRBa3g6O
7HEb55CLiPFSdJdLCahEp9JcHSFalNsYurX97NYc0Fm8Pu2F4M8/Q9twzmAD6/yCBcMNPKAE/lUL
vVKL4FpISuRN9SQdEIAcHmF1kwKYIzj5JqjCw5SB5Q/AQp/UIhEc4QHEwMYPEmSrt+SZ3x/CkRHo
FHxVftn5WiAZKic0AkOP2Nzfp3pBGyk22iNbct77c1X8yhyESGgvdA1AlCTZq0bifLSpBvxt8/fn
+H84hitbYkHL+702SOAYKqQ7tp+qLPbf7Ct1xosPGOUkxQ9xTht5xzvCOZlySB+yo13+ofBboFAO
oBtbgL3Vk4H7tn4DXh7IvsUb8x4Mj+y4MYCSLWPZhUjK3z/QdtCJ0k1MZy5opSOySVgSAKCu7CH6
pMv9SAVNoBBq2/BqYeuOQk19hwB2vgfRFrk8B5oNpydl5YPBV/9t4gJDkGhx/sFsXH1D37exeNDr
ETHBUne1uU4fIVhIJ2TzLXcyAmgbU1An90mYkH6NZt7/sEyAt9c3z2XAsLBfwlsS4Ti2zlJLDbJY
5+RNkHh5E6t/1fBB92Cv20MLhvJwfSjx7Rfb9O1QxmLWyEj5KD9GiafKFYyACajkbSX5/ndup+lD
B2h0gz2+MjexusRqnAwd67dO1ptg2NZg5NSkjUljlRZd2bQ7BGYDPqAmR7k+N3HmF3PjuCC/AakU
UpohYuWboXIjUyW5ldlWA63iNkGcbp4N3kLUJnDjMH5YiW5tjKmszg9RFQrABCIcwM8HjaVJikaw
/Z6Zpdm+y5LpQ9wQErNUar/rpCx7oxzp/aEVxLO2JUnMhbUYj0jrQ5IV6kFpY8qnKjCyL3M/Ui+/
viiXv48wgAoQYgEQq+WluBfRKq3wXEi9pmgprSAdS7IdDdRfdH9jqMu9Zcs6dkG2xnUAE3sRdwrC
3VAXeuzRN+t3UhlRsOSHfQ6qtMckwwo2NGbWpoagGERfx2KOhvjzN987G4u5QT8IrrZOiwTHCgPC
lDyezFJ2vPevIs5kOnPjuiV9OB8K0wViKTqtHnkiyJqavroWh+l+HMYtEb3f4fl8G9vIaQgTbFQs
AVIsrrZEb6xIDrGXUBOHGJ3p0nRb9IC2Yb77+KcMyOjc2F2A6nFRT/cFjtX7oqaYscuKyTqBN3B4
a03D17RR6TVI7Wh6Oo/bDdHEy9PGYcOvzVRJQlSi1/mSWIOqOMDqEs8vlWI/tDwKlC5I98Q3zZUF
FrvNAeq9/zuYkLoBJqFsiODI+aDAyvAeBTfpRU1Bc4JwCcKPHnyIKq8m/fz/GmxJI69sdUZRSOhP
O61+J3CBaZiaR2nG2/7fGAn9JzYW2om/fWbf7mTbnBLF538gCSWFm+pBAOmC96he0Re4PtRKwBJB
8r/HWizhQGu4VlCs9hJ8k2/DCpJSoIFKxkpF8WwNsAYeGgXsFruTXoQ0wwy1REgyWIh83sphUn2U
xtx3i6Er7ymFWB+u/8C1KIKsBrcUZGcE2xas9h425tSHBQArUtuj1o00glrb/KMLneJlGFT/eH28
lXSJBRE+skC2kWVYej4Wctmac64kHrBa62cLU/t16i3RqUTEyoQx4wxf2z7MP+SDYdOHwV7uFCoR
jd7USWYa/qov/8B6CSCjGelGs3HDrK0H/H4MwkVI0Jd2sEPgsN/CHtWzrh3+mOZBkm6MopKeCbLJ
XW5OxcaTYuVgk8RaJvKBhi2UZM/PWDe0mjVYY+bFgQLwJlO4NyIILS+txV9h9zTWGFXkzsfr30Hs
u0XYQ6BLSK4pQpxMPOnenoEkVHCWy9rMS9h0VAgm36tGtdjLtV08GQqQ0FlVUpTEgvGmCCxlYxus
XCYMz0vid0hDrft8eBUeVIbTaeapdo5OtCMjk19C5QUqM74/iClQm9lxCkkKN8r5UEZBUpy2A1ey
VUhuU/TNXdw2FkXloQ02jvvax8Q6kGsEjV7kBxYfk+K9iXR9knqOT9/dzhV7n6S6ASZHVSjz+eOh
6+hXXf+UK2tp8O7FJN4APAgB9XyCPRBzn4JV4IV1F35qfMt3wVxPdyCU6v31ocRnWewaTK9ZS5Rx
UJa80MCwjUAZ4EZ4fhdrMIRAcfip2rlGGLY3KX1GNxrb7ASV9df7B8Yv/He+I5QWL7fr4BPPJRd/
1vFrim3c1zxUMTgQoKGm67Dotu3kS1o28db7aSUikCHIlpC0FBoni+VNdbTJi6jkjgBW+ISw3a+5
QWoXdXn6fQW29NdnujYco1HSIBqQxy8CMo9sHii+IrnQ5ij4KZP1ksxz+VyFefoJeSt1Y2VXx0Mf
Q1YU3vfc8+e7pzKlSlOlQXLLsW2wUwbR0OhklUEvSNxZu/EQvNxBjvB912QGE99T/Jw3WSSMZXAm
XR96sw9vkqdve9smtFDnVO4OUlh/SAC94jxcbSzrhdyGjDUjKrWKhZAUcnfyonQTZQkmD44ceo1C
GuOaaQbuCRDpeLDi0flYaGOee2PAqb6x8XJAvrSRpuSuBCd4wvClBtRoyJSS5THoYIjL9V9pgRAn
gLPYebZgWDyF4OUB7fsZcudFoeD6Ela5LMwRDPnDBBwPnQ2cMyQ3CjT5O6qTNAV9qaMzojQB/K/S
CfSNeLSSfgC/xr6aQAsLEt2D8+Wu9Q7G8QyMs2qB5qblWKI8q5dgh8bYTWyY9f1M3RaWcepi06Px
z6SMarie7tW0UnZSkk13ooPiSaq0JUS1UhTgt7HTDZULiLi5+HVqNMTRgCOAB3lU3bXGrH4qFPoQ
iaoYR7whadmoOArg9QXyfBi6w9SNEvg1gPrXD91lCHVManoUlIAqo762OASZpkx6GBmoKCmYgqCh
ku/aYg5OWQ/l8fpQa5+EVzP1VKasGZRlzj9J47QA4hHi9Rp6oM2NMmn1ba/RCY4gSClg41saoo1A
iFTwJv+UpBDa2zAOtmuas31rVm1FrzKjf4Dbwx65hSLa2DWXt5jQTTS5UUwUghFCO/+F2EmmYdkG
oUfLS0WMTE1o3Eb1PUB621OxHbmBV7yVEawOKlaFZNmikrYYNGjsHlCgH3jdyAmlbFaGR/S0QNHU
6OB9BRZNaRW648aXF9H7/EYTBe3/HnYR3U1JHkZ4EIS6eIhPqa3RoaiBt1z/6GuTA6FJhqdwb/JU
O1/RALRUWDYEn6jQzJMxQ/zqkqH3bD806N0gpTKO8ubbQ+za5dw0+sjII/IAwc34fFQV25lUKfTQ
6zOn+KhOoNX9WEOqwJDmTw5A9L0tEvwkBzUMmQeBBp7HW9tdfLfLH0GJXrNoE6CSef4jsFEvarWl
dKxnSvVd18fgCCCvPrVZMj/zafsXqx7CW4NIc2qBOZzwuyjuhySXaKSr6gPKpNGv61/jMvfF40BB
/Ims29DQKD//SYrJW7O2qBqRjZdeM9Y5kABr2EejjYEWypr3SLNkhzaiG9VRmHWvD79STWd8jXqu
UH7CxULckW/uwE4Zg17yGb8xq2bf88LeZ/Ac7506HHazpI53Bag6eRcoafyzQcD4AYC1VbuzH+pU
GEpt405ei35IBpNsaIhlUVQ//z0KDlZ9VWPfh8DGdFTQvtmPgf1sB5Chr099deURz/1dm9S4ls5H
4pmXYZ07cg6SxDhOta5/g0Zb7rnDsJFtJdilMOy1o5Ir4aPfj+q36+OvZB80ipBYVBFTQiluOVMN
gg/AYSKbTulvqvxXLc+7z2M9dEf6svFJBc2/G2oUnK4PvBZmDFWmfSIsQ3j3nE88m8PRQj2FgeVS
YHic9A5ytr6xs8TyLc8a7ThE0UWjDhuE81FMzMQoeeCgiUWv7EUyagBhY9SuU1jBZ60G+nJ9Vmth
zRAniVK6Av1e/PmbjSzNjUAYMd4cqdOtMdcQ53O/QrKsrOh0+7Gd7uUMW5aNbbS2YU1WUcNKygDv
ulhNGKeFyYMn9myrNdwQ07gnc4h+6dP4b6SrsM44ojwdmaS5CNwhdm3CeR5FnxmnaHv2TRLUyerc
nkbQixMK/Kqk2B8bXLC2DsvqLEW2TCEUNfblNRxZ0KstJ4lQPsszt8sKDcmnOjziLqFvRIC1jWO+
GWpxC+Z5OmZ9lwFAFEJPtlnjGI5MO0ifvN03SB5vbNS1jYNeIx1lSk90lhcfkAqLFDkKcnV+CiGh
nm37ofRV6KAjdJ4okUE7T+lwuL5b19aToeiKkHGydRZht0q46OoRvZMCMowbaLa2bwqruel6KKTX
h1o77oRTYqmGAKFtLNYzgSfvkC3RE6S+hoYATcmpZL9eH2XheiI6e7R54J2SrRHUKAKcn7+khf2m
s4QoOET17aTW/p6mtUAuRVV5BId038vo3CkWoHVLBzfoVGX7C7mX7qA2VXUk94NZ0sP1TSSFzhT0
f1fHV8azVKPcCL1rn5wOIE16S0Uo1VjkdxZmdAlenrE3Q/lCswcGW1kbGtBiRMARK5yBb5raHxsr
tJICgQpAG9S0FYVztEjsp9Eq8qTG1DaDbHYPPutFa6P5eYKGjdckOxwBofRYo9i5s+f21JvqsNEf
Xpk3XWrwAroG2oEW6Pk3kpo2xRmb/EeN8s7T5RHV6LGOjo4m6SgNWRHKRcW4sdhrLysqNCrlNXAK
kJHFr3oTmRsElYKw5pHRGWX7IvvCKrC3QjgYcy6strFQAZKWQbtt+0dJyYVaTBXFe1yPaZdd/wgr
547fgjMBJVVi2fLB06G6O6KFgre6Gch7vO6mJ9zBNVfTpn6jRyU2/OICpDGF7C9YT43TsTjiXZo5
jaQVgUddG6Rt5rfhNy0zM+HoKCuHPAiTVylM41sMEBHpwI0CqPT12a59bwqAfDlyO13XxWq8WflR
R0Fl7IrQo+Gk3+VdoZ0Gs4tOcEV+VUjogePuu/31MVfCNzUx5s0DX1Uv4BnKyLMYdCJ9GiVKDloc
9CcEZ+0TxLv02JVJ+Hx9vJU0yuHal6FacjXay1qKNep+mRsoBkRAFzysZfK92aITAHfrzw4Fnvtk
lrfazSu7iMuCE0RRjOzZWexox5DGeMxppHAbT7C2B+OQanK010Yj+Xh9ehfLyUNF5sanr21YSP4u
hqrosM283hMvlsCE8zJrDnJBuMx1CU0rX94SML48rexVbiYUpKnewoFe5G2wptUMD3oJ4lgHdUIZ
cCPUAEEIRWPnKUqU6dTKluM1MkpWRVmHL/CtwHpCv9o4QCtTp32tytyPukqrcRGtmgGtE7mlRoWX
OWZzMq40iLzBubKLess58OKSFLNGBdzhNqYEZC9OSlwRtgI06NxM9sG6Q6efzN1UAl7fCEDrAwH0
EAOhrC8m/eZIZi35DIKLEjbGfXDyFcCHOQ49GwdfuTj5PGjYoGxNxMAtSoznwxSy0naTkD7Ru7o8
GDVWZ8akq/dhH/jfq4aOrZSY3cnJp+AZpFj7pIej/i2TS2MfND1o8NwZb1AJAFGM2BfEMjzyXvu+
7ja298XpFb+THIi2N50fdRmhnGBMHaFRBFl+zG9VSQt/Nkngv2C748S7EkmVbwUmrB5syy0TkItD
LIbWZDqNBGjeQ4uNbmRVP+Q2DYrCirGjHB3zy9gq+qmTkubz9UO88tHBFpKEUfe16ectPjpSyomJ
oJXonE7BbZfG446qevT8/lHoXv3u3eFIuQTBzP5Q6Dgls7V8tTg5c9XddWW51YdfmQtNJRouaEYL
JelFnjdDU0ajcPLBQlfmceL9g0aDkZ7ePRdEq6hP8UCXuawXl2fkBLC7LOhX0MrtY15hP2wjAbTx
1FjZArymeAojZk/TeenUJ3XgudGOEz2qKDsFYavtYRimLojfLW+Qi6EofINWFF0NA/SCEPN+e+7N
0rIzyj9IhU5j7Y26Fr0k4ZxTcMuCP6+v3cWZElrinCdZ+FjRIlsMNeiAmNMAa+agjpVbRDp8r8ad
mhxcMXcNuhZP0Pw+Z0OrutcHXpkjeuW8aXjZc6j1xV0FTwG0FyBId0js6CnFld3Vy85GWEO1N/bH
ylCm6KLw0OdkkcqfL2cZyIEdNIqD3vEIMKbtUcgxeAzfYeiZTN71ea0sKP08Gn3g9DB3W8IEehPg
uhEOqPWM4J2h79jjXe2D1bmRmsb6gUZs+WLAIRVwbwydrw++NlMqRGiOyKBqLgAiCdzhMlMQ46pb
+3vkU57MgmzijANKuT7S2jQx7qaGx7UrVOXP13TWYiivwwTyc1RNhHfbcXKpx4Wf9G4O7B2cXx2x
DCd/Cfwy/nZ97LVZ8ggH9CGMMy/Gjoxeip3eFDh9cn402ixP66mnaEq4hdu7CGCmzCuf1yqdfPrw
jnY+TR+UqYY+rOOi66GcRnnubzvJbDYmdJG8iGYSGFONooKuwQA9H8UelQC1Sk0Ie2X5rZlOwW6c
tPwRZJZ6DMbGfP82sUjzwQyjnQrtZHHFGCAIaorb6GhFcK2tsIk9uuPSEf6DsXHPrE0NfD1oOLrC
l4g4VK7VUJY6FIwpK9+2BXR8hGfQFCjwLVJdfWj76Hh9eyw85agusJwO+QGfjSuUvz5fTvSweM4R
V12rpQKE7U2BE0w6pYpXTEH/KVPMAfpYOmHZXml2DXkQWUjJmRXE5VFtc8xC80zYI1+u/66VbcvP
Ep4fPANoay7CUC/VWsP8bS72MP8uc8X3bhD002Gyx/nDu8ei5y/WnbKxsF45XwKj0P1pzNEMi5IC
nEEBRSfLMyRutUzdXx9qJRL8RvgJR2Q+GZyIs8uqDi28uVtE2Wr4vOg3o2VGDFfwVpVRjQ21un+2
u/lj42TF6/WRVxaUkbm1VIKAiLXnI2NkjqDsxCTnuFVuqh5F7xJwL1L4fbW1p8SCnT3QKbvJZOB8
Op7ICOGfj4Wwhm6ogdDeywBTVnqjnJAiHw4JCoInVK6y/aT1/qHSAV2qFtTnwNHz999jWGwRiXjf
UD5bAlnjWQlpbyq2O03AnPp50G/TXFFcI+/1r9eXdu2jApehNMfLzgSZfT7dYHAGRA4r21V1S3rq
ownCMX1mpKNjlE/j2OA1C+dKj5HQ23j0rH1VA2SZDVmFY7KkxdBzA1jm1LbrZ+VrNlsDwueMTE9l
3qhwrY5E5gMsGJgBVc/zSVa6U01B19okHshMzujSHfuk+GkOg7Px5S6jIP1+jO/IdWhz4GtwPtIA
EA/ePmr2cQZgsIis3DWGWkdpvzDvcXjayogvZ8Z4ugU2htcwRuLi8755OHZmkUzYr1puOzSvtW+n
x76LnsZKHw/X98naQJRSMPOm0wWJZBFqERm3jLY0EBMH+XKUA2JqLpTfK2vrIlkdibfX78Mu01w4
n1I+ORpER4RlzVRBJicyEPqusnE35DBI3z8p7iwe+RbporNssyLaFk8oEkF6hXh4or2QAGeEkB61
yAy8fygSUnEhcB9TtjmfFRQsUQotTVfzkSVOMILeIdLbAFtQTe/dQ0Ee4DWmkgzT+VrsiVKqqDTP
qekaFbT+m67zlWOp5sUTAjzDz+tjrex3UWajdy+mBQTtfFod/GI0EnITGQTrK1DZ8akPFAw8JKEl
CrjkeH24yywNNCjYPuYlupTGYm+kVo6YlzKY0FAb30M9Aw8gK43eW2Ii8POp/kZicbIWk3IyXZuo
OpuUH+hPZo0v0CV1c/LjtjhCd6B9cX1aF3WZxYCLaenYtPId2YdKgv6BoqOQS5GjQiZs1h+jQYu8
xsnLjbUUJ/b8oiPscr1AxeFuhQh5/ulg1PojVrSm2+WZ+eA4o+S1+pQe7TGM9sgM4LI8j9YJypF+
yvJpeL4+57WdAy2TugepBFZTi5jMM7BD8UA3XWmchbYGjqGF3mb7jK96BOOrbMBoxEe7mK4NL4fC
Aa/gpQXqUPScPG3iAMq18S32W8lEWn4wbu3MLrbqeauDYfgGWEv01JeFw4oHaqI1TG7MU9o4QzCe
8HSZjsAm4/d2uNk7nAmLthm+b9BZzz9jbnX4Rc2YoAxoD8MyglBEwtC4cmrXn7jA0TCqin/jmhM0
G3HxcO9QID0ftA2kvrFjTkg1NcmR9lDrOmOAZtVYK7u+jd/nNSw2KJNkGBxH8QFj5PPxdJvYrEZM
smyzct+bVgXWUZdOjlyEG+/dy1K3GEsQpCj5Up1ZxhhMsNOhjtgopi45465XuhT2ej/7tzod/UfL
qqQvY01iJIPQOI5KjW1ehCPxxAtj49JYC3dsHn4OMDebpOJ82rxXE7/vNaZdTjFNWlT2CivUNrKj
tehjcCYEwpFny9JXVaqaEGBEb6AAGdguL6rkJgm1Hlepqd+bvtG7TZRbG1evuISWx5HSCZULsm1q
+YsdpFcI2hm+yVu+xHRBj1UQ6eh07ZFIlnbthMhygCj8yQmxGnl/4BEvCUy5QZ1RcD9f1Cnjbqwr
zXANO8zQx84rRJ+miLoNjeUeYQmqjO/z3/x7//JEpc/LW81kg52PiSuShDnGZLiAi4L9pCLiieiw
vMHAWos6b0dZ3Fs+SOwIhxlKfNgSeJPU9Ddt78y7KOi3cDxrQ1GeBztAoqHS0Tuf0KBVsj1HiuHK
rQbsS/ZnTFYA+OelEXnXv9clO5j1gr/Mq5P4ZitLDM88Inhn4zri1mbYye44Co+GwPDtr2jN5/Fp
QoDxl4p656cJeB+qoYk1fLMFxfH6D1k7jXS+INcLVQAyhPM5R7nWFYpCBdXQYEj0bWvhzWPPL9dH
WbuWRYZItxQ8NJnp+SghN3UCkd50+wFaIXL2s/EAow5ZqaEdcF7Qq7D7iWx9muMo6De3uJ0kW5ii
tYhAWiAY/PDpUSI6/w1ci2mZzInppo6Uu3k7znvT6ofaBWJVHrDHQXDJzMFpXp/6WkoAMojHKE8Z
gMeLBdZio2gDm2r4OCKuVdNX2uG7U1G46jUEylQfzfH3jwgIDQCxzPUJ6ON8onmhjpGJ5LybF7L5
oZEl+WYoCOMBUlJeG8Hw3BhwbQ8J/DCkMYPY83uvv3mvSVLvd3XU8nVHJPUnPSgeB2f0v1+f1trp
xOjWpJQBUJlveD6tKg10C2kb0wW+qO2gD9penyJqbxeJ8/n6UGvfjIIlprMY3ILNXNQPNBVx5X4g
jpuhD/HWQDnALCU8Vkqg+vWYbfYwVX778uJ4O6D48zcrWKhIlkE2M9y2Svo7zPMcV+t03NU7O0U+
EBlp3RmSvaw09kNVJt/toTY90/HRK0QxaeMWuwTK0kkBQiEYqDrFyKWxsllLde6YvLXmKq++R+Bh
0RSssSzDksvIXosBmSQvxOUEhlWiZBK7OMru0aiQqEPkEoYl04yI3sYuW/n+BngeQoVIQRV9uUb4
MCn2SGo/wWT0xpZSaFub99NYWO+PiWcjLQ4QclSwRGpGQsHwpayT/DDOkrnxUlmfDhmK6AYzocVl
g/beLGuoDLk+XfKjXk9km5iQuA02Krvr23l1KGCGKnxiHtFL4+/ZyIu+62S+Zx63NwlNltsyqT7P
GvLz10daOTgEeDorlnip80o438dD7BQQ5CkIWDWGfOmAZrgM0O1o21jlaUYcb4y3EtPB39DhIM7R
WdcXX6qLJbvUABq4gwW7JmosbTcpuXzEh69Cwwk7+S8W+rFbRb7VaUIUs6mwwC1Ylm6VwWmtMSeb
NooZxw/NRLZQUXhbJrP/qNfGvHEiV65Puo107kVBx6ZFdr6scTXVqO7OvLyUeKDEgn+WUXeo7nAi
8p2dd9mhDib7YYj0Zhc6qE9c/6yry/xmfLHB3oSnuO/aciYguoOuz0fkOhOvSVX7tq2B72ugxnfG
FDcb530lmaarC32C7ISuwzJnsOVgzPUxxeitaMpjaOFhkBQycILKCY+N36QnTUnKHcJM6sb5X5su
ORFpPKGGC0D8+ZvpTnFZpxZhxYULjtCzhYaE1kXaLpqK+nFOugpF6+rdQCuCLukJ9TLan3zsRXgD
v5FwSXNIY5u6IG8FjHrSPL4nkL5breT3UBDANLawymv+fH7ZVKdaP1H2nM0AwnFvtLsJsZ59TxNh
YynXTgrFmP831CLKTb2p9EZqmW4xs5R2FSvHVPGVm6nU0SMjEdpf36mXNC+BAmCxdHGdUgRdRCAr
CKWG0h2vS9+XXqvBxHwmqR2shHyKMf4cZuVOrjH4w+Wu7+8KDXtSM5miwO1jvFykSK9fksDArQ3w
xx8IKVtfr//ClWSJbYWZuRAPAcCyOMu2NlUpkguWG2R+d19n/p9DUFWn64OIL7jIJ7hWuMJ/F6Eo
2Z9/YV2uutIaOgsFY4h8yCXGhzEpEZGIrC1u8qWyAHXSt2MtHr3R1I5O56MkZE41Fr9OPVuKK5n5
9KcaOs1rVAE1epIiBcNdUPXJN3NodHyHMCLGEBZ5ZPvGortgednY4dpTSmb97ptWaA7RC6JMzQW4
DCSWI6GZCyjGNWOpvR2ketylNTLB4VDZG4/Vy4/L64IbCXITRR1y/vN1R2E7ke04xSVEMtTHIUYt
FDnR9t2RkSIzWYN47ItEZZGeSia8rlmKeaeSpO3tEd9csjHKOkk6TvAby/xzMwyaq9JweC+MiOcT
LzjSLzqzdBIXx6tuYaTQyDPwxeYmaBS1RIJIWKy3aeK+dw8zFL0ywj+vNh4X52vpV36qxWlluJaT
pw9JGMvH2e8ybHWk539jJF4Ugpxki0HPRxII7BGpFb6ag49ubqK4CzmatHZUtI1U7PJq4b9PfkTO
QMZyQR2QiwLgeOrrruXn8TFoom/Es3ZvjXFMxp8MGKEmW3yFyxh8Nqa++GY4MCPh0TDmYEi9K9sB
XnamWu0ijLr3UTJkG3NcOwRv5rjcnjgwtgOtHMZDvM6bLbXaB1QANk716qy4pUWhnXfnUopurq1Z
y30DMH8/JLvBwXAJt1Tzpkjm8SiZdnC4vklWx6NUA4uNvBYu3fkmGYbU7FFf0t0QCfFPytTYe1tF
rqhCKdcNjGarbiBC9HkI56vRlaQmQ44J/Pp8vK7N0ogyKTslsbO9bDToTIXT+ASZHOlvtbN3kmTi
NVhr8cblsTZTQdQk56IBdvEyMesmHprY0V0jaYMjbtC8Q6U2Bzcq1ydlkr5dX9iVUhgkVTrmXNlE
FB5D5zOt6h4rQI1SmBpK/gm0TXHrG+0MCntAgMpIO89H4BBbgFD6aWv5V4VS0kasWZsymFVBkTGF
yNkibnOTTrVijby/S6TmKyO2AiwSJePUoDdxmqRkC+VzeUEzZwX8l0VDnQfCYs5d6eBcUCFRggUW
3kE25O7WLCev9osf15d3dWoMRjVIqA0tn0hVGpldVVLLQD+s9HBmzmGkoOfVmWN6VyhqsLF7VloN
jMY73aawiUD0MnvW1HocClRTiNsCmRX0iD9nZkwptVNvVCcqT6kUmDtlGvQndM2aQ+aE8g7baGfj
o67FWm4qGsawn8BniTj1Jo1XwYa2NBuN/8vZeezIjTRb+IkI0JstTVW1Uatl/5E2hCy993z6+6Xu
potNFCEJM9oMMFGZzIwMc+IcImorJAWN+KtHn2tsBL6nYXz7wryO1B+Y3T/PorZrA5giGN0cpjwb
cgS/0T4d2t6hjtx26vvJ0PK7njLJD22QpJ/GAqFCDvf9s2qFw3mepPGoKLd7wgA3iGE4qBW2M7dm
0mnzGtXUHZ1suBRVFn9BKPBDhITf6fYJ27Ukygsg12zGFzaeillUqgEh4UjR29r7cIGgedCl7m6l
wHGwt3umCOrFDaXcSLP8+pM2shktkowpddGXSwJvAMz96LUtSX70Uu+aEt4XjCiB+naAPqolvZsS
vFJKFubFzFD/t2ZZ6ofmmPy4vYHiIG5dvcCfEHuAe4HX93pVed7b7QrVuh85TvtNHRLeFz0+Gv7c
cQSw6AB2BQ0Ku98WFNWuSq8MtOT9dIrbwBxa64s9t+OjZKrv+yFaDha1s3+wPwkgLyNoVGw3n0rN
p3lUJF3386VmBCwzkZBjqvebVA3TUfdr1xbzH+B5MfmK/0nvukkvyoRjMbQwrVSqdd8b+nfNWbNP
tz/VzqvMe0z6RoIugImbT4XCKqxpFrFUPtSafhoMLXqHNCZyEfmwthqExHYCatGR7pnmnQ5O/55n
0UFni6osn5Fe7vVB6YxMrbuFmGCSrfQ0pXr7pkt63Zdsqf+YZznkCVaKpmKEX7ov0xHu/gpKs9tb
sLfZ4lJwiqBJor16/SPmKlzsdiZa7iW9RyVBTWok2JkxAYRQdwe+Ze/QCl7V/6/uUSe9NkZfWp3k
sCDVydDRRXQaCYnJmPpTy/hw5htrIy0H2dXu+l6YFEfgxbMxx8to90tn+I4+9nedUsxBr8T221BJ
jlgwd08TI33QuFoEe1tYpjZXcpw3pIvoWKOERbrVnGdGlJANsy0J2VIz+xTOVvtZMiflIOzasw1n
gS0aROLB3iyTDsdUNTgMvyoS5dFxoEWJVAXVF7PVAmqbUzBExbckqvODT7q3vxwenibarFTXnM3+
rv06Up/VUTO15LOVoHsz5pp+ruZlDf7+qDJPzlTYnyFkc+ODSh16k9WkHG1W/c/Syoznwsy7M3Mv
xsGi9s6prlBcJ1R34Ifd5FgStW0I7yrTL3Cu/tiN+vM4t4wtLrKg1rG+317YXpAFQIY+P5PdtG63
BZ4Z5HCaC4CM3YQxUjxtfRc3KUqioVp+dyjWflwYy/OlinmzRJqMd8WCYHWGvuYBrGyn/MO4Le5Q
lPzF4jfuIHFGdTBb4kuE+yJXaqXlsa5Ar6+t8qWu15rSvJk8NHob3ZUhmE5HLmQOmVlT48wgBItQ
L1YQJfBu75BwDJs3FRfJMAIzSGDrtnNoYWUYQzjxfCMnN53AiFi+LEcaMvPEDOPMbBqMk0d02zsP
+ZXRjbeqc1gOQ2q8YlRn9CpL7c4hwPODZ2DvrAkQj4ZCFCHmtoJYhE6YTFNi+kmtfh4sJFDX3sk9
Q04flVAu393eSHEdtxtJvUJUwjFIeef6ui6SOjEhp5i+HFaKKyeR6rbIyD4lylhcIrmegyidZFeL
qf1NYZE83za/5y0MgwMAZIhRjy0W2HDS0QI+AygrgbEy7BKII9Dl9VCELs//YgoYBIhx4pZtvrBC
6dXpAqNbV6jKQZxeBmT8zdtUQUz2tqndT8hQCRUn589Y5vWmGmFWF1CM0sueEho6ZaS+bYZJ8eHl
y32zRmbxtr3dXXxhb3MwYWusuwk2ekTSJXQ4GT7xSOHWwEFe5cDU7tLonAuCJTqO2+zHtpdk7ijo
+VE3hQ/UKfIZMdRa6F6XzfjG0JO/ZhqF3YBiGoN4uCEmZsTiXzzYZkHBLu4p+TPMbXnFkKhuEyK3
4qThX89Ob0yJxb8w1XQOkvRol/mgEU03UYbB75pyPKgi7105Ckx036kiUxURbuaFla4blRZVQsvX
JKeDZ9xBpScLFec+VyP5bMQEgHntoISbrPU31Zm79eAb7v4AgYUUdV6IRzevWReGSxdDs+5DHWKj
ZZsBuNDG0flVVLqE9gP33dRG6SRJUe4rdnLEBLB3XNHboBnGUwoLz+ZNqXRokAnwTJ+8REKxVuoG
aF1jW/swr0kaHjwVu6sVg0bstoDobD4qk6N5aYRYUztlRk95Gt6uMGn6cQ89lZkkBZyMyMZZtWK+
WY35qFezF4jRKaDUTd+KgtDGPO1ApRSSzAwgxkXqylP5ZZBT6YNihP1Jnfi42Vj3Xlt03YHD280n
BKs/lS+SJ+Dn1wdttrpBboU+lqMM649Rn/sThfjqYlejg7zxzKKlqkXUx7Q9CK10l2pKfdTN2Hs0
hZYBX5pvbm7ngjSpYy5+oblMDettk4cQYUbhsXbJnl+iDwnFq2CxYLr0eq15CjlIKgNHN+Tut553
yimuUVibc70PqFQcjdzvrurPQwI6kl7N9giXuZ2EPeDITm9Tb53pPJnrclR62Tu6IgKg1sZcN8Hg
9aKkCGWseSDxbdRo1jypb5c3bQ6h5WmB9ixBig7VvoCLDr0qKbKCQpqVz/8AZuR5Bu5OkwbSHzg8
rn8GHMBInChU2lBbjf6TeWlQK5vKe6myUJGOZgtRkaE+yXaluXqRVxetHsIDKPze9335G7ZOU06b
JOsAbyYLnWZpjdtHpSvUSzYgSSqDh7/cflL3PjAeymKijTGlV8PK5jDrphVRMtararpURq9eHPQI
Pty2sucJKTVA3cuUDXY2N3SKqVrScDT8aa2TH2Hf6IVrF/mYuM4Yjke4lj1XZOuiFs+QDTxGmz1U
BqtfSvRXfUlLW4ZMEa27rxME2jw71tBc6pWEqYLS7NPI7eGLPqrY7q6WuAEeUpwBbIXX50hvpzGX
upbSgjHZp7rolssKZolphnk6yFvExm3DWo6lmCaCFgNE2bWpbFrMcqV346+GXESukvWOZ0lL6fdg
OYMEClY/W4qjEYpdq386wyr9lVeHpilhKSpE5zYz8+quMrOPFUNnZxlOhgdpgiiwjLipf3+EKMJR
CP4DMNm2vyudZPRPcSyu5uFNG8nrJ2VM+gsDp4cCUXuXQgS0lN01hFC3Gj/UNucpsuAYy1sELqta
zt5MShUdXL29YyoyNrBQgkV2u6Ixb/UB5mAoCCtV+22UXTn5LVzz5yUpdZ+xwuS+h20NuFA+HQym
7J1QXC0Ye/7l4m0ea32I1Nhg7s2fhxjV9DhX3ZDduI/a6Ih9ZN8UEwxEQLBqbcW/HKUBtweBmA97
XBEsVv+tm8MxgBehPwiAdiyRTyIZB1U/L/HWybTTrDh6Bt7TGhLdgyomvB8nGzFh3Ry081+fRmjW
6X4zCEzxcOtiukgZZ61KCe2WKPF7XZGgY7WXN3FGdnnb1M6LgCkwThwR+mzbUVxTZx5KS6mRRNUg
/UoRd0CWVo2/Dm1jAaotjgCqO48x7S7hP2G3JawSx/ZF2G4pU5bIJi5FqexSejsVkvyxDp0cCY2p
q6f7NKlzG8HRVmdocbVyV5qn5b/ba965gH8UkKiEgw4hA7v+DXYeaXVdUPkZdDP9NDrDGnRMaf66
bWXvwFDYZ7qTwgothc17365kr7AeEtwoIZJ4/ZT8aAa0PEPCkINcaM8UY0LUHciV8WGbTc0rp0Np
cNYRjI/bi2Y35nMZEdmY8iGd264pXgSELMEc0iy93rtFpro8Mx+GmnK9InwZxnfZwCT3YEXJQbCy
85lEn8KBG56LAHrq2pRptgPTpEgIjVoyn+Ikt86JRVXj9mfaOZAEY7h+OliC9GeTxumDDaREvDak
yH0w1ZUdLNNCijNnaI+MU/HDkbrvepgZd4MR/j3KEIgL8gZUOBh9IJy4XmNrW3lYUWmF56Sr36KS
BAGvM0yBqkxHccvedkJAIjpbKGUpW1QSb1FvKCu9pqRVlQsS3kPQIPR3sJ37VnTmdB1CFNLT6wWF
TdbXdHR1AoOqvBChqI82c3SX2x9t5xQKcLsg3APBSFZ4bSVzejTWGtorEdpqJwR7V5L9UX4zWum3
v7fEHAw+n9caUvzNekq5rXo4aCjEd7r+JJeLepmXOPEyk4bnbVN7JxFCP1gKYEQnB9uYKsqS1k5H
YFkqOVLHUa25SijFFym2/tOkPNZd1FTkSzvMyXk0OsLb2/b3NhV2QcYtcc2iU329qYRcjGGVBOtM
BctnBjo/VXpFJTPW1uXzbVN7pwQbyK8yN0QxcVMvlcMyKwoIBHy9aTtBMr9ANNE4an6wpL0tfWlH
vV5SVqtTw1gcl3vphi9WryV362I3zDum+amx1v48FrURxFIVorHcHQl77O6oSH0ALFOG3vqWPq3N
qe94AtapzB9V9Cs+WDLaG0aofLy9oXuWUM8UUSWjKK/I6+Z1pYmSqPTjhiy7IIPrvI87knZYc82D
Pd0Jz1kPpCGElgIJKL7tixd8dmakGztaf/BP5D+dQZfvjV7OvkXgG+7hOiuejFkb/+HC06OgnevQ
rzC2/bAO1ESeQqfpL2mmuXFPj2Qsw/7iADzwb2+lcLmbpEc8N6LQAvEjR3SzPk2p21VjbrLpZ3Kb
LBz6c1JV+UOMAPip7Y36Gap46bcjZ0dVnp1gzOSxo08ExopB5I3pVlXrUYpjWp2Zqp4LiMS90loz
lzdCCyDYbA/izL2lEvVR2hAzacwaXy9VSsx+MYnVwfCrxt0Iz4+rzmHrl1rUiVaj6lZ92QZJ3A/B
7U3ecwDMOtIUEaxtEPBeWx4ZT2hWrp6PvcZz5jkuXNkpmwPvvWeG0FaU7qi/veL2ago9TYpatOGz
Qv9WIaxwrmHXPAhU9m4EEYTgZKVZwYquF9PGzJVEIexkq948V0VmnOuukM5WLZWAt43aS0OpOrgQ
uyvjOeKcQt3zSlirr7VO1RNWRpMw9yeVWfRxdX7e/kp7C+Mxgv0NknfKc9uvVEmxQ2MJjhlVpgNT
Tb0LZWfnEa53bpIXtTtUyXDgX3ZWJh4/Af5lDP8VgS/M13IlLxLTEMYwjK6VyvVDOyfzAUh734xA
F5MBADDcrC2JI6mRcsr3ttJJv+rFyD8ptXXUXN+1QhMZGDjuBAjD9dGIC40eRcYcv1Wb0sWMpCV1
m2HQD07gzjsHkbfQ6qPIBrpssxi9GCs5HejKGVaqP5WK9D2Eyxfeeu0+B6D1tm/Hr/KMsIM62kfl
mp2nB4ZHWkuCtx5iws0SlRqMRBFGgootch7KroFbVs/M2W2VWbcODseuMeh4xZgXb9C20drAVt3q
iej6FIvzLIe9FahGQfdYHupqDm4f/11j7CZfj8FdIsDrjzd2UbQAubT8qql/4RybD6iOonawJkdp
wN4xUZgVQHgFlkD4zq4t6Z1UQpQQ0t4omvYEQ8m0ustaL0ctzh3ePBC11JzE3C6OYzt7kU8ypbyG
jyW38FfWixo/jnXZBclijZe8YpzPz6dV8xszQWFxHiP1eYSh/5RQqo+8dsobZiNNWLz921u9e4CB
FlNXQeOFCsP1BihQ/kvrwMCPytP6NWvj4Z6MuR7cZh7CE/thOxDVwEznNpqcJZ6ZFXVzEH/vfW4q
joBuRGGX6ffr31ClDdPvWQv6gkTgDZP+w2PamvOpndTDWHvHswLLh0UFmCZlsm2srSRGOGjUNyji
xvZd1VfSeTGG1jM5cv+DO3D21Cjp/uE8k7ILTBqR/CvmDTk1O0sqwBhmnbl8VifEax0lH74WJDT/
cE8pT1OQs9FsAzl1vZctmOccHmmcggo7txuqofU7U/OiPA9NK+un26dn7/pA18t8q1DOAZtwbW3U
oyWNIk5PDFY7e87tGt5qvbGWf5jaIOGEmgE8EQdk6xEGyGAkMihGxtb6rdUq9o8Gsp/ft1cjfu0m
AEXdjLElmAhFOXqzmqg3nTYM8XEypeEHqOyV55DpQC9O1KF0pzk5ypL2Dr5OmVHUHyjdbFmvUG6O
HDCEcCE4rXnSClB1adYPp6EMs3+4YzSR+erQ64j6wPWXqodyVJDSANNh1updWaylP0ZReKrs+Ajc
tOdSXpraXGet1a2qbRwo3jTGFXqTtoU59196tDThd54dd1qVNYj1tneL1KoPWid7RxLsHsxowANx
uJtkuupTQzXofvl6pxvvMgZQTsVU9AdR4N6XIxcjVKKSyScUbuZlLpaTQ08pUItsidrLEi6IrYNY
fIRcfDrdPpV7GDagdJSpaLGJlHbz6dKoAkLfRKbfyXCsemozhW8dmrfzhd7Q8FvqaZN7YxPho+eI
ivKTuUbIp6CvUTWuuZjKF0D+81ktm+nn1OtSdfAD93acMXfwAYw6kUVtvnfHXFOuaKIVoBf1p6UC
9gHu9x9wNKh4UEYD/SRyRO16x6O4Du1MYZh+aJUwsPTuWyU30iVS1n9xoWJKkuARUBIV82tLROWz
MamgJWEkRs7CLFo4D3JZQZo0M1XngCRg9yRRrlMUqLbIzDYOWx3LuVYyQURnNPFXh1LhJc1l9WMW
5uZBtXrv7RMMKFQP4CSAbPV6YTKjFnFfCOAMw6WBStbrozzTvZtb+3mypvleMmPp0+3TK/6fW58q
eJ8QBRE6f9uypLKUsc5oDdex7ePH2agtF+9al27jdLJfd+MRTm7XIAEJudMf0MhmP0PUFuyimiG5
Q00dShDF+d5YjPqMnYZCRqUdtYx2N/UPFTIHQ9i93lQocyRnkem5RXnfP+Vab3xSpGI4jauWw4LS
JLLXw4J3FFDuXroXZjdOwWDWtUe3CSc7yarXJnlNa6w+GvPb30yeJwAwtDm2nYBCMyU1FtQOJbkG
SaehLBTRIJ32GHZJRo/0EEL02ydm70II+mzlT9qGQ7ne0KzNuhHcD03MWDefuqXQgmjSrTeZbScH
j+LeJoIOZVCAWIlu7cZUJKMxMtOQ8o0hyWK3kEF2ubAnHKZqe4eE0hbCS4SwjAdtDC30n0qlYOK9
GyskPyqzX0+hMjV1MKsl3Y7csQNnaPr/bm/l3ktsgYolqgFCRZJ6vZUDKJ8oI73yY4Zbzqnd99/W
NgWdESfag6FJ5skESeFBMt8yCas7B/5mN+mxCKUEVSklk20SDqmbWZKbg3BXp8Egq1GqZyNehRTg
1Cutb2qD+RH0kLS6+jABxZwAy09uPdh66ZmjkbQuYikDwG1ZLQ5e8L1PwrOKZxIhH6pz13sDizbf
ORexV5Vrj4C9oxMJdOY7vVym7mo1ig9lUHWwJbtWAXbwB2cIAvXaKiP44zT0hJipJov6YqX9SrM5
fYDccX2qEopxzF4e0Y7u4fFxv4qgwZPF1OPmHNCXQmMKvj0/Bg52gsGt87qyjZ+hhrG8GGDxFwcA
32PJs4dGhGwSNYTJ/+wObq7bB3LvwonZJA4FeCx9GyqoVmyOMjSgfjnG4ZnMAfo6WTvKJ/etMJcP
vzDF1e0YlDTn4HoHknpzWtM7TZ3yRzM1pAM/JTzs9mUTbDecIbrpAD6uP+WcSprWimzBmfKOGoxp
ntM5m89Tqq53/WBVbhVCi2+mtXy+vYs7FFiif86EFZkK+L1tEmsNCiy1dWZjNRueVVuSvTAvls9w
xU9DIDEKPpyzTFNrdzTs6RGB0wyCN/HBi9l41hslPcLk7p1rEieSaiIYqnqb0KIKGzgfOssiigmX
79osqwlIMBv1FrWG9va+MlcL5WhV/Yf7REJIjZRyNj3/zS1GKljRolVIIITFkD5JdZf7adRJT1mX
dj8gWRmsZzmO9H9Zr8gxVJl6jlCPvP74RFmJ0U2sdwpDx3iT64V1HlPV7N7rsLI9m3OHjqTRaAfJ
zc57DPofhwUiV0zvipP/Iu0ANWnVdVTavjI01UNYhp2vrEXxs2ul/zG7rB6Y23k/UDogOUU7QxGs
wdfmlqzKGspRnLNBM5/zpQ39manTr2ZYaou3jI7+AJ2N8tEphVL8Kh1xT+8tl0LNnykEjvmWw3PJ
20hSc90WjdmwdqURTgM3o5z6dW0HR0RX9vrz4G6J/HBzrcnFAQcI7jPj1d1qiwU2lra3/Lmr489d
M6pna8qiZ0ZzzJ9JNhTuYvZ15SaG9F1btN6Htl89cJM7roXfAFIHol+g39ved2emKC/MC/VPq1zP
ZOwQDzCsdglXC6Fuk7k8RtWt4pS1RXrg1XaiLxI5OvyC2IGp3s3BHgrDBEWN6aVIlvdNX9ufGWu1
75TVsX8fbLU4ra+2GmA1/Q3RvdmiZwqNAkgM84k/OnX6RETg/LLUggkMJ1ZRnA1TRa0IDLL2yZoi
qXYXuZTVUxLx+9xSTrsqQEfcgG2xK2JcXavWRx9i/xdyEigk8HBu+8imNMTFkCVQ9IbWkiOH0xeP
1JK1g1hkzwzFM4EP4R90DK7vWWNUhVwlnDkljOPKX5IKKF2Tr/mH2zu+d5/YbeBfYA1IODfRhzFU
ae9okJaBBcsiTxnS5qPcqaHbk7dA+hK9v21vd13MvUDvgLo1/vJ6XYqWlYttE18n9lL+B/ZA/mmZ
wxHyZXdVAhUFEpk1bZmxu7rU5cWC4qlY1+lJr1I6INBz+41k9e/gsji6IjtvHcQFOveSggcgis0V
qWw6gGk6W36NfGDu6Tll45ORm2nsxetQROdKAdke6HIS/+/2fu5apmpNamuJvzavnVnbxuJ0pBG2
lKUfFz2MPvJWcDDV2uTdLxTqh5W0+Let7nkjuj6CV4au4KvSYTNXuZ7g/hj9Mpv5HNnzkpyoFPD2
pJrUnJJEi3/FbeLEXhnCd3DgDPc8EuUvalwgycG9bbbbXJUS/m+K53qnNHSd5DL64pSZs7j63BxN
2+ydJWpZYIFA0KKtsLkhnWMMxG9EVn0eZyeENzM3NJfmsYzC7ytp/cHW7n1QWL+oOBM10YbaPLC2
Nk0q3V2b2VftcQ219lIO8ltjKZuzswBmb4fmCAe6b5KMF5oAUoHtQEuYS2ZBlRBJIWjHADpNDVPy
vb3A3rg6XyszLR4QTjIOkMl7VgVbENgKtpVreu0J1NxGDS6WaTNpFCkKKZYCyYj6u2hNne8mIice
clGHZC97X/OF1W2cbEI1DMkZ7Qlp6eRnB2awU2uPNgS1nACPqGdS3WFQqWaYifkkqYN+auBz9JV+
Wk0Im0A/mrGsfWIbuw9RWi1PaAv0z7ev156ThHNLCCChEshzf701mrREXUU3wo/naD1XThk+MVBW
n29b2btF0HmLe2zzymxzonYJ5cygGeQjjACyuSh1T85M2Sd8609/b4opDcqM9NkokIuv8iJIVWTE
m5weLS7FGZGVllLdTamDnSGlSg7uz97egVUQkEeITl8JahQm8VmZ2UB90zw7oVIlnXLVGg8O797e
icGsPwhOoATiV7xY0JxmSGNrotZWLL9A5kUXtV2/UhA+wpbsGSKTJKBShdbwVvivlpWhzhtga1JL
By3MtMnTS3iesog8/a8/EtpFTCnQuyNt2va6yjVL81FgHiuGRR8gys8CFTy6xwjjPzhwwjsiG7aQ
pGXLc6Crmc5sO6D6NUlC6OqH7FRRX/++Qiv/928F5TUbcBydCHoFmy8VjbAJTAz4EuBY9ZnqfhxY
CWwHXaoc1X33ilukfmI+R4BYIMi5PhWkQLGSpbXl56lcnRW1kbwE1clgGaPBLak0e3NmNUFnj4sb
LhFjdoXSnON1Lt1YHpa7rjTyA2jNjr+j84W4qaAGpwu8eU4Wu8xbtWT58pA0fk8FzZ8qhdBYNRPP
mIYjKtpde3CD0Cw1GZrexq082eimNeA04kmSSlfwPAUZDBqfFy3ULmHcqgcB7M4FYayGMgOy5kxv
b3Uzhk6DDnEkAJKmevqVplV0NxEJBFPhNAfInj9tnk12Qv1IF6VhRSTBm83MpjwEvceTJSnVaHpV
z9Y+SUrbwc5Fk/1dmknm70Tt2sGXcKehuxJUwwIDl1XDHGE6j+5ikCv6yKgwkjx1Vv2eMFixgnht
C9ntDGd9rifAjl69quOnlOmI0l2jnMl35nji1s0J42Ov0KXyKc0FE4ksD73qRhHqIT8rZZYNN8rh
tzjFxPMRg7jNSDmvadp3+VoPv9S5zSW3r03ozZallBtPbvtq8bS4yd5NazXUZyj2NDlI606VfLMt
2g9pqho/1qYy38dF5Lxv47Bd/Q4asqPOgrgd17srGnkKaSrACP4WAcMLn6oPkJIYyghOwVbr/7pm
QUgnMfpzYxjl2bHg66wdAts+DRWeQ/njbe/3+uAK67xOhECCgGXzRA0oIYV1Ju5uF0ZvZqfuO5dM
1HhjGmOne1Os2j//wSIQI7TBYDXmBb5eb7ZwbhSLYWYbh/xkAgfxFlOrnhUrroOu7u0DT/g64KLE
So6iczv/QPqu7VWOEavLSK+vR/YNbpO4P2mq3XsVmgEkz8pySpmnOtjW19cTo/SJYB5n7Be8xrVR
J0ujQsPr+WZn5p/7NVEpQ47GUwiE+OBNFp58e36EwDY1R+rIQECvTUXpIE1LSGoZcxm9IpHCt1Eq
Gwflxb1z8tKK+BUvTmmyaHNSmhTOa6S27/OmHB6hdMo9dJ1hLtbgRfqXz0YnClwfAzg8m9cGQ1vJ
pQkPT/La90GlrrkHwnw+52kL8JPp17sUgcq/jgX4bAKNKVBwolN0bZSpTs1g1IfuVB937009Cd0h
HIvnqTmcUtk7IVCEMWwBVSmFiE0yVzVD30kG137QS1hM9LHx4Jg0XVhjjtiO924AAsqCMAWGJZ7q
61WRWQhCDJBeUY+UcjkajkfsEH6Cur1+Y66T4Zp2cTTyvndg/kybUzClMbANq5K10dpVZSsTUITT
eVaS9t2Y22oAh0DTe41WwlNw27PsrlOwi/AqwtRlbzypDM9H39kgC5smUe8Qhh19Zhibx2Jh+kdD
mOMMX0F1/hejpORicJcy6eb66b2dwI0E/qXL5Yqh/v7r4BB3x5LUe9KSTV5WKkcL3e4t09BiQobQ
jglw3Pbm7EA+w+Rilq0BRdjS77IIVfOwjL26qGdfLZz1oCq3faL+2CNoZSaAejCx6/UBCrPOkZcx
WYMp69t3ot10TrNp+JqFS3MPiNA+12kkv3OaKvRUpYH75/Ye762XJfM6CiaeV97Uqoe4VM2Z9Vrx
Vytt53cJ4+auqU93hRZPv25b21st9R1kMvHfoIo3u1uTmq4xfaUgClUdRecmvk/rUi5Pdbc0H2Sp
7gNFWdov4TDnj/1sq19v299dLZ1i5m6ZkSOCv95tFAGlse3GNaBAYUNJYWS+Hvf5G3NQFFdahqPR
zVf0IuLzQhQITxk1PJrz4ge98O0T6otjqDNLmfWlclmn1fopkrJzN/RKoC/F5Eu1pAbD0sgPupLF
H2LAawdRwdYd8hu4OxawAOhvwaNuHsyZhkbHR14DPXcWfwJM4aVGmnspw0rB7f3dNcVJIj8ApkXJ
/nq56xQVakW/JIAzZXjS41w+9aVcfxrn8mjgcccU14VLSn5Js3kLa1z7xLC7DhkQ8I3me1MrmDGb
svShyKSD/dv6PvaPiglMVbwloIu2arJjlEqAOCI5UHMz9iV5hRdwXqTvEWH9UwoFpeaWetEdRAV7
6zNJ0glN+cOzeb2VWs2QUIkMWWB1suWFsNO4IQ3QuyY9lCPcO6XgirgXYCgYTtyuMOxZoqFIazA6
YuxjtuaFwkBqXgp6Hl8WLct/rPZiQdJrqCdlrW0ZkhyYGg980c5GC55UMa4LUubV0AaKIIPd9pIc
9Nn0WYp06d4o0bRJp3I5xetIb4bp06Mm684+E7+KIhIEiQymiP/+4oauhZGrch4pAemJclaiSDrF
xpy8n8l8D96zHe9HMkULAbQAtd/tbF1RUnRXzEwJQqWxA5u/zrYCGXVSqEvQaPXw6NhQJyLQUfrV
MGcHifvrlQrCDcYHEToXfmBzOTWpmmXJKJWgRfPEn4so/i9y8tZfonW9u+0HXvtZMfZM0iXUJqhb
bNxeUrRpi7aIEhSAkjyryIf7QVbX+7p2aldru/7TbXuvd1aRES5QKXBykHcY11rGCiFQD2YGwtxW
nsZLZ/U/tKHOng2lqh+kzlHuZb60u9Zl7t+2vrOxgvaSaJMZfcrdm1dNDfMwqvRxCmCMLx+kJP5d
GE30bHWZfLptaWedRCewVOkkVKKFcH1YF3NY7MXGFc2tOgcVkoLvIeVf7iKjpOC99N1DFSF4Kalp
5evp5ByUK/4MarxMiOh94WshbeGkAlzdwlGGhqZ8V45LYGZqrJ01M8xkl4xPhczcjOI3HcUIx0O+
S/1h10o3nUQ3MPUSuU/f5aROxdsWkc7UjdXIqb3eSND5EWMny0NPrF4/DGbRU8OCxCq5y7s0bN2m
sal0ZdYQnvNiKuuDT/fa5dCcoDlMB4u10a243lAa440S9RW3P7Srs97ac6DUstg86iZ5VCd4w7Ay
f93+jPtWuYGqoFl8JXRUtDlc1zJWk2JQz4zbTed+GeYnZyn73+1M2l6MZfztttGdUwrg2BZcoDBs
U5i4Xqo5SaWzoLIQGHnYuwhtaHeWUc7B3NnmwTHdNWXRSrOhI5SpXF6bAuWntWZvyUHS1fq5Bgbt
4YMlD37J4uADbvuG4kQSPZOTYAdszsYUBMxFWcWZHBSmnXlaki5nM7QTV5Zs860TOlJgJu0D9fs2
+PvtJJ4jugNi93osdEJdbamB/AUlfKceik75WYktxN4UIzq4djvvM7eNB1o8UfRvttoMNR4d3ExK
BMJ0zR3Iui/L6rSnoqTXkclzc+nbvr2fNaDxbtmmjQfqsj9Y745L58aTvQOMJy/awiwTKzKZp2w5
PjLS1+lQDPfJmMY/WtBgj1UD6ctBNLBjULCrCIJfsEEg5a8PkWZHkao1zRIM+lx9jKqUCncUlXcJ
CnGBRAp6YO/1pRQjjjSUiFzolW41ODKTehxNdzmwzSR6kEp7AMmmhfAyxGZ3qvJ5/Lh0lvrx9jF6
fX4JdoSInkXcQ+dSePwX4Yc+9JodV2zrANbIE4UthOml8nNctuUD0yXfy0oAzwzpoCH4+oriC+gy
sbl8TtLPa7taRlC3tLyYqtE577I+o0GbJfl9kuXxwRXd2dgrU5srGs2DnmYV3sCx0wIsG+yVeWTY
b+VWm05rWNeeoq39QQSyuz4QRjJj24JobIMKYYhFa+Kar6lUevof+Ovip2Xwnkxx4RzcjNemyCdx
coIvjqHmbfQ81WZk9N3SBgNxn7dQKHqzqvF7vbakv/arQCM4LuC7uYZglq8/Gkwaidm1a8tr1eZe
AWPnqeps3bUSSXp/+1y+jjQECgNfw50X/Bab16JOoEpkgA1Tljrc1dPYu5LVFidlBoFScx7dpUQ0
DwYdpuCXvxdghYNI1uGypfIDAoaxvOulTkOxVpCedoG8Js1dX87m53i0NJdikfJUqX3pESR1lzKv
h3c8ouupZ6LSH4Eb5F400/E48A57HxmEuyLiWoHo3ngjG8LnNoQ5PSjqdYK5pZA/0Ryh66XYR2Jt
r++LrfBuktLiFCiZbo6uOZphoa1hGUSGVnoQXP6czNq5T8e+C6pRW9/HS3/EtPbaDQmbRJYifhXx
5fV2y7kVNjnBXZBJYSTkoVXXlMblzZLlg58IhcBmWdST08VHSrOv3TyEGNDv87WZcaOBe215Bd4Y
FaVaBVUeG0SuinJXp/Z8lgY0ElcCpXe3D/be7pJe4usJGQTE9dpenpZh1St6FRjFZAeJbGUeFGFJ
YK+dfknb7H9UM49a7ntrpKjIlLmgysTxXtvMCNoJ+eQqCKtZ9VKricEZxVwmeU69qPo/zr6rR26b
bfsXCVChCk9VpmzxutvJieAWiqIoiSIpSvr13yW/+ADv7GAHfhAgOUhijljvcpUs+evLDyfnj/Eu
7gkXp5oOPBiqhYw8D9WYPg6r6Y9+NiY3YpOrn4YiF7wb8HAiN3j+aYMn9FhrN1REkTmHGCiKCP3o
PQmoZuR0pH9fwcOnIf2BWC8CEZCGno+3DrprkKNgKhfBTpkYfs1igDvxBMnKycb0xkxeOxe/UQWw
iEDcfHnj6jCZIpHZvoIAWvyZoeNf0JTzcoAnWKlVkD7GehKFaCN541XZP+R5qoUmHbT78TEQfkNr
4fmHEhCeuw7EnaqpG/0Ekvr6kMhZ3KgyvQAY4J79YxggQp4Pw8YxWoM17iu09TlUng0rIzLph6xm
72pYFt81qWyqBvjoYmJgZzUtZps46x7gL2cQ1i/kBlfx2o5CfwihH7hEkNy/WOEpG5FrmxTK89vq
KtUaVW0aJue+2twha8ytmuXV8ShCBDCk91LpxQ7WNoHFKfg41RRm4qf05/TrGIbOL+ZVS5E3fJh/
vH4FXR8RSQte8L2weHEFJa02SNOxtIvSJJ9Q26ssr9UhICsDCj27xWu/8nZBbSjey2rQD0Ga+3yN
zUoA/U1IXwUyC0uYI2dFttH+PI7K3NhP127XvUyKxwTNIighPx8qs8MCRZIMi5c19JG41ZWqH9IP
tZbuATpguPNWC/Db6xN6ZVQIcKEtBcXVXdXpYkJnFCPTZY6GCuq5+jwss3eSs2HFgIC/sEMSFC26
VTcG3Q/gxQHdBS2gX/i7Q3WpANkCmNtutFOVCdIZFQ1SP4qe/IznyJawV3F3TRyy3wY299oF3Y1T
cuWToeiEghNeE2T0lyqXGrJEm4ugaRa42ha9AmXAUQah9HAWH9NkCgpOwlsGkC84XnilIUeElDva
tW1fTHTfo7KWRGNWAiM8JhU6KaD4GzXH3xEbkzMzUb1WEpZyT3IBZPh+bU39lQ6Mj+WSeN6Nt+dy
DvZfs9+O0JkCBBDAn+ebbSVod0oRZrv35HputbXVNqm2is2k0U+Dumk9yFuMrMt7GYMi9oZTKio3
gARc6ohAJdaLG9HVZdo0/WfMdv9lnW7Swy831+9RAEACYhcl1BcgvaCmqIHNsoYSjoweQs8j/0hK
dVlHzJ5hWdYddDTGueF8uO/n7MYFdXlh7KOjornXiMkuQLBP/B9JaWRtDMt4Qktmx+2h6aO7iPnz
3ehQrH795F4bCRER6jYAIuxcmOcjLdMQOahTZOWIrMflcY+SVJ5lSv3j91t/A85xdTBgcXYK9W9+
08VgisZu20Ig2+NN6ILUyVQ4dEbbIgq39ePrX3Ztn+wk3P8/2MX7relmV88CUT6ZcQTkOZuOKWAy
x/9hlD0bRHMEYdFlS6FP1iio5x1xC1LNIeQ6PjWZSd+/PsrViQMgBB1qvBPY/88nLnUjfFeBmy+h
dyjf1Y59Ah7OHlY49d74nhelrn3r7SqZwPYgAX3RioLkRRq2YwTuKlCqKIhG3b+K9LTAI2Lvx6kJ
ClVDTRvytPoYTXP2FoHS36LXf/+G33gOYJtQM72ICNyoJM808PkQjuR3SyiC3A9Ucobg9VoGzNvu
PEPcjZfzMijAoIi+wPUAgB1X+iWN2iQtaXze4jJLRltKf9KuaHvcpHUdTkcPKe2NRb02IELovbmI
wimkGp4vKhgtNReQf0IHugbVSYFViukOy2xLvLugvelFemUTYTTAqKAIilDrUqRhZt3YWkIhJmyC
4ZSOcr5ryJocUkTtN+by6lB4oVD9wdUCR87nn9bXc0d7l2VlHbq+DKLRzxXK0QdFQPD766OBeugu
5L1TzADVfD6UXhJkAd2Mr2qVOzcj+z6CDPAu0EiEXh/pypMATjPUdSArBdmgyyDHtN4cwBMGOgJT
l7xb53D6gn4wB48t7j8ijU3u+3pjhc9cjZq3YzeGv3KfwWkapxLtEqjRXYKqwplx3gdAOqm1bj9G
YtX3LhO3Irlro6DHjtoHXlfUWy9umgZ+Remy4D6jErRmRTz6TyjoeOMhuLb1AUPDeQOdd0cWPV+0
MemTeIImS2kmJz+YSTZnztq5INpmpwBtu+Lvlw4I0L1DATo19Duej2dhOppuMZqunZ7tUWbJ+FPF
Y/gWKvBhkwP0LA7JnPWPdWLVlz7V7JYVy4s0b79ddpHMneaKw/eizMwdTVDkpSWY9z47uHiqi1rZ
7jtg5f6nqRn7Qxswp0szJmSByY02FQwQ6Qe0ciXksilPP3PK5hub6tpBTZFWw0xgz4Ve6CPUaO6Z
fqMQft2iA7gza55FdXxW6AbeOKhXgkUcHWBi4RqHPt8lbJQwP2uhS0HLTUFyALfcSN+tjc2CPGax
fTO2Oqqsipfvry/91ZkH1AkY573tDzTH87XHHRtlGlzrshsa/qlVYXOCctX4BJo6u5u0L9Y8WsLd
P330Wc78uP/EDRzcgfifN5R2fTt892NZ38LPXJkPHDQUNIENwstzWdnoGOmsrRUtsykYcoN5O20a
AzYripxjYAaeT3B6Pbw+HVcWHPcyXEf24uZewXk+G/GoBBPo5JcgU27IFCKIssfxDHPhZStfH+rK
fYnCCZAdCbxjsP/3n/JHEOtiINUDiffNcW+qYL0NzEOiR3CqhSkMUoRz0vWfiJJdJTcIWr4++pWL
DNsM7EncY0hKL7tXA9OmTWhDS4AVo9MEX3fkia65cbFcm04Ye0LjY9eXQU7w/BvJnGxRLfCmgjH/
rY979olhD97DOvUWCerKlQmw1Q4R3IVwEaQ9H0lxxZZeYg5noNaKQUHDZoDEapFuevf3Vu3p9fm7
Nh748Xi8kWaChXrxrvpcycmPNAVOxUhQ1MVHrZk6emroi7HrbrWRf3f3/szmsUFgAbt3/6DVj6LT
xffpmQks0kRL24Noyxs+Q5c51YUKw/Fu1d52alQ25xMsJvPd+jfnUM597CJsW+p0crJx8hMqe2Gx
JCigw4/P3ZiQa0uN6yPF2cEKoCfzfAFCC1wqpR0FpZJH2M4seTdJ0uUALdbV63N/a6iLuejwamrZ
YyjX+fLcBqlEwy7ib+MQ7PHXh7pyTBDnI9wFZRC93stbqGGNbR0EP0pFBDuSrUe7d/OGG8fkymZC
fgT5SKgOQK/rUkiDAe5rRpiGQurVw7r2W8bylOmgGokDZ8lkyX+vf9Zl2Xi/boB9+F1s8wGDuEj+
0HXd6iSBalUN991PQYZaVFp3j97I168rSn9voLFg8n7j3Y0vvbJ0iNBQ4vuNzgGl6GKXDIkMqYvx
pbuNQQaJg5yikf6GMCVvVKCufuOuuIQBd9PAfdL/uF+bdUXZNGR1OUNr5xfIF9Bbazy/V5CSVu3X
NWbhm3Ty6vOkzHR4fX6vfiZMhndaHBAml0SX3fAmSiENggC/DT+rFRijNYvrLqfDfItEdG0s3Hs7
8AICyMDxPv/OoU2jNVkS3AyZDHO4o2Z3rRB32QZq099/FYouexaIfjJCtecjwZ1hQZ451hBC48qr
UOoBLNHOcrBFI2a+3niiruXaADzsZiEQ+tmFm56P58cc5sRZU5duHlCqpDI2/yRha+EClvm5twnQ
eerk82ZUB4MWSYq+1+ONDXvlAsBv2OEWoKfvRfjnv6GpGQEJrMc3w0fnC+Sf1Selp1vd2yvBDir7
aA2jcPeb1/d8FDyc3pAMKYp2s/TbKpPNAFZdvKt1ByWBplB88AId/K1XKq4BFEywR1HOQMR5Kbvo
h4MQnPh1uQVT/E/su+Rj69jHv941zwa5WEXaNv02BhhkiXQNugkOWzg07CCVc/+9PtQLTaj/+6Cd
Xwv5dkgfXlwvQstapJHd7zUmf9jUdJ/CUGzfAi/hd6u3iKNyUfuZhe1SAFg3Nnc6mwaZGx8Q+Hle
h1vbZ/+4i2cbIQJqJij/Agl+2drwXBNZsgV1aZugPaJwuxxgmbfbMNUq79QtDZVr+2iXFEN2uvfn
L/OVbA3mGA4DGC5kTS3yCUQjm6M4ts1n9Mmyt8uMGtUbACf0rQjlyjUE2B5CdpwU1Gte9JB7slDw
M7wyqwngSFC+/8BVp2ChJVby97HG7+44FMR3tMllvc/z0s65yMC7vQuGQgvlowjMVeUCyc+vb6lr
C7g34v//UBfnPwClPhu088qml1HZLdQeoEw6H6hnTdEjPbsx3rVpjCFpBnQJJDGAOnx+EwRU1U7F
q1cGvl1KBY0PkF229Y0MbPL59U+7lvrt1S40CXZfuRfQ8jltmAlCLNlKh/XbFkEcNI/86ZtVkCZe
wiT8sGfs0PTtmhx6GekZUickVz5AsRoFJJQfiSpf/03XpnvHuaIEF4GdeuklHtXG61LP90qdUjC3
QDicnxTM2vIesg5nsHXt31q171dGukN5kGgi1b/Ed6zdqDx/HTzUwYVBEJ3CbsvOYwU3rDcbjeX/
cBui0AHdIdRuUUi6WF9ua/QRghZznvXy1EoLP5kMtBe+22G/PpfXtlIKcg8OJcDDL3qdiMaFcC0u
Q3DF609dO3wFboUegpT9L5sW0EtwItB8Q6h1ce0GtN0kTxav3JYw/brOzbuJTK7kPLzFWd7/pMv7
FKAKYOgBBgLkdP/mP4K6NW3EuFLsD7GEuhwF0XntLbdm7touRAUYjCRMXPZCPx7Z5YYCDw4hSdbp
mGnnvgAVWOdeZ8SBCfCkX1+pq1+FUjCYF8AKp5fJuOendnW7OKMVg18uaave2bUFDv31YV5uCOQw
ABEAyQQO14uSir9Bn7D3WlbFTTJ86SbghouxX4d3otlGfSNwujIYAibwn/Aa4R+Xe2Ix4QIXzoFV
WyC3IjKUHn042BVzGrobkf4edz7fFBAlg/sCMBm7tPslRmSEygCIFwRnykXpd5DW2LEfna9z2Eja
cwP47ilQsY3zLSZ0yetodTdO9csFxC/YOTOgrvwmsz3flrA8CRunKG7txXX3i5HBXdtDNP/19Xu5
LfdRdmbtTmlHs+v5KNFsVt1OHQPkhski8Lj8B0KiXVs1avQ+ekHPw/L1Ea8uIkJSaB/vUJDLGlW9
jrBlEoahAjXRc7vxGhIQilQNWht//abj4/4Y6uLj7MrcQMnEqmkQXWni3jyMNTKmkCX1+9e/6upq
JZCsx6YJEUhc1A9gMRBmbWNZpZcMPtSB1h98Rm9p616bOzSU9rt+r4dc0pmsIrRPGoi7DnyixyYe
fzDJ5gNP4Q/9+vdcHQk3B8D3CDJfYC2mOtqiaKkZaJqcnZOg9t/3I5dD7vPB/Q9jAeC/M3HxauIN
e74Hg4y3/mI8r1SJb8sGWLqTXvVSJQD0/XWXDIIqe76JNYIKwKUAJJHR2KyeafYqiDxtLGKnKVCw
m4qXW1iZazsCDzKwvL9rE5cGMH7iWDDYsKnARDWV0Uuw69epw+vrdHUUVLT3Ej9w0pfs0yEzPEub
qalqmhjYyDn1KKZsuzHKflAubsMdOIrCMirLOzf0+QrNC20cevq8QoOfPRgY6hwiz6WVkrI7AoeU
vP3rrwL1A/UrtP3AvriE5rb13Cd1kzTYAiI5hX1rPzS2v3UTvcxsdjYS3CxAntuhWxflReJ5TEUT
5dUQ1FFhp2guEsCEQbFvvbdhy3jFETrfeFiuTOWzQS8uCiakYnOT8iqZhgFwgn5+22ttz5pHiuXZ
uJgbFMgrOwRqyqBa4ClDB/rSt8O6UKPtghtdah0VWEp6hpTjLbujK4WVXWhvt+2AEB22/MUWaYdd
aQKK25UHcSbIhgnozKdTXQ24SYqk9cLz3PfsCLkqfj9RAmJLKFz1+ra5cmmB7428I4XK6u5t+nyb
0v+zxmMCCMrBFVD7Sw6Z8eojdJvp178fCqk17mG8zUAwXCxjp9F1AyWgrWpfTudx8Xi+BeNW6CnL
bjzRe7Ht4vDtdl0ocYJYiobh/u//iE/B4wvl0HQwzJiz9S7Fs/kOBiTiaPCSPil/rzvMQ8cx3RKC
Ca9/5pXdirGBB8JfMD26XFVI5aYBi6WoPOYlVbQtQw49+aCIFB7wcHS3JECvreCf4+1H9o9vVayW
a0wwHjjCushaNxQZI9N9aKPuRlZ85fSjqLMjT4BmRCgXPh8qc9L4XUTbKtwa/9si0ddfSNe+U5yk
fd6hAPgvMjt5fH1Cr34gkkN0A3HrvODNWhz6uIXaRqViwCXx33UnYESCO6psc+MDrw2F+3OXKUKj
GSnU8w/09Z6IKIq1c9yVNWv559Cb1HGC2PKNoa7NJeIeEK1REwc0a7+D/li2YZLdpNFkrODwALmy
TA0H5sMKpVln8rQ5MRwT8BNuhFzX9uafg+7f/8egqYkjD1YgOBepP94lhgXFyLvhbrCW32Wz+Vvd
G5z0HcKz51LgzIOt/3w80kDFR9RNV4Gb9yilw3tumyNCr+RYg5ZcDDS7FUNcm1e8T+ii728GMrnn
Q87h6ieKOg4Dbw7vDMAhQ5i4xnUJ6nXc5AOuoCOfsr9vsUKWGbQf4Cd2r57LU58In3k0XHllem2r
eYKFg0dT82Bs/PPvjwNwlzsdcFdovnSI9toBUMTa5xWY8vGphWx1wZfIFuPg6f/h5EHQHtgvIEJe
wi5DW09zqjSvuomzp5j13Rnw8fW0ztGtjv/LJxe5I5CkiMd22FJysWy2zdAK39K2Agatfwu06/BA
jLpl6/ty/2PWIpT0gJ8jO8zi+eaApMRc250zFcHvFvx/e0gyCyb64H9XK4/K11dqD8Kfv0LoE0M3
HekH6s5Q7X4+mg62HkL4AF+nfSOPauuyw8i8p9gKlafN7E6amg6yeaY+RmS51bd5eRAAAkPtHcKA
O6/ysgjfWCdtsIAMJuo6hn7fvN7BeWL4QKg1EBJWGmBJOr17/ZNfXqCQoQxR7gIkGWJXl/3xTLQp
6TOqK6Q/cyGE1kdYJHsFnOT+1v4dbTbwP5AAYTxA+i81tZaaNrNHZ1mBBwmL2NYyiIcz3dMhD5O0
vQEifxlRYLTf9I9dBAD39cVaUlxkySQgqVlH6s4BbVZukHMowhRYIZn172UdRWfgU06vT+i1cYF3
3j0AwHuDL9fzcfsJ9E0TAnwStTJ9nP2ufXIJTJCY8z40MjTHvoUwfbhiK78+8JWVBOBqp7tAVws9
nIuBuT9tMya2q9g0uXMwi+0cpta2gF13/i0vlqtfmaGoAu4k1NkvVd9MtKjE6qWrNKgSaFXYQOep
lv5B2PVJKKc+9lSuhZiTW5C3a5+JNsn/+abgobpYV7LMIUrvnqjG2Ec8KOfoqOptOfeTL29soatD
gYsBLgjuLxyR50sJM0DcolzvM5pFaIOBLhZ7E3siauxvHMNr8wlMEbi/QEcCXnB586iWdq03dJXI
QI8Ec1AfR28eQAgOg89zNIbHNYxtCRbILY92pJsvLx48+jsHFlUyxFKXEsV6dpqJeoFRAZyE5ihH
7hGw3I1wkct1E0jos9V+3RR1tKy4hLAbVGmZGkjpLW1YMphgLXlktiXJVeupDwF6ETVkmyM15M45
cpYAzCvou6tuzFOQd/6bPLy/Vb8S9n1NQSsqUrpQmeuBKgWWKhxJ8pGkBhakcLN0xcpXvCyhbDjG
4c3iTuAv9CPiSxP9O3dCyfMy15krQ2MjU9gR/yUGEpCVbSTAybmbRnHyYyF1IUcWfuVInqbSmGZ9
AxkJ1h4ts96/8RrTU58wofNg4Tw7Mnx1FVoOkpwZFhsWqEQ1uiL73VJSuG2Wo9dq8CH1FAAphCk8
+3pgMoe4CXQQHYVMSq4hFPaoeUP+ayG0OhU95KB/pW5txVnIwTzVhDlSErJGH1PZtv7ZA3QG8I4Z
mV6+DihXHus16z7MLIDg4ZL6/H7LeEAOJPT0D8CpxF77M92dbU1K7keV8SZ3YTK7oibefBZjpII3
2Zr4DyLxXXTfLBv7jAQgfDdv3H3rJe/+gTD19A2gmREwGt5NMGkJ4kfYQsYhavlD+M+gPfkAs2ry
tu8b/TPwgCIofN7192tX4+HwJ+QXOvDXJzwz03i0VjVvWyU8lkda0u8jwJh+SQxPumIOZ6nKWUGc
OvehgtDkm5y8H8pDCSSfaz2t9xQSBmPhWT98ayLgiE7bVneuMJ2N0mqJ0h4lfzhowrGALID4aWgE
ZTkUc8znoNH1m2AVhpfTSMzXtvGWHecqUlZky9w9KiQnv8IWoV/OR7ABTjOgnN996xpRqGGJosfQ
shbuWqyDQGecid6WAR/kl3mi9VCsdJsB72RmLKE9MJznqE8ILMZqEHLHzfafuplBQEurejFFbRTW
gnUKvmQASZBfBBEZ8EHgDE95YtnyJamVqO8kBvsBvkwkC1hAAFSEBBkhAFA263cHGad70avkJ2S0
8HQJWm9jJSXUBCsBdSRRRakd3moaeWmufTr5OUtMc9Coa6d5W8f2vxBlzp+NT92di2vRHX1vCz+a
VLKw8IY+0ZiT2kc4CuO0A3YuVGRawvhapGNHGTTuPa4PrJmXqXRSBvyw+nM/QFo4FLKAlNmwvtt4
uyVV51giIes1JA9T52yWo/rkf2PO79FRB5T27KJQ4O0bhfgxKxhy5quU3n0Tzew7FF3WD7EJUUgh
7bIGRYda/oPWaPoXYOpy8sNPOU3frgIqfyOK7nNJUmVA2Sfjooqt3qK2LxcxjM1hBfq6wWogzy56
NgPuYm0Cc2iAYug/ZPQC8q4OlwhOH9oAEZib1LnuPIfBCJ0+T6vG5GClxN+kNRB+GdOkG/4DPAgw
3gmCFn41IqB/skFr/R4GHk1NCvyIerhjEHgWOU9N494wEWxzDgSMe0gn4RFIKQ+AEzpvmtqvsUcA
qViCvnfFlHrpGfo505zbwNe6SHGg9Md5IdF6HCZmRe68Lf4Fc0/2COW9pIkg4hysb5lA3FMop3HG
stEtDDFqJ8U3CvLYlEM32rZPBoYX2ZQPKm2C9yJD/l9sScs/jTbwaJ4SPgv4+QUzsA5QEIJu0eg5
gCH1YoayYV0U5dnarPxIo9l+iWNWJ3kqWBaels1D2IaHPm0OcuVLcNg2qGgcVujahw8r9Hrkr3kL
WP0hmppevx/qgXzYAEWHgQMlZngTAyfNH00GTcyfnVcH/T2EDGjzJvWXLvwK4bowe8zmUQQlymre
+3Fsxg4XAiMJQJw66oooWcKoIKto+VEDaf+Ldql9iJ1w5qQC3DGHdIRW7Immg0Isz22jIEmlhq3o
kzbBInJPw8EiceYYNbVrD7EYoTQh69T+agLuR48ukfK/hQ/xBipNYlQh6t6Gj63cuk+jt5j6LmHg
NJdjwrP3qfUDWaF5JqcDXAeH/xKb9gnAVs36CSa7c1dYRID8oTF8SQ4UvycqN0thMUfWYGR3flLP
Wb50yuOnziOQ1bcZlHkgraT1fUR4zL6tZh7acurjbStJ141j7hstwvda8b55iw2oRJGYqPNUIX1s
tzcpwi+Iy/MUlJJu7UJ6TEaRqLydSGTAT2Zp+h5ABs9XRaKthJ+z4d5SzlB8hdiYFtOqDx0+Rj2O
mgH96nMrjCygV+GinE82uUeNdJYnOm8pPXBfrrg2vcWidFbDRI9UGVPc/OTRxv4xUdzqgvUqS6vB
xtGnLvXd9NCyMOOA98Gj6QPg3Elb9iSBJQzkim0ErkIWNnZbIEtE9YaQJGvwhD7O6Sg90Apgsk0Z
RPeahf4XRF3jP3Vd4M9fAqCYmqrtNnCvF/QX4+iQwLQ6O0w6cd0ORE2mChKsEMPQhgFNcXAyWNVX
n0HI08sbgI/EwdPeDOmunsBf/mjaVow5Aba+/YVIERqneJw3913BM08d0X125mPi+dNa6FE1uBUh
DRqULu0HIOKbTeChi1ZLceSDITq0mU0VYHnTNOYDsFcuT7d09P+lPGuHfNeliqAivowUxUHQyQvc
Xr3LWRYtY7HA90AXCyyl0sIPBW4A48N2a6+bmPUBlBdI8axz3TzZOZFr1dh6bR7DZRzuJ6/r2pJP
qnsIqPDkSULD2y8C17Hvc4s1hJxbJjrg6AGBKlquQtRGOmNpDrBnvJaNlXS5MwSXXL6FzG3F0i36
6wrpkqe5XynQ0VO61IXtufXzGnyl88L20EYLbnC5zaH5YueGWtiGJCzK28WsT/1sYg8Zpx+yYsWV
+pm6CRZM8M/pnqBujitXAhHVlAGuApHHloT8LfcN8pmACClzwQynJegQNla4w0xIiomEmzwY+F2L
0niuDw9r3SGDFtAK68ooWtcnvfRTVASoofF8aJKFQNTcdHOBQnMSYjNuM3vDQItpfmrZmqUrhrkW
wKejFNcXcZchCg5aaGjmOBBZe+iGJV4fxizW5KxJE4Wnrl/4cop1YMYj82qD3w4siVxhkTFJmnxU
45oogbjH6poCkK5SlpM27umjIkNnHse2IRa/bQSNNQ/TbSVZvpLUU18Ro6rxS6rGoX6qJWW4A30E
7w42p7Gw4/3swg3163Ax5hTUiXzDgNVgZapEY86kzjSbSvzN47+mhskY5e5ez+UM6ci+SjwxYV3a
DCEZLgdJcjYF6JhD/EPzfKUwDM+X2WbDCdWY0SuhsR+59zBMJp8C/GnbcQMYg+WLF05TJXEOxkPo
r9k3+DeOdR4YIDVPSjN4ESB/5LqKKELHe0eo/phuqG1WJHUpGDM9g8NBG2szPY2m8/x8SdLfyHwD
z5kUF0STt12scRN5UOd+XHjjQXoQT8tcBlPNf8RLmq04L238b+jqWBUupeydRkwSloBdkJOX+FAd
WzvaRQVymsbAXSSoQziZEf2A/Vd76OG0Y5RTdCWedESH5dhr/Ls+a4goBfDR/8EDBTaVI5qj7zlx
yz/GyfaN6iLUhrkAR/5BjB1B/KFqFqOI6aw6Nb5mII4MYKCGdVPPZRKIqKmgPka6io5z8CkWTTrl
hqwKmgdz1z/BkgN8Ua8jEy1AVgjfqgVshhysKmqOyLvUz20z8p7aLBtPi+zcV6gB0sd2pTDOsTPw
6ogeAvwfyUxXfeIiPWgReU896S2u4CbKzhaWoz8FTFv7d5mz4RM2ZjQhdWDeBwAcUvhyyU7cAeNQ
fyLSkzoXyCfe16JmCOj5NHzEZ5HmPm16hmF45j8t3kqDovcC80iTxQ8R8Oqtvk+GhXzRPqJYfEq9
mlO7JkNU6iiGKAdStu0LnDFw4iNqV3JEGjDVZ5WpLs0XifUps6GentpVTWkubMugjjDMmG0fb929
70L/R0+YwDsL3cXv8N4Kf3oDg/jjamj7uBiFly2zs8/zbsb1U+EokK9tp0xfKZDgYXlv4rgrOB0g
7r7y1h5x6MyWB4wH52wK99KRyxiEzaJOF3Tx57CIiLFpJaI5eBg49ijkteNa5q3uNlmgElv3J+oI
6aEpAIXsKg5b7w75hMcOyTAlPxrrAdizzZPkSKK3TuCFGfGGbFFP9RtEYrbPWa/j4KDxAoBLj87D
L7MOC8wEZwgeHUUs6u9msy1yBdtGcQVsfpLkQwhsUoTkloHV04RTTlcvWT9EOgsQb0JU434MNf5s
wNz8DhrHfZ8UYlu742Zrt+Q9l1H73s6B/wO+i4ktmEpFf5DxgvM/IX9ucX55ovEuJMEPkdKOlUMc
IMgXddIHyOJjwCcGFCuXwiRdCFNVklGRByDKubxZ+pkU3QBkMSpGMyqriXMAo3s9AeVG6eTb3Nhp
qfBsM42HuVNBHlBfkePQxqGo+kW1c2XjFDonfDC08Pq5XrHAqK2cmjYZ2jyYJpsVCWHN9Gapu/GN
hA6WyaGJQ7PHGunuae5k9AUorNrmg9ODhnMKjT60DfDMKPHwrWy6/W2IbAirUt+fENaHLYphxWJT
+z4hGvROmzSkvesVuoo5SN7kI4wX9XrSY0u/bIgfH9qJBf/C7KHvHjYOlTG8qZsaC9d30buwhzv6
27ZPxm8t8br+sCGq/bVseIyLDj/xvwHkGdwk65Y+Ook2U44o0fDTGg62Q2a7SVOME4DXSNXiGAFE
PG2PMUs37FJOELb0W/Lv2C8zu+t0D7vGxGVkLkCsi9EmI7FMIeK0aOxV+HzjHUt0R9/Y3q0pCjko
tDxBq1XYHNwC/S5kst4Ozl+GX1Is61xk8UIRUi11jGpQQJrve1qCFw7Xtjsg551/4jUIONQNew49
uc5iVpJs4YdYLTARX1a3lZINHr0npgmfgHkOPvQj9ZvCn1d7Ri+zQeqUpu27nsTrnI8hNMvyBCLR
JM/iTn8KasK/h9FEfpnFUHSl63E4LgaCYwXyNuTjBClwjHNI1Z3Itlnnps8gn8n/H3vn1Rw3mqXp
v9JRV7sXmAESfmO6L2Azk0lvROoGQUkUvPf49fuAVbMtphjMrTYz0TEVqRRFpfmAzxz7nveUVRYg
1KX5BQVglHba9ONnuRSFjAXoQ9K9XWpc5iuRJACqKP9aKmM3+kputrXDnNL+RAu1zU2wlBvJmqZF
zi2hhOTdlzMMAos5bp4rMSl6Kxm0frJAZJR3ulF2B5UKgdIq2A6XTZlkn2J4117iSA22mLPCCB1t
nmCAtNouHZf6cRyoDLGq2iRSUMh1TqScjqfkbPVOyLEaU2nfxVkc+3K+CYmqNQS3LZo4TnBmmSGy
LhmbMd5pdCmvbDJCdeSWnYg7IObl5qLL9ZnuPlE/NNy4Im2ZjCKkV4+sVC7fMdzSuo7kW5LLdeqE
81iy9c2ombAFuuoLURddxCAJp5sEC76ghxBURFYyauI3laR2aEVVkhmUKGXtl5wSMM2qmgbHdWom
46JpmhLi2DyRbmVBlD6bWTRK9tQ1m69dZpbXCbt+sdV6M+yNOax0W+gwQ3ZaD/0wUUm13NOQzjRs
IekUL5pxbmnuKuqjlUrGpLl6FYwCVtqYz0ioKn6Erif7VJtS+tgmIvGHVpxD1euCavzSDlF5YyYl
kcvW1NqNo1aq9hREU8akEXFaSCnL4pdYSeXDCPhttMVIoCfWog/hN2MsMQp7HCiEwUYVnzQ5qghm
hUOI/TTW7UGDq03AW0+Xw4a62MgezAU01sYstTupTZTdJh3Sx0KFgcuNWlV7weaaOY1Crd22OjSE
TiTO6SeCt8kXKVPnnvKvcniWKGvdEFtYMIQ0+s5H1GH0YLvoWF5+mSVw2VbXmdMDsE3EBEQsGruU
pkEbN6xKCRMqyHHgqnYa/DygZy4UfaqyrfU4FK0sLWcCI0YvRE4aNKvYpmfuZZ1JU0jATDW+TlHd
vgyUgrVWYRg0eZE7wuS2Di3RDVWrembPbV1/FVtEr8u2Ul9mZPMD4PDyIVbbDSGIWMWMCIQSKZpl
ddXYepwKo7vIEq2iSj3hqtOmFQ0iEeTpIA80B8GZTK1e9aFR7aphRBSMvRxfmkIIcaWmd6OTDtBE
2oMSo4lGvKIXqcOSooyzUHd5n9PfF19HeegSIDsXaop3aKO1O53j0eXQpXdRNsHUCh3lTozjaXNV
KDp7aBnoLmlH46hekvCEeEruo9jYNsR5cfFKTYn2MpHGzO2iJNtX8jQMXi4KnWlJuahOdq8NlWQb
NMEgZzEp2mBtWk1/BnbREAuZBgm7k2uCMp7gsm8m0ijbIRkNWHPSKD3L6IYmnMsJrr4zyKZQWUYn
E7wxQ1UB55DKEqb5YJREw9ukvh0HMY2dvlSmzupys48uidqHn7sN1NwUzqTdVZerUkdtRKFd5kWV
hbsMVX9TltFAjUKEB+BSy172VkvZWkv5+oTNWkil0tj0CpD8ru2TzK3nIb9tOh1/tZ90LPoA06MB
o6OZ5yV015CHdt14QQUfwSKTAuPF2vQayk3NVKBTqSAvqZW3Y11ZEiHH200xCtHWbJPkCaMIZ1AI
Kh32cJPIDCWdeXurCUGsbJtILR+SKil3YSGXT7GhBPf9PI3aGkmGD74jN2HYY4KDYy9tq+71Iq0G
Ow9rEmMmRNmlNWGv5f6Uq8a0KwncPdEeSbkOBT2N7Rrlb1ohUiBzxFGSejpIB/15KE86pFfEYiQL
qhECboWhCk8T3sZltKjdXT3M6VWZVthahVEadxwwlqsygvSsHAOcfTS1sbkRTUGId+kmlMHndlWx
uhnawHuE4awNybnMUgZLQ9spuIgKPkUyYNTNKk6mExgDsD36AleJTa5I9ZVw2NDbqUiVEmWpldfI
keKqLLIpQT9QQeU0gSq5sloXMmGtQTrHmhs4VFRUqcahqQiZHhpcOKgAYfLaquM0XKujNH/ui76L
92bXIhDDvt1s21yLdHtcO57YZaAaL0KtSpchQofDXIVd6mb6ZN7DryMRlo0L/WkOapCGo9kZbLWg
12/TtikSmk9oFOcVeVPpVmxCU2MZNFKL/Hjc9JInGoQH0HN1COqyyPKA8J4appbc6H27WrWGn5VE
85wpqaW7XlGyezXslQu60M401GpgzLbLcJp9sAkKuSi5SCpIQAUTQi0zih6brg/aLXjYkGY4ZvZ1
jimKsOoFbCkRfF3MPaMJMtHVClO9LLqeYxJNCYkcLVQm4pyYnqIzaFF1rZMa+65s6iGBeBiTCBlP
2NUywhxwQraE6pdM6ZIv9K8D77jAj7MNad2YHsqix/HcoAzwZDR92hOJg2C7CfU2vi7ktcJNLZry
BNL0ZxAFYOAVREFuEYDrcefuQKybGiZvUtK9ghFmRqJXia1ET8lIvUvCdrr/OBP9Dk6SARX6Nhgr
uyaUY28Tp23WwTdA9w36ZxbzhRy0k522CNGwpZlWIKVE1/AxdnnWjk4kDKbX58kpTuXXYrYjMAdd
laggBLC+8q0dAVTY7B2l/VEOujtozkhPytoaTJIv2igZBwc+dYzKKIQd2xqWCFXUdigCB7drcwmb
ChHbj2flZ8AMWVZQVfQvI0JIbe7bSek2UplHNT0+qa0uDrj05V0t5/EJ6O07OWtqt2GgXItI4JM+
nvpZacmTLLkrhlDIkbockQCaehYWS+T/3hsC/kOFvwJCB4P4eFtFZEjrLDQL18wG0+qjajwj6yGe
SML/nJymv6xpwE0AIoeWi+vm/gEBV+YsnDHl3FDbIARyPXspl7q5UwONWtSFfnaNUE+3H9/ae7NI
wkOVQPquPQjW138YlPj0CHjKyN0lqke7NCZ5q5hl4LVRWZyAFb57WMDcrUXowDd+qkIQaIS2AKEv
XCUKH6q+HHx5GFqbzF5xoAFHsN1AlOhBdtk+lPLS2Fm2KU8xif68N9mUP1zD0d4MN0Ioj53J/U4Q
B2FZZcUhErLN70c5rD3YYWkGbQCByjFaU6cV8kxsxGUszcIh6ENLDYiRd8ugfCE7g2mQpEP0BLLm
FHfye0KQGV6p++j4DAPt2yWlLHJBIiWFW2RKf4j1GiTlHDVgC6Dx6wQyyh9voXfHg4NHAz0Nt8pm
RXz8sIXiisJ8IWugnxWz2SV0D1hbSDVvUMnO9Ssf78fjvVOVyhqqgC+Aq+gI33WNfxiQGs1QnNWs
cIM8q6JdOjOSXW7U4DCPWnLRTHJ307bk6wqa2tCweSSNLKfColkbZTDcsMzVfd6nm08fX9e7Wwta
M/g8YSHXXsEnP1xWX6hyHEAw6dJZOf0s9FSVC3A8Wx+P8u5s010bDDfwGfzztzcf9VOHN7gBW7YQ
D4hNobxMpZFUNR7fOW3bT6FH35FKtHhB0sLwRMT4GBofaXWtDrgHLt1Qzd2m7zuPPKdKGA3klxh0
6vWiN+Xwe+9ybXgArR9kPRAob445Spc6lRTs1sJtiyp40dUkfaAsar6opGnZzQoluSd01s/C6XVE
yqppgwQ88LhuNMons4nnqHR1tUtg4FWVOyUziaUZi27HIL3tImN7z3NHHE/SwVTkoGI+XtufsFHr
NUCVqoGhBR15DLzumkFJkllgY4u6Bo/VYuxTZa11GwjAF1m48QyxMuykzvrfyyfHyFTmMOWQPHAB
R7uKvJrcBUkLKTnttrd9V4cuyJTWquaRplCDcoob/KddvI5HyRb96JFTP9lNqNA5nJe8pOnNJnk2
Iq3KHB2X6ssC0Wptb5bmVDuNn/YxI67Fx2tvFFBdxzwLU26SFQTrTWnVQCM6XWsvhwi0Skz/nTOw
DvoFgAr9hEj4SbuugwKG1yFlAm173Ig77ofCgAmudPvKKCzTXKiOJJUJWjA7ZaO8d3+r/maUFcDw
M9u6sFFImxRurItZbalCXudbOMMkw5IXsfNxHdLPBZPrf7xnXw/GG+uTe4RLGCA9BxXOoKOtUw4g
S8AHVa5A5dhNh0tLfMykFXiWjDIMaRDVPhD3S9y6Co1PoJILwgBDEB4i4FnkKEJ8oAiAx20USYFh
ZRsyoH+DNKFgajUSyUv8VP6L8SkPkRaUrlGVxVYgsOaCPq58wyQOFC3zcPnxnLy3u4mtgrjHnlvV
8FsZHZp1lyt4/G411jOVS1nkTUKknEFYl0J8lZyqjP2Z1YQ1QBuudW+UNfDj7YCVlpMazbvKDUaF
ELQYLFcYF+F0FtC56lKftaVzmzmSnzpho18kYpFfaZuhCay8WZTrqgX6/vunHIpNxDeaiuqDY2U4
dFU9tEVQubS/zV2zLastMZjIhZVL8nTgDyfk9zsnTYKBw4QQgyb08jFrAvEKuQjFkSlP5HjbN90X
ddZC14Aux/t4cX9S89hzVMbjaMHqRkHAkWm3KEGkhBvSJwnWcmtpYiy/QJN3it3wZ12w7h8ouFhS
ZXUL3i5pONKwhaZftZsWlegB+YFVWpaFvbFkoyWrADbqQJd3uAynqKl+9ifXYhEgukgSisTg/Hw7
NK3PzVIf5dqVSU3iQKeANHQ9cjrIrAa36hVt15Vj724i7BylM6vLqO7bR1ykU912f15VuiLKwNol
VeIkHZNrpyN+pAhAA4oAI9gK0zh9N6nbuRo7te5P7Nh3x8KuxI0n+A+949u7xhs2QEEzllGLnZVN
Mmy7UrJY0zyn7sdb6L2hKK3E3YOHdiUlfDtU0atVuRhq7YpzqzhssWy3CfL7VKqTE9L55826nkJ4
DyARhq3yWBKRNpGBvpos5ZQurUWEGIxo1IZVeGL2fiooYc9AJi8xfbQBQx+8vSVqxupR6RNaSDXz
Q9tpdwI1EM4yJK2rajSeXmQCUPoKRqiFOj1xJN+bT26R4MdKw4PCfTt4W4ryHC3c5ShkpteQrdmB
Toq3abNUJ4b6Wc2+tgOkZTnnH1vi6D6pPZAq4DKNqydq52WVqF3NWE6uqAcVQBt8JJW0m9mcCHa8
eyZ1cmj/Oe5RMcBGqyMxpbcqkDJkwlgP4S7PDcnbFFXrFbShdGA5bHZ5YppomK65XZTGeC5oVn1K
sr+zpXD0yLViExINOa6jWZQQtuG0aOj90Ws2uHRxnyeVfmKe3x0Fy1CHq1ljVY/mOachQoRv3rgz
uVWHSFN3VhLb/vy7D+JKvbBWjjIQMZe3GwfuUQnVWDcufboKvxrmyKVb3caaCmk6oaA0vuqtmUR1
Mc4MjhslZEjXt0OVMOaFRr3hgNRZ4xoZfTnDVi5eJs6TZUzQ45w4ke8OSNtnkXvYUHG87uQf3NHI
mCSwIXpDsgkax5FyaidL1W8gCyg/UNPsxIK9cwZXuQmnGNwxQJyP1CIdmCP6vpQtBAmhbMeFKhLw
yER7ZlJPHIb39oZK61ZKDVEMcP++vTOg0/qUmXTIaJjta2mk65djatAMnFiy98bBoMZlgLJFM46r
RegJV0VpGkK92xmGawbdBZUgp3qlvTdvr50xOVE6FYbrRfywTD2+rBAGY+OOkQlNLJkCL9T7xVEL
jvjHu/0d2UX7rrVPBVYFN3YkQ1pJ7YZmqugAp8hrq18o9oK4Be8yxNM5fPOa3cfD76aEZNtTWERs
cY2+6sfdymivFVVDMraulOO0m83YbNfiimpupRO67p2ZRA6Ixto+GdPpmC9AoqywGM2idY2EVh9j
Slu7hLphezTIvX08k+/sDKYRWiB9JSegovDtorVrzTemU+tmNHC5IgWlW0qnDif2+TsnGI0mYZMQ
MTXV436eWgHj17Qo7PMsnd0kKqNtQeKN/grk/Agj/w0WEBWhhIJhk0UYHpegboJWlrK579wyouS7
FyfdqgsswCSPpl/jDf/+dfo/4Ut59avga//yH/z+taxm0uJRd/TrXy6rl+K2a15euvPn6j/Wj/6/
t7794F/O469N2Zbfu+N3vfkQ3//b+M5z9/zmF7fo4m6+7l+a+ealJeb4OgBXur7z//fFP728fsvd
XL38+ZevZV9067eRXCh++e2l3bc//7IWkv/7j1//22sXzzkfs8uvZfun/3X28pLFRfi//7Rrs+fi
W3v8BS/PbffnX0zt3zAVUE/0z8FwgG7slz+NL7+9QtMzYqBEahQRL+SXPxVl00V//kWQpH/DUOYz
BoFRbCI+05b9ry9t/g2adD4gUjPJzqUA/T8v9M2K/XUF/1T0+VUZF13751+0tyYfdeQQkdJKBZQR
1jL+/1HcdyFWBduhvPFBxlvqcJaEWxoVG5vLPN91jUOBTF7cZoUIdBTMr7iduq0mn2kUi8yFTAJ+
XyxODQ6R8rHIqWJ7WLbiSLXDvjE8pXc1UPWK3VZO3d4OiS8LvhBsG2BxOoiZQ74B/WY4Ed03kn1T
7OTxEGi7Eeacnsy7o3V+Pp1Vyy4uvWDYxvNd3pDoPwe9+dDe5d+mZ/X79Fz4gnIx59dx8jRTuxec
CKopbw/wzzN0ZOdvDGrN8BY3viG47ef5Rf9Ufq4/02pc/SS+DPRN+CJVjv6l/Fx+7l+KCJiitXwB
zhDd5gAjvH5+mWnUt8Hxs0pacpXbMTnrk69aKltL7SfLORQwc+LN5a5LfSncqv1TJnyfKTfKx8ia
kqtxdn7Yrb9tgh8X/dUi+qsZ89MtHbulela1MkihjT/SZK65hvBCNM5U4b7aXJGIvli+C9fGY3/I
75aH9El2hcxKnzrgBoNdLJZZ22JOTt+qbsbAmgOLrARBRtKVJ1hyTl7mkar7b7rMUxvkOG7zL7BB
TkmFYzvwf55UeEcoQKxkkFA28R/Ju761HXIpq3Mt12Q/pkTIGjIpsxOZfEqgOencGe7HB/bUaEdC
+u8c7bX7xZF4INAto19wDikoP5J4jbKUoTLEit/bmj/bo6vYiZM4HHrbdBHx9sJDtUGBe6ETOqeo
WvGnmb0PLkA/sswA8FOBkUeKr/ijK7qwCy+9rTRWm5GKtNTH2e4OQME7xR7ujOfpGyTLm/tNDbaL
LrOWQI9o0Ur31a1Jw6XQptKjIX7+Jd7DaCsHUO5a9X3+El53kp1rkHPY6b1wIetWdxbfi8TldIu/
05dhm4m//aJUFnYU6FngXQALYSkAR19Sk+amrZsAXQts7Q4Wtu9R7gj3wnlyM1KRRnHUPrwKn5Zn
Yic9vOUXozPchIodZPYhsPpD80DJXJVZ1Fxa2qP00H4b/PRy/gQywclvSFFR3nST1rZCQZZq3cke
XE8h1aNU+KjUrlN15S1PyU6KHDCd8feIV79XX4uv1VdIRamx4Y9cWdrFNxFUy7YZ3Fnigm25us80
OwG6nfqlYDcqLEsW9a/F581Z7LSUJhcWuM7+tvODyqE5QHQmAn084ZidXuYj+f7HMv8rLvMpaXIc
iP5HS5O3/vKrrYOJTVYBxswNTvMqW39wzethkoxozhS/2oQv1OZfzVO91lC3y9ZsZErKZeVUdv/U
kEfK4R8x5FFo8bfbXDkxuFdgc8c0pCkRodqUCwqR3NmmJ7R992lxowv7lHt5cqAj5fA3D/SKlDpW
AqRMcEpIZcO4dTSLMd0DNkZLIc0QBIFNYcJoFQB4bdDl2008TV5bTeFWN1vNlmk55wkL0bhGo3i1
aWbDVSWhdjbFnO9mcO77SFBEW4mppyCaWnvajORtLupqqGw6SKPgqJh0gvRu2iiZJ6bwJn2swl9z
ZR/dzpEOL9oU6o44UShOt3Pw2ZY4QQNgjYtVN1yCTT1nWDhwBqLMBksULPFxiu2pvkJxBINFIzJ9
Oi+es9zSnTK1Tyndd4/pj9N9tK5hTr+dJOf6Ziz7HdyJ1Q4+FQpIk9vm0njUtsZ281jhGxiX45fh
fPKb8/hExvXUkh83F/oXX3L1SL/9Vy/5uuM+2JHqUQS2jPJC3AiYefUzsF+Ay9Vz21vReXFC0Z/a
Wsetzf8ZW+vUvR4FaP/me31F9xxP6tprl14rwIAAVbxVN1ToZAnsior/+Cjal5eh1VlPT/e3tyei
Eq+L89E4R+IkpCh9MNdx5n140+0iu7bEfeCH2273pdo1OwWzXbMxkHetNVk+0H07sCjGsMZDdVFY
z897xxV8d0+pk0Xx60VlfVIszSqsi84eLfOkUf/KrfzRBR/LF0qp4rpEvpR0B79B/gWh3V+bXnQl
Re7KZWOLuwa2i9gurqt9fdmItqjY1CIE9/ruhCxed/YH1/IKI/vBJgj/iddyasO86tsfruVv3TDv
6u0fNuYxdEqNQkKRORtmoJbM0vbt5x1KpvQV06oydxpPHfpTcyy/PQhjUrdUorLenTN9zSfHvMzu
arqcbRw5ciLSWINdydhhVrKV6R4r36UDwUO7duqAvL3Tn2xUcOqCjkTAf/uJOblia6rkh53x967Y
Ef7oVxPyxx1yZCm3Wm8OacwOKeis6Iu4xXawVRRH+k49GeVP8Mr83bvkSFz+03fJyUk4kqv/iEl4
L4AI7gtiS2L+a+ftI9EoJ5AvjW2l+I7zubQ+V97on3+mW5Xz6CWO9RK6Vuu0jnH5ZF/DQmFtb28v
ZBuGDWd7NtuPW2d7n1jbj0UkmIT3ZORfL+o4OwYFidGWCxcl+rrVOCgaW7tWrcmL7jS/n62BrgD8
1u7Ls3bPQX7UzhtPvCb/85V3woa2nTn6tG6zHgTvW72Vn1Snt81tYNfb1AKgcw/3inUduNcPmS1d
ae68J16y3Qm2YBuOtiOQZk9bw4n9ztJtnm5n+VehlXjTWeS9LPbgQu3tVO5Lc6bIlnJ3RWhKcLGd
X8rzwFGuOutFsP1d6uvuwARqlu0+QavC16e28c1wXuASsFy7sfatE3jRF1T1l9BvvZhv1SzJj+2v
V+q5lR+uDEd3VXdnoqF0u+I6NCez3NbrLHE32BDb7BTe0XqmDffdofgUM6TmqDf6xRouk3xx9yn5
3u1779NgT3vu52tqf9Wcw9PofLowrE+Et+xPVze57SsMV1jlbnQKlLH/iZcOcJmo+71rWLxd3mdr
7E30yl1h7S9ur6/hlLE6T7U096x118fjaKfW2bfpEhIzr7cbp3U756y3vz1sEP25RZW8k9jfVD6X
86nGKQ65NXiPZ711Dv0uuw4F4Yz24/lZsmuc2iU6dBkdzorD+mWV03jRbtwPj/X3ubEqii/seZ8c
kl3f8E8yP1a/T2zBm642hA+Tw7yHbodh1yuk1zPPByrkeKTWt4sn1Q8uDet5+723Hh7E69iBTEe0
rPqQWRArWpXbOuKj+5TuOlezBrfcPbVO74zOsh89/ZxpFuzJ2oWWDz2KtS3s7cj9nTgJb9PEv4nF
Hw7CkRVf9UtEMQsHQbVIFXOn3MC5tyv92Lo8BxPlFYfRda50P7Ok/VO7c6U9l+jNnms7J6y+U5Li
GDTxXyIpTs3PkaJvurruJsgLmZ91UwXn+uXongtWa9X2Z8mBJcPK7f3zfLBd2ecMQIHihVeH/f72
+sT0nBZaRzr+D6H1h9D6nym0jmzHf+ahPCUfjszKf6b8/BVrfOz5kdZaAXyYW8B339rUgtIFS1Qi
rFZl1jiiv+rH1h28wevd3l28hZ/5w+RNHrkne31t3tdoye71fWtGan0N0iOvfC52kid5xn5xNrbk
qN7GjezcTd3YTRzBHbb6zbAdtoKtORg0jsnPGItavSbjs6G7beMVD70z2Zp16B13cNX94D6HjukY
7qpJNT/Zja5wO6NFYQrzRv63snOHPA0+OxYDbMcO0vQCMjHr/lm2nyv+f3XxMRr8l9w2rkq0403q
X90oTodhNFg3pX3Y9FZ6MC/qr7K/2Ac0bWEdrg6fnjSCApG1zTAfHkrLtJZXrY2a/nb2oGIrEM/Q
LSxAaiGs6976ts7N9/WCbr+jvnl95PXVqPj27RvZ0L2duHTR8zI/x3hVrNnrPcpLmJbIae9rZ/Y0
L3cqfzUKDFt3Mv9jvc16vmPB/rjWR6Z8bEwrx1dJ5J/V65m93jZ4risvo8rXlTyD1AzDdl1GZT+6
1a7YGX61mxxKID2R1OOGIEqFFR676jbzaMnmJfxWEF/PXRhHWHDZ0b2I5V//r/YjTyCYkXix29oZ
r/Nur7Rp0rTN/ZRXp216js9bmY54SeeuwRW9BRM09erD/ChQ199YyqXkAyT02t3izg6WfuBurI03
uaodYk1D5LveDA+Jq4rdgNvQeM4u1pujY3HXbm/nZ6DFLzUflgICQbDFepUT2HySwDGMeqxM6XX2
ZlvZdgGexo22Vn0n7pYL+bo81LvNofPtyA2dwiYAbC1cjrQvtrFlYZ67tQ/c0PXGXXfRXYie6BR7
vun82uktw472OZ8qz4DscXzwABzRzjAkMQzt+GHg98wtHQizvIFscmfFtsI+7tyOqTgj7oQBuvEp
8nE1njo3hNG+Hh4CA1v9YB5ib2va0CvdzZe9Z8W7cGdD/OOfqsQ6LSqOvLI/RMW/rKig8udjUXHs
7Aa9IqSxgagYvBZBQXsJf0DgT15wPf2mGALO0gYZsb6iPtJRA/kgOaI7cwIDH4g0KInCSbzcF+yv
Aw4rm9bdxbJdPra4A71DFZ0Ts591DmFmZ/7eKc6783GnPdIsylIsKCftZT9fAjtwOBWhW3hw7q7+
Bad3tkn+85XKpWhdbB6jm87O9uau82nQsN94sg/6ahddwDPDdxuvJwdpdwqG8kok8IH6PAYfNwOY
2QgyI18mJLCe6N7Gkz+H6pzZ6l316+INToVaXDz1MdstSCUIlxzZWeXk+tBsyQKh7GdOzuy1tuJm
TusnHnQlfsi/6SO6hSPXoY04P2mq6Id72sN4rV/70pdV9qZI1gL5mjilD/81n8tBp6zvja9jlC+Q
Oqc+53PIXunL+g3SNvFqPh85rI2b24EjMOHDWe6v7/r1ne3L+o6SR+Stf8ND58V7aVv7/GTE2K3t
1s+57ph1ybzazvgbIhmeuVt5XBP3WKAFMq/nClapHzgR95H7PM9h8OF+1shFuE+cZVuu1+OtP7lO
7qTkXevIr8/LVU+sn0PYXgzbHJG7il0dA0InoBDbV+kux2Y4LPZqP8BHfK3u2112k9woj+UO8Y1u
7S7aO2k/OpNn+ARsXo2cCc9+NWZUHpLT+wWroNiRTb8mu3fRGMhveNH98lVGl053sbhId3vVLhvW
K9yu+3FiDUROSeBWdmc3tujQPeFGtSUSCqkTucJV7KVe5Eauk1xHGCc08Ea9r6qrRiE0XuDO28wP
UWmzNzs5r3UekYTVoFC41sFbVTXcUsQpYAxHCSRucTM7kn2gwc13FcMisKPzAKNhttQrcrv70Lkt
Qf34GVGewjduEj92UPMBei2wMUpmzpbbMHMqM0lKBhpGu7SFc92H2c2vd+2hPej+7XmNqmxQY+cj
OnTDhTd26jxKnspNt0xQ61Zs+/V8BW4M+Cn1YIkBCHW2PTN3o/Ww3qHBxHDJXL6z7bfkc1G5PQeE
q3UoHHFKQluVq1+bXIHpm66F6hssSydqsNj32wA9j122JRS+a3fyvj1I/uZR+ap9bZ35a8jObJ30
YByG7Q6/urSX1dG2NjbmV26dEcpxzhfv0Rtc4ZylxfIMfVBqV8Ie8iXX/l4gH75/z+zrb6TT7dv7
i+fEur8frW9YfQELZvfb5F67cM5Wa0+yFutmDbG01t06Co0CLAjxbei8LJ1wz2rrPZjbxiEM4qzb
jKKmrXlFRQIztM7FKgA0LNnBUx0oS4lIEW/yx215VrIwqyxcZytgaWr2AeX4DnkhrJ4DwCvCe6MH
29N2z0qu5jjtRdh162YiW84WgqHSxlhmO8zs1xwBW2Nn2rpf7nRfYuLkvfYoEBoqfG7LvoAuz56Z
mIMdbdfwnuWaviu7+WV4+b10U4yIgL1f8ADXxi2sghp+YRZyvVTNjfga4UTIgs7FJ1TP+voPUX6l
MuhiMbXkSV6jdbW7efVJ1gO7WqjroSCD8uqfTI+r77Ee6PIC5eNBzeeq3uLALuNJDrT+BwkB21+E
Zzq/dzvRlWMr3Cr2enY1+3w1U9VD5X2RrP4eKeYUl6+WKlJtlWNYrF7hpfveh3oSWZxez/e939xm
Tn/e+pKFtON9SEJfOit95DSSOUECl+iqVdZh+RLbTFeUIA/cDLOylcvpenO7uY0P/ZN0oZ6nh3Cn
XgyfSn+yBD5lumuIlMjqlYlvsMrCVQ5LFte2Slk0Q+qnnFsNWfjrdwv8Fh4Uq8FjUrBh2Tbb0DM4
ZOsqrQFGbOszyZ3s6GH0eBfh3IHPjFe0Et1NZ0hmP7uFGYFRuy0BW4fAXediwRb3oZNhYxOX/jR+
avzeqbE7KdLgmBt8a+AmvoF4STjEM0p7YTc9N7aNWd2wPVknVjDy2y8ZTk3lbK7x4zj/qwuU+NKO
aCi7kHDpat3yc/DWlaZJBeZGj6nRYfuuxsa65qvBXgPkaQjG4p2yEbEZ/PhyJsYp8I2Fn3FuDMQj
DzdBaFNiTFAV2cVkROxqifh4j1ktImFNf8Tdqr5fgIX09MMapNVfxViI7c5LzsYq+Rt3w1st8Z4Q
68SsrR+f3AVfgaYBvH89wutxNRHYJm5qyIxkzDnNDa7yT4i5XWDnuDOsFTshR7StDi+OJ4jRNYHR
8f2ru9PvRMtGgnOc9FdV9DozWwi6Hf1pPBN2FJgjDXh42X7wO9vcFRciYMniYdir5yzXGnS3omfh
GkXuBrd0eVi30kXgGDuer1vRAK76q0KdrOpTyiWsToR6YTgyz1W5pvfBTrhBMZ/l98N2OlsV87rh
1m8QcE2CV6MCo8QrnHi7OoMLh+gLnne7ayl/iC30EI91NRKE9sY7bDzd/bpu5BijYPQjXECMDqYg
Pyzn/WXlb2OvsO3spSdQbbC6PYmQmvUznZit3PmRVdSW/Y19zASts63cRP66q1cPuf60zjZaEWeH
vX63qiHhbn3v+r+G3W7Xf6u7xN/crJpz9QYjHzcKb5B322y7EwbhSR9bOQr+/uFj/+Fj/7X4SFqj
kB+5E0fheirrO4gQiMYlGL+r4mgx8p5XMbk5PwXKpEP6idHW13/QtH84L384L384L384L384Lz+W
//5YR7hGQD8S30eZHUnI89BcxTdQA2LSO5/uEP+XvS9tkttWsv0rN+53OggC4PJi7o0YkKy1t+pV
0hdGr9w3cOevfwclv+sWpekav/GM7RiHHC2rq7oLxJLIPJl5jnuiCfDUZywSNv9fn3E6CFukCv4K
wv4Kwv4KwuB3/RWE/f5B2EkvepGo+i950Uel5A9s/rJFQ9frFLpqyJQMLjvmPaqtSpwXZ/RSJVZV
5RjyjwJgBbK7/JhDrBCbWsCNIQPoQ4QIYGrqz8BhFL79FTVCnZ7tPb8qXDZ1X0tH6C8P8w7wNvol
fb4eABt0AHFGFD2WXojyNwXIKMzjK866V/Hxqbqvk0+6qPv68z7pyfTXshPkf2n66yv95neb3wQJ
DriBFXPgIl4dZA+Opr5Vmx9oHfA6hbnd37/cT+4TQFUIG4h7fKPygKbvUSY44CtV0LrC+4BDbWfv
6XoWlzXe2rgA1W81cYlSgl1xWVw2a/uqfTCu6AU9Hw/sFiyIALRrVI5YSFc1gJbE1dXVc4ZU4RVQ
zUxcAYqad/NO36ImdTeva48D6u9WJdDRaEXccjuhmLX2VEnIiOA6Wgn8dC/m3edMWIe3t5tI3CAN
gLFq3kvsHd6QA6B4BmgjAauf3HtVtqmt9vd7AN9nEF11X14SF7UfyPwB/b+X3j1SG8AFuXpglHCi
KqRTf6tX1NMf7jEXxznCb25X+IJ3qKKCw8vHxR4/RtHfrcwits/i1EnttGOoVVZ/9kj5uF8Gf/RK
8ckSq1s04jxA9kBcj+L22Mu+RvGy8M8E6l/OUEFzhx4ZPxSBB3UmodJ2UHRyV9DjBsgXIzGBZ0mA
ud6/oNRmOs7aG2pfEv9tOlFuekyhfrTHFk71SMGVNhrIB0AQ61PwijLr9bCzbuJH86AfjMN41fhg
kRwjz0CJpQkGITESV5uFdW7foDmQgfcMwkyo/Hkqn00k+SAGC+kht4EiU+qicdA4mH4/iP7zxytw
JGb6aNwLR93pGquvApyN6QKay4n3qlKgufsMgTXhQYvnHKI7d/kKmK6veelNegOdT6EydzEyQgrT
VvXBH4/p2GD30ZgWbn0rQ0bTSuVWkKFiLjJRSIXQVXtmo45L5fNQECOazbHWxG3Rxk/8EpVA5GFY
7VC7hI4pZDaRBQQfGqB6ij2fYKioiUGOaEAKMztHzgheU7Hmn9GiemIrgAvoRwHWu129uNmTIoKK
tIbxq2yBjfGqJC3yBueq5GdCylZlB1R+qEDh0uCH16p8qUcmLrhH7gf1aO2lqkZr7jL8rdLbKskc
IP2s0umqnEmlv1WRvdrvMWRnfFAlgO2VefQQ3kpnXzOvpqIA8DxtEpRfN8hgNl58NgKlezQvZ3+j
Sn5st8J1j8QvVtFG4rRB3q9fHdNpAKHViLPteCxLgh446tfYpapX6H260+EiFEgUv1XrYf/yEvhv
b3dnr/n6+gqiSEUhcP5go2IPXyKcwZs3x2tQoabQcYV5q3tffR2AfCNvjURBt1H/VlkghZUjvQhw
XR7zyUjZ/he3l7GgqehYEQcTxZbPhX6sQUC/7kZN73BHN5DAQ/YsFpEbw5TA8O52sBg3lTuJyr3T
xV3u3d3dlEhyHJ8QNvHw8lKg907ZyI/PwY89xF/20bFB8x3yqY9F3NMOA62vs0tmwutCpdm6X5eq
CmwtsUhQ/Ho48aFHsuoPTt+xI/Ddp/51W/5P3ZYn98Mia/Ob7IdTxthYOE+/32k5ZXYVMdv7RMFf
ZvePZXYXHtIf7FY/5SgdiSLemcX/CUfplNO5VH/5ozidp9z+pcLIH9fttxSa8N1laUELB4xiEFWi
C+vIyzoE6QhcPfvwpUflzmU5braXxU1zTjYo8vZeUUnhZ+I1PQ/hyaH2wOvuUEbvxju4F5t8h9oe
gWIfhHfPo8vXDWrJwFm1NlfzeQkkJhEo1OvP02NdReGqLoPoDkKJ6zh1o0O1LguRHGQtDhkiPTRr
nnBlTz7ewqT+yR7vSCv/3eqBMV3xp6OVd0kBaOdNHrfKwdIhoX7boUSGPVjeJ+Waq1rY0YMz7spb
hB8IQNJNujePtaK1252rOtBkpdpEerDXiHYS0OjOVN2eah7wkksUWa3ycwchvyo56pAhVwWXKOVx
KdY0dMd1iA6CkojBXEN72+n8jx25kw+38Bb+VA9Hf1j5/W7lFudu0tOwgKAU+DosgB37wz1wjftP
iKNRe6cDBVmvr6DPjIqjIzp5tb46VGiXIS7ikRPhhLq2PtpDiyNSB2AyyqDStL5cbXc3H6/hycdc
3Jn/jY95JNz+6DkXQAGnULHtJKCa2le1pOnFDJBmBRUs8aTAl6fthSEeP5+tQ/SPxrvtBSAbsNPg
lcsnFDvibaULDE3BCpP/ha6bLVvlV8aZuTH39ia/CVtRbj6ePTWij0a8gBHmwLGgEoIRg9t2tQeg
9/GvZz8M89/twUWY36YlKw0L1kM6IIMS6eSm90+qmYycMVfH3wUqMPlGVWiqSvTMI5sV2auycRXB
R6vIu25yl75JdOUDsRjOoGEA4xAI6mbXsy8FitNEP/jB9ccDPzEvS7mIbjR1LZoxL/nhM1rHDqcC
7B/fGr9MjLOA4Kt6jFoK6aX1vkUX8YyqULBluSWwPUComrhVO2NG7P0EXHW1FWt0shX4Bl89QfFD
vOK/1ytw3dxJ8bmCTysFRomGNoUQRojCd1Jc4y5Eg9MNcLw3Xegoy3s7sbpUoQAf7J6lfJRWzVqi
R3gIWJUJg//kiE81AGCFFn85V9/pvVqVs+KCb/2zz2rxtLUU3seLdercLfUv//jnzlnY5l977k5t
34XB/e2378Lo/jm378Jc/3dt3xO3o7Owwb/qdjxlgJeya38YA2z8eFaQiIJ+MQXz4wKBLFKNNNwc
2PopQntSsy5B3AOw8QG2zr2Bi3IHe+ehl0IlqU50LkDj6IeG7ZcPX1jnbG6NUqMj+mtzt75I0FE0
oxd28s+PzF6XuU83BYrtVTm/g2aqEWRTqPO84WiEetrLm1AKuxZRgoschdfo6VIWHpwadNN7wWeU
pK8uLnQ8h+G9JXiKfm3vdaR/E5GjK6f0qHuj43+n7bhWrUYJAPt4pW8S8IeE6CJBkkYBrYlvbFLE
P/kq8XOUWONFdH8YcKANT/cM71H50TVe+NjYgnfzxOQYeP1dlD/VMVgoIeS29ix0Uk9oplEWf1/i
6pngVqp/6jD951/0YzeN6q1BtzG+Y4lP/y+LpbqwR/SW05W6IyBdj96ALw5+ssa3ldekOnFUP6L6
bV9qgde+/omu1HvAH4yg8BYtYCjiV2X+FZIZSBn6BpKDtkC3oTuivUtl2UG5pf6Ncn90JKEt3ELH
QH9ssBjwU+idgu7h+mv1PtkRXFAj+Gg+nrL/4H76ZTup7fZuxvKQ5F2ZYjvpiJJq8RSKbe1e34Zw
9eAaNqLwVuobao9Ax3T75cvD5D1QF8x1FZyex8cXMNjgDk/Ey+FtF2PXV26EzZB7p9b25MZf3Ev/
mzb+D2mjoDH7L4u0uFRrGRR9lWMVj+68QirUH7Voyn1LVrfbW/QQoZcIDeRHpz/G+t4+PdVwzA5v
9/egHnh9tcH9lCIeDrbKw0M/7dnu7e0NvYQ3G/dNQzpWLe4OCpQ4z+4NWvRitOhU6MMr1mhwU/na
ZHcT+ZM4YfNOPt3iRv9zPd1po7W46/8yWieN1sIt+d2M1klPYRFj/qaewg8dbQeKmxC0IZB0WkxS
EJhxNo24C3FLNTjuIUJ43FYlTMLu0VzpItudsNE/pJyFIty/PnLxuLGhtWZi4CMji7yMug1WCltC
gKV9YhHaT3vSr/OESC9N83xVzOBIZQRUoywVEMn9NAwg2q/zonE1vbrKe+Opimq3Lya55laqFBh7
/dSIf+gw/DJitnDl8iRNedDAcIKJpEcfLkpyIrfaUjGdAx9s0di7qUADcveoihJ2FyH4+U/cwEeU
/7tI9d0QFg5dLi02mQxDQGCtTPR16KtGOUVnlwlFC6P6BkPUCR3gXd28ZaiF+NgHMJRX9NEIFl5T
PkLsLqoxgnMVHb8czhUh4uUKnH4Q8xRnd7tEHE585Kl5X7odv/28H5nMP3rqhT/RVF07aBqemqxq
eHKoC6tdYF+AOmqUFdTrGedFESOAyacXg3eBPj7lGubiUKCaIPZQIDFtsCTK++WA/YFyoEjp7f7j
mfqxrXu3PRZX+2j3mmYUGOY9busn5WHCK4PbCUhDubSfvHXvgo+oEleKZPGZgVhI0TauL6SKQ1Rj
92ZzqzwBNfRB4TEuGtHv799u3j4e6cmNrNb8vSv5m2/kk0u6uEl/pyU9ZSaV7Nn7ifr9zeSp07qw
63mY0iGtsAdzcX51tvl435z45cva5l/3y49CEx+c8mN9xLtNmYyU68GAKwmnpcEBJqApATGJm54n
D604U13wsZtdlCip6kA5Bn4N0H1V4gLkDKri6UVlHD77Hz/xqTO9rPz9/c40OeFELEnkfwsn4sRt
dJy8dyv2G9xGJzfJwsbmc2xalVSbRHdBJRaikBfeEm6AxlXUt+pO0MSX0UPMv+YoopsAgKSr4AK1
iGvUMt6gN9894ZmcHNPSmv4RxrSwr7/lYfpZjvLq61le6F8u/vnPf++aVj5m8WPxN9HJ18fub+Xb
327axzZu2vi5+RNIXyp9yv9Y+hKEFuXrjwQv1Y99FbzUzJ8MCO3akHpXGpW2hbX5KnipWT9B6VJp
1zLHgrqYDUfnZ8VL0/iJQmUS+rw2h04vZM7/pXhpErwEfUzozxKTQsjH+TWCl0TdEL+YYc44YVyn
4H+0LQjoQlL52ysvKYuIsK5gbmzFzaFJHLJlMrwN7Db2+34Kto6MUe/bzTMEMTS+NuwkvkiCzNjF
SVqsiBw8uzKjm1BP2WaOowt7sKBGprXpYSTW1bvJ/XlHve+wPPJRLkeLeYHOpwNmcONYqvbOBA12
FSSlVlB3DEhzHxQZAQN1Ke3bipbmIEpWmbALztYwqgFczKyrr6Ne5iOI9ROybeO4aXyHUMCfEbU3
lGdUZFHWwn10uiQSPJ47RyST9pqOCbj86ry9SGoLShETSyMBqZ35EJmG5nXlzG8qOwilyxyNziIJ
co5UXK7P6Mnpg/Yuqjlk0QxTS6+IEehunFmV4RYyyL44aV6eEsYmyjX5dmawlgZUxW0GFWRoSH+7
ju2QzYznNaBCiL3xpJ1WzmDmnzPD0UCEYTWxm9iBjrxnRC6qKm6R9LOK8baqrBK6nEUs3bmKEdjo
U0T8wqyMQ1wXTi40zoEqM1qfiK6wTb8bMGSoMVZOUSiCJf12wBB5bezG5MSVNNRu2iLItnrJjec2
swspZMyjnW5UwV3MQw6/OTDsjRXQW6MhOnBse+4DBKn8zEo6SMCZYW1pYqD6dK/XtL0Pcjyj2wXp
0ECMromu+6oZD2PfdaMr54mIERLelcstJ+D4sTH5MiepKUUWZJrfGgTy5bwdiBTYJ9FLN5tQY0h6
xkHWPBRorpraCURt41gd5qFt/UCrutq1tCkdvcGKbq1iCD51lCRub0b5dRtb1WOn4zESPieGNzsV
iuTHMBrdMbe1z5HRyc1E7OalgXC2aMcswuDLXE5eP5vOOeWWdjU4VnVZ5lOGgKEl8eHjk6Xs03L/
QH6cmjr+qPO1cH21Opcy0DXiDrSO19IKYigsJZgSmtkBCrlDSEn5gxGAvqwwbb8gobOyuo5dJwPN
uKtppjAb3e2Z7K9iK7GYb1Od3NZ9OALptGl9GUKPrHFN2kZc2EOYnDtTZQyingMZ+QOppvMuKDdV
VMhByCrGIukM8udj04XuQPqzKUAwDB3cjuGHNKW/OkWZH0Up1IgLrbvP+nJGU01a4gQ2IXR7ZDZH
IjTT5KY1TYqmn2CSLtUhbSWaPkTvxxhOEzj3Bm06s+pUkIpVibCDqfRpRNExoDfAXRsj32th3pxb
XcnNVd1r9cWUNpNX2tTad+EEsaB4bLPUmzNWn0V5ZlRuZ8b0KjbMS62xR6/oii7a1OnB6Go9F84c
rfRqAlFOFVgP5pTzZmWWPLqR9igzDy0Oe80IWnQOhmgwyIl9b9bZeMZyml0bs2OPJzyaH5gO2H/L
gcq9Dinl76oGjTk1ddIabpdhc8WT1M9SyJ9f1Kajr+eBgq+XZ81TOUf6+ce7bqH2om4fzh1cjZDn
hhidoS/8ljyc7SAfEsNtjKr0uVaNnxM1rZIb+8busy1ru3rNeY+WggH8QY4GIqm4i841p2a+A9dQ
DI1enMC1F3HgcVgmcTgk7C08OV16umRk5WhnE3GdIaZ+xKx+nVSNFEFsdWJOhnlFK2q6eU7B1DbI
UFhamN2FZdC6ZdRQYdJeX3cyoJ4RUn2nxRaaDNIgPBv0bMyhIkaf4RUAz2j4eMKuHsVAFxcB6Jzh
T8BFcPTv0MWpY7lMI4e4gcaSM7NIptEPiDEVmyAlN0UATXM3SaTzSc9yrXWTVF6mVQWlziQwRMqj
vhLW0FmJgACaga95rl+ylNTJyhyr0DdiOa6yYU5QYjdZSJYNYdyIoBhApEhI50/x3FzQwqy9gE2V
zzGPDxm3QCrsDMQfShIkIq70al/KaXox9F46IhrnYd9I7TIJhsvZlNBV0U0rvjVaM8TCp468xPuy
RzoFUD3VSGSdJ8GI9IadZ1uasOCaZ9l4kRcxdq4+CQZjJUoZkr1mTrMmtMGx9w50vxMXjkG8auxk
huo2LBWjzfTJaO3oJgsS8imPiQGsz4h6iLpqRrqem14XRRLNmE0qe2FNmeORqTG94Hhf9FOE104c
im9Du+Pus3C0TGhmWcrZWUCfCRLJZCKEuOq2vzU6wjZZUXSeLLLebyDV6PK5SVxYHn1PxzneED3S
xajZ0zpnfe/nOtDQJLN0MY8deiGtivimZrL1x+NcVPJ8Hadl4YpGiSfXv7JIvHPGmrCfaBfpuDL6
PH2oa2rvNS0XNGRkVSSmucIOomvdLInfRSaqMuv6c92nw86xB5ByzbGDPcao22oJarpMYmzbrq/3
MwGldxMmKwhVsrt6mrnXzK3lh2Y1XVVRovkOSrg+p32ZXLS5Ga1zq8s3Uqu1UwuhfN9vjhKUFnEZ
GpBqhXvMDfqti6LFcWDn9YAHJKlxFUqW7vSOda5eBsDtpSW3JWvjM1LWkOlAkxi6SZ0x9k2zxxN0
HMn1znzRcZ+dOuTku9saI3McdYNSyFvqS6+9svOg0M0cqeeCJVfMKsBvOcnOJVa/TW2SQbS+cEQL
nUIdVyRhu7EbnNXH6/+D2UGZhWMzHSAohJEXHkMcJ+1YM0d3q2p45jEzN73Tk1VuhPMpe/zdDcWw
uywKrx+CQCpQ+XYhxmZKtEzPiNuEY3YV1FVzOcGm7compoFoC15dNUbRfCktGt4T0wzBdYqmUdFz
ru0NymI4kE5GntISDXFzGwI3yFhvinnSWzHn2bxOSmpCaaanabI2+2o+2GWW3Op1UgVuWsrHIrOg
gUn0uN5ZoTPaPqPJCbnHI2Sz2G429KUNzlDwbppLlXEEab0O/WwwlMO98Ypxyl1mmJBTiez5rpsY
82k49ijxS8KkFc3ALsueWSCN7wYKUtwhumkSi8NnzfsEvbt6VD0H0plu4lnu9U6Wt7ksmkZkVQ+5
5AkJoMeazfY9/AK+6rUQjLEkS+FM8x7tzCSwiZ8MJoPAfdx5tllBPq+fpkOXW3QXRFF3H5am/Skb
UntPNcN6GloGh7mC+uxZWhtmKbSyM/dWh2J30UTplsxtVou8ziBJWtu3ZtuNn6qRFJnvlHeIu3qy
rqIGCmwkuaS5DuLXqDHir5v2V4ES5/GzLBsoLy3hh+fx/zyX1STjMGr/eVm9FjetfH1tzx+r5TvV
5/3rrQA9fv5877F9/OYfftHGLebkVU7Xr02Xtf/8N/xk+Fqqd/5nX/zb6/G33E7V6z/+/lx2Rat+
WxiXBTCG40vbl3/8XaEHHwAV2KLPr8v3f0UonJ84UxiEybjjmLDJOF4/IxT8J2i5wy+3bNh324Sb
9i+IgpOfdPiL3NHhxBFqqmaUpuza6B9/Z4AouG2ZNsANQpllmr8GovgWhubMYsy2dIpon4FkwLIX
hz+teSCDqtCFiVRYuhlJMt+zlDu7QubNWZp2+qnk43efCLV3A26fYcD9w9QsvFI916q2KZsejpos
XBpxC7nZYSCoUBqlrFbciOcT8dd3nrAKhG1gMVgK9Z+1uGvKmsdloKedGM05xxnupzwQzRgkVMzG
bCFWqaCiZZlB4mdxFn7qWKlBRSJkbyOV2dNQGT2yYpSOD05LB/uErV+6JBZ3CHF0XDSMUdhfdR+9
u+opTnLQhhTF2OWE7HBfNObkBXNjXnJSQhwXtIW2V/By6k6kQIl67vdG0TINhj1EmIGd5ljmIhkY
d6aVRFJDkXPPNdTz6TZdhxmdldhW1OnbuNS7RsSmIS+7sJJkD2sFzzpjDWJZGdYmqA/qLs6uOUlb
7YSzvegcxW40MSwMzmQ4JCqI+XZekBwu88EsS1EF5QiCbErMK8ka1PbJNImFrPPY2mhSswuPm3Iy
14YVlW8lCoZ0N8215kvH2/iQd6hHOI+aOEQxj6k51clhLpqPLUM3qaEjvgJoaANwMRc+ZW7HpjNy
TEbCA76Nw0D6eJpkn6aZvrF0+YLrbvYJc+R9FA7sqS4SFCQy3HqX0i6ysykJ+WezjRjqk4q+OWij
Rd1kylJDdLaszS0Cff6JxlodeVUckclrek4eO9w/iDGGHs3o6ZRG6zp0ssgbba2dr4bJycDs4cTk
aQ5Kk20qI+ggslx1skivAJQUKHZySkoPiZPPYCqQLQUqkZd2YggjjkqnFi3ES9FPT8icXEXmEKP7
xyqKBGqqKQPFLoxbyEXfglnzxpK8Ilio0X6ytE7PPBnXWrPtMq1d9RPPi3XbVwlEHlvN4sIhVjW4
PMGe0+a2lFvZVY1xOfVFMG1n0wIoqJethutUcjBMmFavSRj8YXwMrcjMxVw4OAwmfK/4bIr5PAg6
p6kPg4PfOFfK8ej1nqFWr8qNg2wmkC23KQd5P7C6czZbTJ4XcVPqwtBHfNXGzAhdLTXDwQV2kaZC
lwxT2ZZzAI5oZ2yRGJmNUoq8j5NxPWm6/hSaPABcZMx4Y8hzkCZnlQRDyRDWuyoICQij5yLKbvum
bfZ2M1BgaGmUQEoEkHEi4Nhm98Rije05oWO/ZNNsDYJLCl0f0o2jmzuz9aRPsgGBSpXYmQhZNl6Z
rIWdngOd77W+VfGuFhlc6HYDk1aVtv5syyhNV4njBOd2aDPIjwMOEXnYU+ZrvLC9pnRQmdkNbe+P
U9ht2ayF2INGB+eoHYtZBEkXHWab2i9xOQwa6IdNIeemMEWTE3IA3tHKHWK0AU5Nwp3xtmN9GQpJ
y8hZ5ZFN3NAp6isejgAba6MtHjRYln4T0Mi8qXhVjluu9XYOZyocDnbKYjSTjGFK4Pc7MfcL2UNZ
gFfVWktbsgNI9pjnGoBmUyvTx7llmvFcmYFcNXqavEwJ5+jQMFOYKkmnkfi8K2o/zotuP83mfqja
+YVknS7qrm3WNDb6Z14ayTkUY/Vbq9Xz2aUO1NtFP4/tph0kvWgDnm9Ds2seuOygJdEGochiknvl
yCI3atpyxdsezz+NxoSFt9Ec00Q16Gy0sl85KQJ+UXCGvcuqlqzGvAW2h8gYdnxoyPMc2jIWbRwY
D6SIgJKStBig3tEnciM570B/g3tiRXTr1WzD5FZLmPNWazWf3BY/77hNk+W3ZaVTIiBcB/EIOWru
lNqWxwoKYGBuqpuEaZBXr9sieUhLHXWL0u5Df6gNC2YGy20AeE9DcE2HDiSXmgb2ax6meWdNHb9h
c8Kf4nEqLuVoQDaqhlJu2BXWto7b8qwsTVMTlc7LfcUNWJWyBirjlm2atCszKbhcAUmsVlNNtNfS
duR5bY2z35GqGt2iDKLdwKYI4gZll76VzRxDnR7BgTtFWu+IdACuP8rQdtajVSJAjeV8rafAnEli
s30aIj4fk0aLzqdW65x9VmupS/qM9KJrRxNwly79aogbxy103Fy6Pl+mjmbhVmvb4VNFLWzWwAzp
udFE1qrp6vDKLki8RnmOngotaEGDzlvjkIZz62Fm6MZqbOYyYJT3tVOVkMWYYgd0G6U2rxxp9Kga
Noxy1dWJvUmi0ErdbmDxburqaa3XGW/PyjBjW1ro0zqJSqMShdY3bpQV3Q1u/uzJBqR5jhoxqFfm
YxAcWjIPkUcdG7BIPRv1da5TR260uesOEzUj6FXHgbnnvWOn+74tIr+fxvlKK0ZU5ehDPAtbz2DL
ogbwfdfMX2jYsE4UJUOTrmOp2ycsmX1IAYRrhxw7vdrGgzM7G1zIWrDtcRRyb2jGaFVjx+Jsp+yi
sQzwJg/m4PeGPniJGWmukSZg/Wl4sxszftXbw5ZR+7YMbOMsRUCzGrR2baTGurbIM0LB60p3XhtS
XZMSjO2p8TSF4aWchxWb46tYa9mWy6a+ZFSSSGSNDfqnLoRNjchNVpnnLWLEVRP3go/ZsBvzGv+X
IjyrrQKqrAEwMILTfBcMDihgkDgECOwkm35qiIcMIt3iprM8LYyT16CCEjjTwnqNPWj5qTm0Tz2r
x32Pj7Bw+5SQK7Uxjwzo+n2ZAL73Wl3bRNM8Nitd2mYmOG2LeCf51IE8P3OqfZeQHvSkela5sjQ6
sGel3WNSzysyFnp8buZpN3hEi/SVFQ8yawQmNAgfwcHUQUAnsLWbKg7DFexzFG7jxKRwtWie8U0Q
hDqUb+yU276DyO221GFUjaQimOEU9O9z3QXXRU1BexfSYEBmJaxA10SCcIfKQgO+bsvP+jqYV1Yb
j80arsbgOnLk0MqJh/EiHRIHLPFON8gzOlWjH/f6XCGfoCe959R93fg6Yf2G2JIDuq7hvk+UVZZb
lgCJ3Gm0JnS0tfN8nQSYc5hBTonLopx/rjsrcnwjjyJ3rvWZADwLjX5lwY+6w5mtz5JJnwa30Gxr
FLIvTC+Z8upqhgFaJVSbCr9vwuzFDlvoEAe25U8SgJJHq4kzUZdxcmvBtwceM+QNcyeam8baHjR2
sLQYzDyJk75VJNTu6q6KOz/N4mLbRGGIGjeWQnEF2TvXCVPjbkQW41NksBwFMaVTQYqsjVmJtCYN
cHP0Eyj29bLesKIvPAAF6GePa4mcUV5EG9wm2aWtOePnzsira5ZwuZty3T70eBkZJvLQ20mzs1Jm
nJc0C++NaYA6bmS05AsabfjeMU1nEwYZeUsaat2FnWx8WQbdM2aWf25JoO+xcNgxeLxAerlEzSmy
nlw+mHVJUmGOM/Unrcu8qZBPo1GiDQOxnJvSrto0RopuzRSV8kiOWfACMqbRYdOFGflSpW0sbJk6
O1KXFtjbeowzHWgBcQ7Wtzj3ZeHOZTRivcdxZ+ZNv+7qIfWGqoQcwlDFDwkgUDFXpr3T87AmrlWN
WMnOodOKabyDc0XS4aw36T4Ok36XB8CPg9nEF32wnia9g35AhePWBd02oEm4ZvY8cR+2a7goCd0P
U1ZedxkfoIER0n47jCNoCbTKvhp4S27TiBf7vCVIHFnAMKcqZ4CdssJZpUNZAJ0HWDLr41ab+vQL
QlM0LznDeHBwa6xt3dagvZKz+TKiBSSWqwTpL04RESFmrF/QrR2c5aQneym15o4iVt8kE6t3udOC
Umwow6taT/dh0lxac1CcVVOnGx4CgF1oadsikeknMyiHRx505V0HZ2edZaBWS6EzPaboLIjKZs00
vRa21WdnsuONW+l5IyJiom+mJt35rOXQrZiNBBdaNqzKLOerTDqtn+iQ70vrvLqlA2J05Muy9VQg
7WrYUSTiOCXrYarOrAz4tBO23YWTWmB8MvNob1iZdNvaRlsOHZtLmqbBdjC7CLZ2mPZTU7W7qh+0
W7hcxJO80Pb9ECHb52C5se61RJ1oFEFiSDLjfgrrbG3Tat4PRQEp6Y4/RVWUww/pUFfm5EDM07hf
pwF9rdn/pe7MmiS3kS39h4YybiDIl3ngFowtM3LPyhdaLpVcQXABCIC//p6QNLdVspnu22bz0i8y
SVWZEcHA4n7O5+4zj3LZbSxrSr88ThaMjrpeoniojXtrMcMfnXoZzgzyq8YNBctc1x6iaWPpeJOd
ykNai6MZ4fhoy5iioxZJR0uaI/OH5bHeuu9IwellKurSatURj2u3CmPawAttpCp3Y9UCX7KFhXC/
HqI0GPiJ1ezLlLzMEXsPRz/YUBjlCoy69ibvrfNKk1QjzBlE4ssN1cSKec8XrKmgSWqvneNgQORR
bsjU16DFV9x0u8XvtjsZCveR+nVb6GnFiBk11QhBhik6y3bZIGLPGO/RTlgH3tzmNs7dzwiR4U8K
bzWWq4N7pizdPVtKjFcKg25nFj98ivwSuZMQPaaX9KPM6rV/DrcKZy5ggrjshyZZI3d+cbhILVG2
B8GjECivFyC1clZc/T18UiQuqjpZ8wq5UAo7aya9ncoxwOhPUT3gO9Fx7TVeWtblkstIPYclAQBs
NLqrGfuy+M6WeTCLkMYMJu8Z3dWmGTADSLAxmUYskTXgJrVdB8cLM2s+qAbHUYc0xsHd8tg0jVdY
CKX2IeILJHRw7frARs8+qe49MRKDuyCqX+zGuvRVs+WWG/4MbOIe8G07WYirZR81zQ5mv8nmSdyY
XqsjzgKkbspiD4jXwDD7ok9q18VdqhvMIiUG85mYH2IsW0TROGPqzW61eB/bEa73Ctu7gPRV5giO
fzCqMBUsiLwX1tLoPJkVkRWvg5gMm8xh4uEc6aKPJQof3HV0ErAzM8R6BzaB0/M8cE1hYQPFg/K9
k+7C9mvoe/WiWIhHoCut96GC/2+24dK38AETRTv6UJpxzFdBmYwDZiOoITWGuG7bK4iNLV98TyIZ
I9LEuMBYNq1jn2xeGMh9qAONge5SArfpxIqvcMLs2RgKNjbShBQhDisEH3Y/fJSCv/Rah1+TEe0R
P8hu6QIPaV9Okpz9amzRinKe/ddKcv8QrHy9sXpi3lH/OV+AEmg4kspMhU3Iuz/agUiCcB7PK3Cs
995HDUPQ2u1h8i3/PLuDd/EXhs4CHOmFchr7DgklOZRhN+zGQY4Hz/FHFldW7ezBFMiDNYTqLOCD
3vG6n2+mJsJ/MvBGUlreg2AasIbx1dvsr84HU4KlwKEkaiUG1WEk7NKZIuqGDkNXoXjtSUAX/AOZ
wOJNKpsQ1j2NdLO/4N9uWSRD8+Vhhe8UCXU+U67Q6qF2+iMcIBiBlhx3ukcSlEVlN+FU8H0HI0YD
GgHU0LpBJf3CvCfqekpmJScIOjcRvfCtd5qEMpv8XK1FCqAy03S3jH377G14pbQdV3lXgmg56JlC
CO26+bOcdFR0juO9cq74oRrIl9X0w8E34DosDBd+RNj+0K+kOcE3ERts8O1OwcR6wcR4FKWOWha2
bdcfnR92P8cRjThrN0CYNYsd7+3lsLItOokZMJoR3fgYrlN4Z9N5yFosmiJqbYxnarsq1mO7JoMU
GIxqKuveVcOdNmOd+kTeSe46n/2i0Q6GcXXuVvXDsSNwXrVjCxTMamv8QE0L/HmcSCic7XglUmRJ
BMWRjS4LJq3xVc9kShXvrGMVtB28ltoZY2lXZ+YsaK3YWxhL1LRtcPAGrbxYMwYhB1Gsn5dhj/Uu
NJiVyPPDQhiUvd6Pvem6YvUiYeXbrPVudE3wk6oAM9oc1Z7Hij8wr9T8sxbaX+EjumRw7ipGVwNV
Zxlu164naOxIrm6knm1Uncp5QnQuNzfMZhwsflY5na6fJ6hPKnaC0f5wojEwedkr+RYh8OrydZ6i
XSmkhVVIN/cYQJC+W7sZ8lJoGLQzeExW5MbV6Prg6Khpu6bwZlrVORQ8RMegj4LwSKa1VIk7dyYs
oqGMxH7YILicRreClMatcnVjZyJum4IIsNJWhMiyHNVXO9x8mBPFVSQvOE6H7n0SqoHM3QUNCpWx
aMmrqpEK3dTd2gffUOC6ccb7WAVoIPiNODxjq/dlmXsMIXcMZGt00MGxL9GnV64LOgQhavlaQfg9
ukgIgHj08h5Wuy6P1Ff9s2Bz/4zsaeoR2jH/bZu7AF0ph5BsN/bK3WbXkLHOCFH+jcQuQ3reuqRO
0XmjYZlB1nquuNHLnkFLNFAuyuUyu2U5HKgrxRTzwW1Syx/YaQDJZeIorK/hJu81eqSGdYNQc63u
alJSDFmT0IixtBo9JsMw9t9AEGFcOg4JyBM8d4HBkw2m9GDlun2fVe4I5dANHYG5i0op+J6W7/Eb
B+0Le3yfcwAZHsJkV3hTAAdhdl38/WHb8L0uLIJ/si2Tvqzbiu0dVIG/3teNK9xbvSz46xRh55B0
kPIeyxHLM3dW22zxqBY1Z90mHJFsVe1j1Fg5Q8ar1xnBxGDQaXe1nMDOeXVVR1rX0uegXQCGVA6V
LzA8VLF2dU/uA27B7y+JNSUeKQGWIUlEzkwGLzwjKq/PVQUDIvGkZnXKG1hPyYIFAXIS0SdN2qpT
XUIlEMzYCTsAD71qoaKvERvKeHO6Taa9Fg1mcCICSyPeKHq3eQ28cSBdTbD31saDqDF66lKRysKT
GSZMIgu2bkiCVtioeUPQBsWpBRbZgvlBlLwFfhUHq8EFsvqNDvYbwD6Rli7DmaH5+FX7s8MSiYT7
h5rL+rJ43vAlaC+fA1ehOSuww1t/sZ0ldjkFXEU2jRa6A9NqJ72S+AUJALLu6z7Q4Z7PM3TaevY5
+hErspyWqXfiGmHVxXU9QxK5Dv2zh/j9xbh6u4k4jVgyTmPk4ULl5InYxu6TOdKglBAs0/dtgutv
QSnHLa2HMIjDka7spQFtiYCeLbT5hmcPyR5IjewKWMoI+aE/DyyHDLNEpwr37S4icz3GDcA4neOd
e+/rGoFl9KwSDQu4IU0mNcXq8zpXHWYAKa/uxufHsPLEjTN31Q46A5YM0DMapgLxY1UIQbbuuJnO
VgkfqyZMuVcxDGTyGbZyuzHP3TFtI7CyLMe9kIky72j6oZ9jERC331tuM8jEWieKi7usdJlSqPEm
qR0WHTVsbvc2NBYONtEtmC5sBDnIRnjsYAeIEjPkaljcqkW8nwZE2m8NuYadjc3Ugy9qAMY1l9gV
NhJ37DnJrL1ZVhz1qqcIKUyJR8mbOsJqEU2QLXWwIFwt9cyKbWbdzRKKyL0FvW27ECQchFajCRia
yVEfH2HGrsQAvhEztWP39/Vuh1X9U3etG2Q+0rwbFx/SS8cVLme4OBxdzeDfvy1EeZg7qgKHx+Ui
+gfoueF7M4nuzbhTrQGpef2zi6BzxGbtvOfNhhYQy0Gj7r+iDAS30OttiO3XIiWg+sUByajSJYK4
srcbNSCxXiy8Q8rcDhM+eS9I3FZly2LXq+wbfx7IR7lCeGZiwgaVlcBXVzvaxlg+RcY+blaE3XjF
iFmp55cDlG7jjXkXckSv7WSxEzxMM6YRaKwbP5rw0WRv2zslZgv+ZmkFmQ2Iw0ubabRqrHinxOBO
113UbnC4p3c22XrcGHMNd2UdVh/T01UPipOtIL6zHh9HxTi4eppJ5k63QxThzMMlLFPoHLrMkeCw
4SRbpU4L6AfkiVTQ7TXwGf80lJIlxTXumiNBfqTvlnqoEJ4y5U6JWTaj0jnk05MCU4WaXcbhcxir
Ddf7310swxzG9vbW+GgSDRPsgy8qusGQ6BmTJLUbgh7GHQnXNhqrh65dXbe4Hp5ZgM1GY6uW0XPn
G4ppiV0o7qMGusk+nNXAsyaqfi6R2yQerxDT8caP9vUKuSjeRCieCSk3nc5yBonOO0agc0+46jA9
0VencnKjMR+XIdoRK4TIL6DyD8UKuAK9QoK+4nE1DCfwNEN57MKIBV+SLrW5tJGYqps5ENi8hOkN
WL9eJ+xACCXAMzsKio6vAlYi8mev35NIlFs6zda44Ati8/fMrUrAPrO659GbbHNUunPRy2QLtimK
XQ3k21ucWbzbjd1tz255jQ5CR9EwI90a0SyERjE9+GVr0Pja6bLREZFMAg4wLIUCBAIwWKD7rOWE
OwMmSlPvQZk2SC/VKDsMQ6W4KT78rW42dMBSM5MXqPLtcsemxgVzsnGaLVPkobcdkGGShID2ya20
rB7RXNWk4Wofu8Fx72U1dPkMafCF9t32WTV2eSYbmqPbJSFHACXbi084GlPyZbmn1QaO2YQkJlUA
N0cEYdEhXLqdAE+m7giAPR3KjZ4QzOGV3NGWKVxZ+uB7gfjsGK2wfKKG7uy6ni7wsfufzjiv38tW
AXr0cPoANV6n+6Yd2+ioJAuPwTgFc2p1SjWJBdI2UVVpXqitm2JpgQC6kUBPiHqjb9qPyh+LTaMn
C6FvSgWWAkWRcdpaFfnJGhaC+PGoe15NK/Z0HezbGr12aFGDXcDA99I4fdzzcU4b3ooChwEpkFbN
YwyphKMwfAxwgEtlYUi27Q24h6b63dv8trB6DQUgVNER7T71gYDeSALHig4GzHRc6Y7e1NHoZoER
IgQYv5Vd6mviWzBCSmfH+np7qBsrsOFjDbYfVzMErnDzddFDIXx3xYIOcTTqbrGDRiuldY+gktaL
/FRe1EM3hBUF03ttTwJYFTrtQUaZYEs3IOUqZLr5Gk1Rl3HK6tsNeiuw7nGBtUoqM8S+M4K8cqeS
PWykr7/hZeOwc1ZkbDWz7TaBpDyiASWr3aRea4GOO37nZ4hrh4MSo7ekU9fUwM4kx9fqdKgmaMq9
iVQft2EofwSbg7nCk5xP7rZVe4f3MMec8gX1QQPuHlJiZgF1OCcZ8OP5xSjnO2z89maU6xMljsFV
yLvMQNE6wT81t3qsO51Y/tzcc6Ew+nQOJY+heqL/e7mQg9CAJALPko+18cN30yt+coBYXCCmYuFv
ahpym8x2qsmEtRFVjRvPJbiXBG8tQr9U7pZ7IKbAN8vVUjkFH8bTiNlT/cG8xTrAeEvCdR5nTFto
5l29qQUTyfGCqQ/6M4gVsuOk0+TB1iHGwS5XXgx0OtoBwUksXDwzuNVI9C++NEbFI1H8vJVjtEeC
3D/DcWCp6KQLkW2o4dOXYeOB5I+iYztI/qabFbeYMjV/UmNIb5qtNT+icXIz8IwSFT6z8zI4Fsaa
lwJXasNnCBZeZzd1LhWErHhm/ZFYuMnN4AaYf227mExsjd8WddeCDKPo0ysilPyvWjkGXzWo5s2K
oItKX7gZHjuIZ9LMiNmqkh/aBqLU4rZV0odqyP4Ccl3+YGH+WhT1K5sDtCNEoRjyARAJLvFADv7K
oMw4L+0B5Fy8tBNO6tDzyHEr5fqpiAu/zWb0tlUuIst//rK/QlK/vyzq0kD/AkJF5Eb+9rKDbDTZ
jIChPVgol2G98cu0h+aNIxVFLU0MKDX8F6/p2Ffc5x84EF71yrWHLrBjz7ap//fugfMSRIL1cJ/F
6l/VzJbb8KFsHF4Y9UHEnNdayUddCpi4DmJqwBBhW8D0R8a3dsEmstoE9ofpl2hFAtXYSF7poscX
4gpi7QMLinkPYabl5AN2M2LokfjtN+t608L8DkGpEHtAfGBaR3zSiMMCkmB10WCSRwMrSM+Huxay
hpVM/ebdrM4on0JkuZgOLxDW3vE5cIAB2XIURS3ZKjPRKmOyTpV0Sh1BYM+1SIymj8j4V4LEGjuc
oth0kMoi23mMGgkHdWqFtbdL06FcSKlpTGiwbnsC8P5ee22PrYVc4UNphbuu1iE0WIRWuWchuERZ
ie/5aVtZG8JCi4FlBudkB+kMlpvsw8Ze69Qsg9kHvY2cTRMC9QOQz3hwugCoM4Iy7wVc4jSkI+HW
TzaEDWINrSndwbFqfgT94JJd066hyPzSMZ99qBs7sWYt0dcI093trF01wICp3oJUjFCikWhyNBmx
oI5Zid16ctr3TIwdspkOwnFE5/kYbR2umXBTbQ+CaAbwUlFuunQcoxn5mNVgUj1bAMzxwPNY1oIw
XSE21D1kAaeLcHwDmwH52sv54DuA0/NJm20/RsbWf7Dx/xZm+sjBN7C/k6N/BUf/9/+MRN395Dfv
7Od/QrXstefp/xtC3TUfKAYW7/NfOdTrj/xZKUt+8zyKKjTq2xTm6++c93+DqCCiPQcsMnREcGz2
P0BUL/gNVUSQET0cbTgUrnDi8geIev0j1EgENhZuiE2IRu//B8D982D9o2AZQO7/5aBFu5y/Me8B
rEcPvxHvMCAIEuy/8X4lJJAWcNC3g7x8j6XzyO6d12v5qEhCDLTC1JWv7nDtPr6dnAKLne/Urivo
MTqan3C3v8QepPrN8IgE9rb/ar+clBT941Zn9FM9izKe3uFiJ8PeYGpcVLhoeFMVqHM6bvv1q1bw
fFDwXh36dLqbDsF7ffG/m4Kfycl9j+pU9gVcHvd5fhSn5WBhFk50K9LrvHZUTu27Z/duPKHr7V27
Rwe9+2vr7f5isulurmMOwvsRnlfhQ7fMh1t+p54USiVBBN1tGA+kT/JZ7Kd769b7dA8+ZmepnTgF
u+6G5BN64gh047UPNK+T4Lu98APe5Y13pEX5zO5xhESf4TcMywq54ppUhQxAFsZTAHwiDQ/TAQ0S
I/i4t1FOCvup0rfw06LLhzw3B4ZfW93UF3OIbs0zHuEJn+HbzYa83KN3ygETnzJyHG5RzhqPef9Q
Prp7IOQJrI/kkSUUfdXGk33wTjUG5tk5ypMfywOM44wnfgr5Z6d+DnDVcD6+koIf0C8cbQZEIc/l
3dziPDqWbxSNZvyHDWfOHWI+JMQl+g5YsEFhbwdpZ4P6K1CRhgum+uidIw5YdSR7pCno4aiPHt6X
PoEeYEn4QzyYAQE8PM6YvG4nVjR343HadcDM9lNB0iDBGMA9evvgsbT7ek9zVqCr8dE9DI/Lm3XD
zuEFr/AS5Q70lKzeo9gpxGPvds0Oc9HuMWYH3SO/qiixXgDd3Kpd+G3OM1DDl+geuvmLdxQP8y3i
G6febWvs28U1n4KoWtg3Te6g/eG4gz2Uy/fwYA5iSNIoyNjRubUesD7XpKmH24YVNHdifsbPp00C
uTgPjhi1BWQE38iuT8cf165W0x0KQdHQEkLRDR4ag8qWalx5gE9SBzd0Xg+5xXK7ScbTeh1JxGL2
QTCYCh3gU4HypvOFJbGf8PsWba77nBb9Vy4eKwhyz+4AMQGwCR7TG8oGa0xxxtwptBFxM/SNp3gX
0xs7b8chF7cAqVBEhhsG+w3LyE70XlPE87cBCje74XQtA41nmTvBq6QzdvI3ihmQon/35RFuZUAS
7RXaO4v48ompc4nWWX/0Y5pAggFvk3hP6515IE/A6ZDgj+yI/weLr0cn4z5ZPiWGNemnPgNxWMwc
yENi3CTAWuxPbEoHlFpoAQ4PFamxig49BCtT2J/av3a2xuLPyh1K3sz7dNheIOG20QFgAXret+2h
/OSPyGe7uB6yYMXHOEz7Ievoe39obsnj9I3608LAsLu5ToMSuTkMJ4z+yj37J3maMndJl1v5gFSU
Jo6XL7frGXghALszefbRERPNV1JY3B2OoxyJ7kBRvQxjFkZH40PiRpRCY6/eVz2ITHzgc7A9grZB
X1LvcT5gC8fBk+0mjoxXfreiP4eAi9SDIojbM7/4X6EbB+jfuSyJe5gwLUvvaX/u35sHBGG7yMWs
OWva6Wt3w8SeshfOkwjQZ9zdWRk29R4AAVky4b3j+dqvC9Jq/yVIozJhP8f5xco6CAQ7wIPQ+OKt
8IPMDc9enw0fYEWboKBR0sN4mI+gU5cfKMNGD011PyUYM+AA2j16DuqEMhtBLOQOPL417pwXFOqi
FuitRqUwlHKV9uVn2fS5l3sPcitYfdEOwtIDJho8w0l0fvhHpNHD0wS17EW+NBuJxyoOC1jjNnKT
nX0GopW80WAH63N57uo8CJ5Fl0f2C6wNXig4UujoiHllfWoP6fYqI2AWOx4kHRLHdzxr8+BhlmKh
HtQDfcaaSgas7htxb6/JgnwcWcxB3HXpA907SETgYIPByI36qsNTFd0BNlcvy4t9Z4OQzm03k1be
xmInraTwZDo8WZfwfim+onQCdG2nCIvHs+W/07NtyUS+TreyQ3eunJTq7GDWWo6RpxAqSTy8UQmU
BDjDRHducI2brUR/gp3cDdc+ZnTfoC2LSJt7lRlofugGe4YOh4X8iN/zCj/8rgaBzVWOzeGkVn2Y
Mzme3egcfLAYvzZtszXqcQPj3IihMA3Bi9dAf95NwZo56KNvQMLGoNGYn+J8Y1NM19R67oOY/Yj8
OIDqys7Nqz28OrezeHOqPYUDWp2Wb0/oeBo/yfwU3ZLuKEHRnHx7h6FtMsamguSok6c1y9QnWzKY
yDF2Yqyn2H+ptq/17PQihnmCmaxNncFvDhMc7mBvkXjjYO3wB3cyF6DXAfoEIGDsC24sRPefSxhv
4fDsN2ChO/ZipbU6o+KzeyjR+W6MozXDUEAwcwe5RwfaZPoI78Mb1Og2qThPXbIMsfuBf4hzfzCn
8pYkLJ0+gGrv8VL4UoHJZf0pRN07ymeLcR/gdvHf6r38GKdYHeWHd1GFfwStpjAHMoi7Cz+FGLb5
qsjFKQJMTXRzfFaVeE5O9Q7/UvvoDj93cQlnwOI5ADOsVeCvcLioKsAA0m43jfu2OUASlLwQ5EW5
SfUFfmpONTrqWtnADqWbdjrndHeoD1hkWM3r2ceUzTaWRZO+hwXEPQekQpir4FCKi80PQEa1SL/s
ObH/LGj9/x20/yeF44hP/0k4jrK0YflpfonG8RN/RuMuwuoIxb2o7gzRppJeJwL/GY27aFzjwYFD
XO1AqEch+H+XhfnRbxRVLqjaQriNFtx/6VyDP/Kvjgd+KkJ4j6LVfycY/3sJLPUpYAZ0DvFRBh04
fy8LQw8LoTdaYYHMNSRFq+yerUm2N5Rb9VF6zEtFQ2hSVqM4R/aygIJFys9JQ/9FbdTfWnGhCAjv
BE45Rb6CJwE15lcBRpRsaEN0AsTt3PEmXZu3MvCaUzRtzncjLdSVhm79FhpSo5C+rkQskQXtZlRh
/BCLRRA3wp6687fFL8S6gnuaAqe5t0az/YsK01+Vot/fKIp/rkVULvoQoXDj1ze6BgvAW9SQghWV
bW61lrebUc+K8FsxNPRkYTn+i8rdvydM12cTBsi/0OYUuKz7e/uhvxSOoa1IuJauj9Y86GjCthq1
Rrx+sBzbgt9veF4FxkutUr42qGxJOdolxDiDgcaETQew2QC7UGARVUfmP7Skf2u3/8/y7/+0SlDw
LP9s2xdyqN7nX3b97z/xx7Z33d+Q3lJkzVjKrusG0PX+2PUOkmnHw/8PIh/VkdD8/rHpw9+ujarQ
wQoVN/iD69f8ZwruE5wH2KWRi6PCRRHpv5eCox71VwUQKwkFpzS4dg25GsbhdZH/ZUVx3i6wF6Fe
L6H1VuIymvqHutxEsXBg6J7bgwEUzM7DRYPtK29WUqPCjW1QsWnt5ZQjFuoGDsSpY08lOByQcpuf
oeMFmh0pZaOXBfdy3W4Qhx0UYIyeK4qRBO9e2LQXdLYZD8E2gr7gHE2C+uCHUeRrpTsmy/d5ceFH
jqE8ohfIdsFZMR2w/j3AMgOg1saysrFZwBtWoY4OOHOri664TjxB3N3WIvUbNdpMOeRCrOitNQPG
sozbCfj7yXIQ6VuusGDZWWNWSsdC0baF2diB5WW2Nc3ItYaNp2VY0rzvSwYYfOnudVDZOpFRGz5W
NZ8yWyyYfQvw+1mvYYkWWLAZUg8FC2i6gwoPNw0aaT+Olgu+T3DrcQy9hgE5mgYUo1frSwexFNEV
2tPEDU75IpRziI9DKwQ5k7ShidDIepT4G9fHOQoMnSa1l0lbEGTKGghyzHxVHhvgdOkEYwemjQ3A
m1bY/8Y0iqXVgrIk2KEDf43qdTfgRIcVbca3rdNVbjmmgmKP0qEFaAbtHvxq9UsEIZtcMhky92Ds
tooyCx8UsX/ZWCfPjwAErj1DpLk1cOkEvjq/CTob8T2Q9kQ6GwLGMQTLYSR1X1CpIvdtbdh+6iZT
6LH/9Iz3k/cbuL8NsRT3zXffoyipqy10fuJtO53Vth2d8c6pCkjDLNUdQeQ7QYqtOzHEpQTdAztK
mlcDgvioUfT8jjLEo4Mkcxu1SNBHxdttExDJ0PgPpuKoAljJ5zShxsyyfmi67V1afvCuuu3mbQdT
v4DffD9HFB8AtYPZVJngIlGn+hM8gh/PfJtx6eHbCwDupFrYOg57By1pujELpvXoomJvJwFMXHzw
LCHSYU3mzJQFvEd5qkaP7ULHQpJK5g/Ufxfb4NnvOrJ89BKr52pDYWHU5EBlh72PA+Am2KABx710
zbNBp6Mq9uzOylG21p/At8yZ3QExnFB5EsKTeTTTwoDtScgkIJJiBzh3IfxuvYlminlj4B8weJle
G4PUBiYsyEkNgIzO7l4Das9at7EzYKn6acaoQJS1ohGHHGH7z5Nd7oOlr/ao+gpfAc96Z7UiKIAr
OSLvFuNTO8w/qITkpMcFfUkECAeI2gFNAXVDt4dx3Prt66gYj715cnZR64Up8ylGQhP+tG7zdGMP
VbWXbjmlXY8UmAt3jrUH8pFO6ycUZiT1Zsb7ulrXiTQ2jorFRj7AfRjwKKhDZd0Mo7W3MQ+ZOxi9
0fPgXDZLdc+IpU5kseyilwTyRB0FP0LXfwArSZOFtw/QYA7W6OGgcleYizjV7rUBHEydEVOvvfCW
w+nnNT5wJ0xcdlARxXlgyCE8YDrHUKrpzKB5NNEDn1mUtSB9YApCV/G772t/sti11JB2qKDKSVjx
23KyT9JWwc52fb33NkrvGw8K6PWEPow49rH8/AqWPaPnSaAWtIFo0gGxMgNahil0a1vDIuDuOUIB
2xQOwM85DodgBVjtncEj7ttFfbp+BAcvIkhQW7SJkNVWouRuhTxRn8h4V1vw7aJlztAposuqhkGJ
CbvgVM4k9Yzzc0JBDVy76ADYgyXRoKp0rfvxaR6qKbaX4J6NrLmLQCqiWrjrUf4aYhBh4PEvoiuK
phiduhDWtIW9DuMjQXleM+gUUQkI+tlLLMmejY/C0xmVdMDYD8PaZ9vg/DAo59qDXj6K3royxHBC
XH+J9po4GDRDguaxZhrEyjDAapoIO2ioRAQBY+YqNLKzuwFNo2jom9Rd6ZMeBvz6sLEymJD4DrpW
J1wuNZ7/gFJAuPso2C4Ln2xB4pmvxQHMDyuJAbGadNF428u6ShcXA8HQF9S9v5CIpavHV6T4IPmw
fqP10s7snVSyyg0XI5wYdHoUG0nmVelDXQJtpVDzwKiwWGzujTFOIdCi74K2Rwa9VzAhc3SGW7aF
D4BJjp3D8cZQuwls7GL9F3Vnsiynsm3ZL+IZNXg3IOodu66kDra3pOPU4FQOfH2OuDef5ZWOTMdu
M7sySQQR4L58rTnHTNov0PSybTuknOxtlb17knmam1XcJAsPkmPsH0HFLGbk4XH6YbrzDSbD6aJi
d222BV/2rW/7zn7RznoRuTW/TlINh7JckaPnxd5Lc9QZI5qJ1G7Hk5OaW2Y5m2K8WeAJIq5TtKnS
sLX2yYKWNVU97nx2X5k3B9oKNo7e9n3qF9z6Q/tU9V14qgFZoS9hy8RNjtEE4uUe+VfC8g3esszr
h7pHYG15w0k69b5q+vKAss88DcvqPg/W7WTnOh7XyY890lAAhuXmFlKBe9PnXzjX08Qyk4DOVzNg
HDAwyy08W91gvKUg7WIeQusQKFPcjwUCGIgi7ZHtAeoTq0fUSFvsGPBmacQt+Hsf6SfU244ekmfI
nH89MfMNq3j1RoSU/DRjF7w4ebZHTbJVLq2FysL226R3QlbfOzuIVY9IeUyTbyXfBf794QuTdv5u
PtOaYo/Z+WuWvCtj0o8yZM9LctOL/Gqx9qtI55vBbPEhTb76mjYdGMZq7XAoUYMRzclyE69hdqhW
iYZOt3ojMASxdI87VvQ3rehDDtZ+gXG3tjmug3dZsVfm72Iob32vvFNLv3XnZu/lCD271Hn0abb1
ztvcLE917j3I4lNU7gZFx04K8bXqjNgqLiLJ4sA5wvd5t0f21amPp6G5c0c64tUUt8hOeBLA9pgL
mM/CGR51Mpv0HHwafjPCv6A7+rl8c01jijPTf1RoOA6pZugads59g5y8npqtMYEF5IzWb7N276Ct
bPzy5Gbvi2IKbIpur6v6o5jLO7O347K1nwyBmddMT5473vaDe9c16n7ggVkZCG+GTjRx76z9FiFm
h1MN3adleke06DRdrSWLkykRG8+y5G2ZysPa2m3cX+Fo4dRGZVV/xZdO1ywLv6L8sbd9z+MSDuwM
U4NzCs1ke+3fBtWOTYzIpKJPtokjvWOufPugsTcUtfllVRgJ6QOAOJuTe4UlkXZpbcWjkZAuOLtP
Y8lPCVZt3AZOph5hbDQbX7XyW2Z0X9N0IlPKLtmsu8I7e2NT78U44Geql8hPO2YlXXqpIKqmIrhw
5uXhMpiBqO77kooLssWNmJHrDumuGKi+FN4/J+v6yLl+rEB1TNdC/g8Tg5OKs5BiyZjT5b20Bn7H
fKreedCuhIH2rSz07Rj63+rRfKo4wdwaZvmDwqw9NSiX3p3OeajMgU9V2htN/9g3ntzKeginnkfJ
npI7q6cFnFqPY1LvOxaDnj7iVXjKgB/59sKFsC/I5mOZZP4kSjlj2vmBASWyq3CXLEN9WUsKnq70
o9Htl68mDqBLOIHI6BhR31WYKHhXKvXIO3UPuu67tvJtg5l50xiVeZygh259L0ASNsGsijtgUTdO
0ms0Ja63VaY8oy67DjLc4GkwQiTQXrEsL2HWBp+As0I0q7pA7pcDe5Bs8GoJsF2qkNn4VLOYN4q0
XM3h2gtAlVFKkWJVIJbDKX+HZHLZJoWkupD0VfF/46Av7FsOSSgUmuLLmCSPPh7wL9A6bwJ2+qGd
BJ4OCnA/LdUZZ0S7Y0cGiFvwGdFqplGjR/fDaVr7ACTFuDJcjWMTGiy9FtNfhKUTf5hrdZYcGQzo
ugwNLLc626KczllT5FvrSqe1O288NbrtnuZ0ZU6BmhvcWlA9G4tVxH4ApZcRD19HDZrryG6pzmYn
5C4LAnANiyG2Dv4szFSF+BpiX94N0m7omfY1dEu3iaYqhwIKbnIjddPEhWjGUwtkZ6Nc+8Nqtfi+
8H4wApD5Y40zbZurHHs/WIaNNtMvaVg4O8OXaDW9sD5VzYiDWAYjyBAQhC+z5dMBdel8l4bovtnJ
pHbgQ891K7tyUxeWeOlG9uFJGBC2zCE4OauNAh5L2jbEZroJqmmJRj7Vq0HDrYEO5gV3c8qSZGuL
4WRA32j0MetOrZUYByDPCSOZ5U3DmYhl0DJq9WFL3OWiXQ6ymL+kEM/qWIkwZ/KkFnXxFj+564rC
xkkSLPuFlXI7tMZ6KcYe3OHaKnx9q/NV6Mbejf6gT1ZOMRCFLitxqWwy2zqYaggKI3vydQxUZNqN
da9OvRDGSUwciO1+fQmswnzTk21FXj/q15VK+3VeJHy9dURAknvV3goR0QQSbXeTAu0xZ29aoRxB
OsT61cdWXc9b4LT9pVyQB87Y2e+UsJfrc9T9NTlXaKoo7EvnDPvMqh9n8VbWqUE0VvUaBE3zYaVV
woxMGezkiX2wjZKE1Fp9E6h+caNK2DsJOXVMatJ2j37SwfvtJZHfW+59lmEVF4b3Ql5OF80rtouB
9wwxfsuZxoPUliAW3tMS78DOGt4FWeVz3nkEWWvXQx4Lq80Pqi8D/u026WbcqTiZ/RIXvt1DFQa8
Gp7t6xs5FyiBrbZ4GB0TbaoqrLh1s3sICX/VgF5i7aBhbgJvvnAwn+/VZIntMNbvk9cn+8mV6U07
FSDkbEilXSn1OTDZt3Od5Fev65UJ06z5iwnL6RZdE6mCKbV+b7R6zw6ypmJGume7twCQk3d0g+oA
a8LHcJ94O9Gw5Zg6CA4BZ8IoCNJr0ja5e144nAyLe0kmfzhNaEaPCVOOB0eK5aCwHWDWotqNa7V6
77YSy0Nj5fYjhZr36aDmuZ3NMUMduDr6TrGmsxKl7nej7pApVtNROq3aqiSpHir/W6oOMmvv1WB9
k9gsKnW0AX03iDD8A8SDz4U9/VStGCBF01YHEfRqJwJ1lQDp3KAz6xkPpQ0FTxbF9IqiFtOOkvU3
nsiZHkJnHGhb4j0ds9g1cogBlSPf+eLz8+wExQ83cRnjGp23DwtRPuMlYGHNbSJgzBVoKe4Bo0zm
17SyxHutB84t6Me/zBO+/gX7OMbAMaSUwvkBUq+bkUgGVXNYRisumoDM+lGV3xuR8yAMnosxRWpr
RQk1Yt3eGmnDTDIJnTX9UjkIKXFqDechdSTK2dAwrf3QIV2PQFMZjzNF7dXA0sl315UgSCrwyV/k
TJbTJgUr9FhjLr4vuMd92VA2RmhdixuwCTrYerWy7rCMgthygPZtlhCRNefy1LrYc+u8IW2tboES
zVQPFrYxprtu2kUYZPTTONd6ReiAZ3ILd+XWzKzy1Wgt91hZxvoIr4STqRWU7bFzwkbEc6qS51Qj
79loPP737lp4P5IxneOSkphNLGzySGMTuyId8wAvl5ftwVfgJVcqDSFnhPanVyKPMefE2BVKcnpW
NpQZZTjxYoHUSG0Gp04umLziFDmZ7cjUlWaGInweFz4DSviLn1Ks9xWC+Zem4GxR1ao/2+hlzzNH
qw3bnAjA2toSmm+I3jqDQJ3FVrn2e7TrH17aHKdRNJE5YjzBJAi/kR7AKR0ZyDpopi/oWeejN06n
OefAlBvnOmVa3oGhUPay6SXJmxxHRtknD2MStAeX2itSNTrTse84ua8zH7nr4iVc9517aSuzALHA
DpnYD9zFEQXku+sHMJxdPJMhkiBf4SAAFIEKwp/elQZjHqClFugtEj8KsxD54K2kdH1cwqCPPazj
Xr6KTeaBvmZbb5STI2Qt2WJ0VhMSmtbVFlNaZM6vBaAAhhSxXeldtoTPromCSIHs1vNBlz9wkvjY
pvTGz/xHcD/NMyfDaY/e9y8sHkiqTQ63U+gNLgMRtNGIqdezn/r+SYyFH+Gv3IWm/KZxxjhobG/c
rDh4i3cdQvoNKoplQolQvtK9wNdCTxEGvwsBAAquNyMFRGd2rk2czFXqnUPH+xb215puytK4dkNB
BW9G5fXo6bInPKCNh2dWmz8Wm+I7aLLqkR14G7TLHFkY4A+BDmHht/Q7bJqVqWvjWy3vquuC55VX
apjIlzisLcbL/hXO5YUfTgvRKLd3NPa2lUBLFZKhAOEbFhF2krlN4hHlzyK9R68m4owWSgXjmibQ
d3sO7tbQugiO8WMrXnALMAfO3fQRUZK/4wH9aDpMJtfnsbFwl5nectvIhbNJiBDWXHgq6jzKHJiU
DwZmPlcjPYCkRNUbol9xmi2N9ycsC9swJaWg986zkF+D8AA9DwYKUo1APK/GtS0Wni28hmJkVFtR
yQbteYXAEXtp+JK03qMyLOQzXUbJgTjMdvZjM3+YaXGROXc82DNHAUxNy/zVzypYXMtuLmGypBUh
EjddyoC3z5KTLrtHKtXbAssQ7AI/39ZJ+EVlno7X5bqmy8cJbfsmzPC6tRAHlqVBtRaSxqa9IbLd
Nb7CMuocMXfRWSjOOMIA4VPukV3/NU/aCDJEyPi+v8nN9nFeY1naR4tzP2fEuEGtvuGAR+QQww28
civdbdfhaay2cgpOtGrcjdsFLD8dSkKjLg6DHE6+aNjPsIBQLTWRg0Qf+W60hGg3gvoGVMBhce5p
OlL263kHSSAGAJRuFjAUm5qvhh7YcCrxH/Y+eo2hD/yo1PV86Bh7La1JB2sOPOgAwb0Oy11fDLxr
jDQHPHsg7surf+04SSyKhn5cHXPvKyOW/ofWIQe9LmEzF9/xnu6dq4e5xHLdJfTq3XW4IGE2r9A5
dDlpy9KqrvqhPJSvorLduHHt7NAmI8oEH70P56CP0kYR4jL1x8Z5AbGyt0tUyCHCnk5uk5UW21if
UqwCi3C/dN2rFUqsmeKOgWmEQX4XKLeNJjzI6Og6S20c9ylhRHo1/k1wxjTacb89CW3FWr211o8w
sz4ozvWmt1S3haJ/X9ROcpTefG5KpCKtGtfzPLlxkJj3mNEuuUe3lUX+szbnO04gx0qjbpm7G3N5
E3YPeUiwV14NP7qnJOid4i3P8j3xDhjx+FEQ0Edl0p0yAGyYUYwXw75kRss4AxmkOZ7NitSCao3X
vIxsc4i96mYp6qORhYe6W+W54+/p8ehYc1Swh8hl10x7o7tx6VNRBLmnUNT7pHyh77Apkhelbyef
FSVYnyx7pMk/7DKxn+iLtkRzJAvaHZoss8kAuwovV61SOp5z9XZlcVBzbOhBoL3AqNc9ZlSks0ug
sb9E9urc4x4Oxz6y7C/e8ln0L0xaOOxxHGQ/6Fl3m3U+d4hmghYQ+ntvGtHQApKm34GREnFMfTsY
9NzGAnUcaxrnybfZ6IlIbsrzao7oGTN4er3L4HaERLjFN9xEpR0+T6lwd/VsP7rBuFxU33EOsRNo
h8MPdw5OVdFsXXu8Kzni7UTWFSe3ZcxA/YLEJ7TObVI+Q0y4Vblx7FR2farB+bmpqDg0Aq1Pg2a9
cZGPrFd/YD5iSTI5htro180lfMhXVF6+seiWe+B8t/joJq3xa+05GSSVbgwuTjU8m9qVh3Dwlhva
WW754JTDD7Yguh8BlYybjjc+S+MmL64r+bCEdwmW8r3uBZZK5E4+yy/DjPdESkD51do/aPMlMOrb
AsRRCZQo6lPHv8tW4R8hDdPCHZ/cgu6wz7FGKbaOeSUYPJHvw+AuN5gmd9TWjOqm97ZdNgIaBHCt
5sa27zGSbjt7X2TwIno9i13oWHprzQEQGbYa4ZzN3Lxr21cNgc3sq+fCCJARDrFNhMqmNi1mA+5O
VwzX6vXaNB0qJU+1CyPLI9ODmE8vP9SrxHmT9v6ta+JvLob2kpnYhfoWXV362NLIpc0ip42oxUO1
ljlnGSAS9UopZtBxN52WWJaKnhKwlqjhiASv/woS7Km0FpGXF5mcsdCPh3JaJOeQRCE5bboHSwTv
eSazY98rstK7TNzVQZKcMsh0Kd9C5AVtcBFX8VzW3KVA3pyKQakVfjb8sw0eYHNvrqWKPVs/1l1Q
bztse49zkpr7NkjPICZI8QhxnaITnGR9BW3Wedw07hHT6HFS47Z1UzLl3P6VXvbzMCxEGgARejWC
BYgVNrdoFhO8jJB6SQ9bk1ojHIdbSR39vOCeZffOKU2D6nHOxUdFSJllTzfaDzNcEPXbUhq3dBde
Cq84gE87WG34ALkb1bE50sQSEw1/77Sm4YNDpTf2TG7LEUzF4CD8VMNLpar7Bix95ECTpB+cYWcs
FFK7HoOR5+ppa0/zXylVNUDwsDusTfGZLglFo8cWNl2JRqOZfeThR7Cqh8DLCroQ+rk1l0sm3ZeQ
w6NBR36fORRSEmwIgUEgLUvlHavZFlHO1xN1rXpKtIF4IwjX8tQPRbUXfYqhg8Ee0t7aYnOU5tMa
pkAgGMo3gPoic+EBJFlqg+2Drk8Tm7K4MQIHFGytGStUeLagtuQnum7JTjcTjBuVIN8s8WpjTtk3
6xqlfsffWZrI90cN5he8/1quyMOrkPge7d9OpknB47eCJITiZkoTwCg1HpKJyWuUhdcBnHpg8wWC
2OKcFaPy95ACf7QjXYvRz5soKdCzrUQNRF2BbFAuXndblM5dluvhyEcjknMIq+PQtdVJKoclCIRJ
nIwgVJ3eCQ6+NXxN0hWIpLTs+AoAiI2+2s2G9cT7eN9ldG9obaUUXLa1BbzCpHelOQbneX73QSbz
Mi2aw1unzro08+8+3v9jqNLutDbIdOZpRMneLPYuszIj9grT22brmO06P9VHNXv90fDDnHezKiCZ
dNeKL7c2dp5jjV/FEMND64FZon0ALE8TCbr8tpPm92LO3owrmrDL8701oUCwHV1GJG8gKAzbd8kU
6d7mBBKH9Kcew9mtt3SSiM9QJarRcDQuWDoZYTSTGVf5bFwdU0/L2D0vQfIFjqmxcztYLlSLLXoe
BuHwMcdI9DXnFdO/NJyJsxBLjyGN7ghcPH9p1im86cfWA7RLi9vCihEVYJzs62R5bcu7xrfrfSaG
Br6COx5mm5gaG5zw56J7460p6vk9M+t17zbjQisUE2NQqa8WaUWcftZbMsrultR+NCb72qflA4TN
2jzNykEmCcy3yh1KwFl1sbDE96J14lRM9TawOyIph4p6KCtQwrI5bCrKc3zWOcuIW4ZoCGztP8rM
teMqaF98QYmT2yFaA+KLtv0crgcJDPh5mLvsEBZV/2IbPSQZM/vKXKU7zBIErdXNl8rnO2ycfD9h
4D8GWeJFeZdfxvqKVwyyaeO01Y6+FLk3lbOthhoZNGCUuHN0dmzSfNckWPxphF2apOzutB4/Eq8v
twghWNH61e4jnVJJjG3fx6LtTsK8WaT5MdBQSA1rZ/QI7x2AAZ3m7UnddQbuPDpgK4X31Jv9uG/K
sjmQoOL8Wyb2X2mx/r9TWVl/9Dodv/0gd+r7f2orreu/+L/iSsv5H741CwWlzeNto2n6X5kVfe7/
8YB1o58k5I4W9TWF9n9jAQM0mXhqfdfkXwX/Ej32/7Y6+c7/2CTiBWT+BKi2PN/+b9SVvyoFEXCi
/cJtaYcwqNxfc1DhJRDOOoJPDBgbdg16iyVXM8P7mScHukJUmpj8/0OF9ht71c+GUs8ll4NjuM2L
zRsWmtYvwq7RByRG7xSqZNBnHwyjSRfU1kMdhtP9pBGp//lyv1i5/nU5QK/MOtC4wUb/BWk/mEPS
FA6QoDoQ7r53Wak6QNmxmbf+v6WG/05y+M2d/fZSeDOBfnI1xHU/S9aSscTibxU9iCYDEQ5sLo9j
58Jsz6Sbuv3zfSG1a/+fQ/bfXyNSCUJEQtSx1q9fIyyfxqqshkhdpytuU6eDb8Sm9lUxymFspPF5
klCmN7Y/dhcSIdx/uP7vfsarQM800QgL7vfnm2VXTvy5BIYu/bA6t5B9N0yFupthHXMOd4bzD7/j
b6/HWMx0bZStvDQ/X+9KfLTtykEYkiSM1lalLv7sTGdTh4Q+lf+E/P/95ehoMgi3vL/Fa6lqFNqT
LvTmwAhiYVCBcvgnwIxH7UDOVHn488/5u+sRwGISuIZgFxPkz7fXL21WZ3pBlwUGj8mVb92buhSX
ypbqTtvOP2UF/PqsYr0k0wPJ7nUFcrBa/3y90qPL6BaotWoOVPdFz7aCqDFlml1nX/58a39LMfr1
Wr9kXgj2zbxmFLwd67o/QuKqI1n2KPthMmwMKUeKbfteWP704DbCPItGu9d5l2P/wzP0u5vmgcVB
irzUCsUva4HOF8SBJR9kgSYVL4EBzE+k2ZlOvP78801f00r+8/Xknm3SHUjbs4Hq+u4v9xzipZbe
mipca4Kw+oxjkrda89OwYPGO+kF/k/zDaptKlez+fOlfVwZ0+li1kZ3gkyXo5Wq8/U/lbIsHmmkf
UMbqNdsaty6Bf+/Gflzi9enPF/rbPbLSsblxL57jsYL8ojN3OoPJpxK4WkHLkxiXeXf0/hFeBAFa
1UrI4AiXxbkqoJBB/NfX9lyWAsfmkGh79i/LwZQhvTcamlJuOWVnJ/XNA8KY+SZMUR8paX3XqTsc
5VoH/7Du/e3btSw2Sp/9+V8hisH1GfsPXTISuNpSPYmUE6kxBy5Cc4YR62lRi4lwoa8jRIjTHsyq
HzuSY/Cf7/vvLxNOCIwVODVQR11rh5+vz9hTWDlRp9t+9dYdQvp14yTKjZx28K2tXfp0cICI0cIY
hvCQMP5mtCkZkKdgYP78Wf7++wMMQAHIJoRROwx++Q16AK9mOqh2O/ftVaedfwdT7UTKT+u9RXAC
s2fYx+TpdP/whP/+whhTAte65h/+8hskeuzzBII/t9vT5dBVuC2Y8O5XSDS3Mh/dF3JfH/0Va/Of
7/hvCwj2Dy7oBNe6zGSX//nLN0kjsxiBNNsgD/vYgEa5M+GrRag8zZs/X+o39xiSw0L8M96cAETj
z5dCSJEPU0dGaa1mSTYYisnet6djWwkkkb1tPYIXDp9qAZftv70ytWdIZSgC/CO82D9f2dE6AN2g
q61TefQFyZH4QurzK9nIzsEB9XRyB55yFITi4c8X/nUPdC1KXYuf03PMwLd/facZnhol/z8SU8WM
Mtckk5mr55zDxUFuLYzjny9n/eZ6LidyflF0NtcwzZ9vNGtAKCnSG2JO0+sHpzErDux0IBgz0+Yh
nJPuJjECFA/tlKc3chXZJUCK/zkwOt6qrMTG5i7usdVt/wyCZzpkttD/8GOwol7X65+2Etu+uiD+
VftQ7Ylffo8gTNQAIJ0sSlqXVWR6U7d+tRzo7X+5HFnVLXiSer6pZgiKZ0htuYM+L1/9PZYIUNzt
qu18P8MqBySXIRb3Nqt0yTE0R0A/X2Gdm+YtEFPXekoglQiGmT3ZGI5qPOdUzHXaHxJX1d7XyV6a
+kCPZy3ghiydgVMYLIu5rYIyWU9hSkDAYXQsUzO1a/sB51FZVrcOWuWPXq2V/0acRSovLcPwNk4a
Z0HmKiH4bHJjGD7pSy4wlVM5va4LwRlRa3QtZ3Ueuwy5olofpTOPdA1nh58EcB3cpdkpXRuDdoOi
zUkZolYNRdquFtZiPo+hdn8URLwcaq9Gji9nRAYhzdorYVHIFw4quNKDargOJ1odIo4WRn2/pjB0
j0aqBC75ssJq2q+tcaN4IXElDFX/IdwJ1l3qdZoJK9v7UUnU2XRfJ87Oa4BsjdYTcxcV0AjuVi/5
umhGLyfZGfiQJ0i7t3M4G+g7OJMwGQRojWtUJMC2EL2BvofEZTQMkWomXIVsVLWdM1JKO3uBftRn
dv9BJlpnbd3AGGhWYkeJurxa0CMMHXI10GfzB/rj6XZsAl/vNPDt6W6aZiyk2dim4y7LGNBHC9Aa
jLXICY4lJroba4WUmfL/KViIeXBLO7n5y/EIeNjbXSi84+IDOI647yt4kB6qPMBjso+gQtf6JiCe
dInH1GzVKZWmsTUrok72hMgMcmetBn1XqKkAmL1h8ZG9JdK/DUpEnvSjBpXFEL/RyQEI7yZssTaI
eNDuoY0ldA6KExAsBESpsfQ7NmAn2eYUV3LvEFJCkAUAKMAUPU222ZVjujVULgfcAVU9YfpQpFmV
s9WMR2E1frazlzb5gWJJ3/q9iZ8VP1+nybE2ACoAzJ2enRaaL1iwloIYJmAKzWYwkipOQFCjP2Rs
tnW7wQK4wcJS71ymTM8OPC1+ho58HhCCCf77lXyaR3sk0hLejy3zBxOs49b2irk6o8PLqn1l50N4
R7RTODFRavpbNL+OPCvLc5/QrBsGuS7QP1Gzmkn41A51d9OutLK2giEJV6CtCGkzn0bmOtUimTam
mdPtu8VCLl6PebMfPTe5h0XZVwf2cEgXJUxlXifVA/jzqtacQNDR2+atygcWe7qTL1Yvklf2Fnws
REGHCSLcBM3ynNC/8gcfn2NVlo7DPI2cJtR9S/Ppy579gkqRrLpAiyXb1Waupnt0Kbn5YKdlpYDW
L+XDVVRh7J3GbHf4R9EYlFnXDHwd5igITPCVuOcAQoO57TOnvaA/mp8QFlrFCebYeJN1VtptbSZy
32YGJsDn53FKYi9skmOdzYhbZ6qnPCJrLOCPC9tGZlOaFkABT2F4TxJnbmKolaDaK3xkaC7RShjM
hH35PR9sc93KNbQvwIeRqzDdSYlsoXOCQj407wY6r0mO/j2lk+tENO7SmNWEQ0yKawQPf1l7Avsj
6Tlv0sh85uLgGKfdVFzHK6EKhvRubC2cSXhZ2/RUVLodjkC2a/TrQF6D3cJwuo+kXWq985YWw0hZ
Ce92xLy7vBQTORiUA8jD9/kAOuvR9ZQ3xS4hApjuFy/8UZlTQsvV56i6zXwFY9XvZjKD836qooFo
hKehMPCHMzWfdyvKjZoWe4CTAAE83pUCN2lNd12sBHgxMTaP9JjzO7Ic6jLGByWx/pvu+BqYXWAe
pDnqByFk+gzQ0X+v8J5AloDJioWcxwaEONNk5CgJg8l0LloBuWx0s1hD31FbP5g1mX2EfPnxVGF7
AzCXteRfKa2xMoHwfylk4i0ENNT5vd/l4PsaBQ6U8SydzG2rwuppbgBab5bFt56Ig5PfoH2h0aNE
o3/lM17/USxUdMfGZ7Z9LHjPCWNHp0bg8zhM/dEVBZbzJg107PfZyHYUZvJHJQsFMTw0M7lHeha8
iDlLGbeRDozDL1ySBK1mMq2orFYIZUC/93M/1CcfQfFKqycZntqZ6RXMZ0OfsfsSsrTkCRAcrMxy
3S+JjZanbgLjvevX9a+6cmYksEBhYQmtSRj1/Wgz2qhTxBzVQp7WhkZOle14pFiWpL3ml1V0ZBXY
OjF+WKk3POB6WdrjMiVooRzgs5vcIr5j4+Y5Ku7UMIH5rI6L5h1xeBk7DkjfXUINnW9073gzPWyH
nWism+Uq67EgK0NKRNGY+g7YZbeajHEjM4oO3o/F/gS21d+YZDN8euQcKLAetQiv1ju1W9puzuO5
uaLSC5Gtn9KajBb6L8MQVAsa6yIDTB9IJpHPuAb8ydsGZsHQGo9wO0RDonEEVWl/Spvmu3QpK7bE
ZAW3OI97mutV8UFcTHrqvbQ2ARg2oIyoTupPbypb4nGRRV7YBfsJZ9MSfDau6m2ybRnLRfNoMyIe
ROmiNS0qGBDzGhbmTTYohofAAvuLa2Xrswxm9QWWsDluECKH3dMS6ETsW4yqKgqkJb8bowz9vTGG
VvpSdWtxx4wBYgGG2pV5qVfalIZGWXxbMBAeO5986C1wS4x2hNOJ54XH2sVvQmwBapBrE4TIwC7u
oLt8SxLofhvCG1K56UFC61MzzdeS06H0CVwfTYSmhDsvwTiWx8qdUbXrVZBYPVjzF90u9qENC0Zn
uYuYDfpJ0ZMcvNS1sZ0Qa0BdCqad7bK4bDWjtB/JYGrMJ3hkdEyTS9zPHOPTwxpMFs2g0gR31RMT
FURtHSyQYswsPDW1Afxm7Uz5gOqYX6sPmWvArVw76+Jbft+Tudbif1o7RxAlTzExRm5p1XJv+QZx
LbPrOO3ZsPo6Y5GdUDl5iNCiap5ZvUqfZICDsi2GUYIXmmTElfz1nU3u53JSshSvuoGVkYSfVJOu
cyEsIyNYJ8UF5AzoALMVt50H62+y5uy1drMVNFDXyIIOXtDnxES684uBeG/rQg18rtf8Og1SyaJP
KfX3d00hSmPGT+1nstHkMzqevjkQzFi9rW2j2++I0jELusPq7EQ/z9WlBrSMVoPROPFxSCULqlup
oHMxj79BaOK1d5OHBT9PcHTs2qBuWcXw9unjitcp2IhqAShtVCR5NRhR1aacnKuz0Jv8+tStTYN4
JWg55Bta9RKcZlZCQEwGo7rtJjB+u5CZzhppv59GuDMK6y7enyI9LDLX5BYo162OZRuuVSQrTb42
jTCNGQg+/WZO645kZz0O2SHvBLQoDwobqYx2OHyIpWJmxnwLX0GGou0MmdLs94XsKiqbMJEHphZO
EBPyB5Nbz6lzMLTTsK2j4hyB6Vj9p+GM1rf/w92ZNEmqhFf2FyFjxtlGEHPOc+UGq8ysYgYH3HHg
1+vEk6xbUnebTNtev1eVlRHg/g33nitVNlEXZYgR1yIYvMRo9sjbKfebbMuEx3mx0cEum3DFA7ut
FVupzYqcFHWRn9WAeyLd7KMAOY2FDpzF8CB4YKMY8Pkm8Ff+ebmbw8MlK2zk9KmocrcE54hrrmQq
QMZLWT6WPQmLwF2d9uiOXIxHXNhywm0d8zPbxRU/Co78wuO5zN9W7qOu4Vvj5CNTAK5uLpcSgFCJ
fweQetEXiMO6poGyYF1lY3VkVGIa14Y3FJXep9cW5e+pYi5zGJexQJml4/a2qNN42M0yKuAXTl79
XjLjaGGcgtfcFUJHFVMj454G6SnKTp9Sl3LS8fHPRKH2MRM1ETkqou8hmI1QRrduScYjVdwMp9Eh
c6s8idWJDjar2hj9VRWoe3Sk4p/8xwLZgD9aVCHGUGUHBaIc1gty2S0EiQZJjwXkfeLumpN8wLqh
/RkNpuXIGtMwSmVNhgN1Jgl7ZJruXEo9JPRUr5vJq/qHvNHRSzaT8BGxBEWfa1IavdCeSYvyA8ve
aV5tfJNX6znFGRl7CYoJonrioT621ujCMLe0fquYTwB6iyTc11JiID10DoLkrcvHyoMZXTWB6Gtk
uJMYen5KwyTw7FvtaF/Koh+9HyGga/kTBo9dScral0Du4O91OjffJU8pb4qvNXdFG3nyCphGSutb
3HQJJO4Weo4f1f7VPbYeolghw0DZmqE6zDOM4zPBhvsW1L2VSKM6wrzCej1OUWN985niYggi0raQ
ddH7btp6gnvczcsTXazmAl9R4TsAiaeNY7lzeW+t8XQaXHIbNk6frZc+uLKxde9Z5mhNEXCCupy7
p2qSit7VBMS9BJrvY9MUBDaw+iYvrCMRceT0tc3rVFIn8MdR5PBPYrlPumb6ZoXEs20nVjYEozgu
omMfn+K27bkxERpcs/rabKX0zee0gZlOGPUWtEj0WjV2wWOS+Rx/zFr1hj6mwDdc13RnM6/tcCRy
BSHdahQlXS5bEhDxiVOxODgLZspzmD6j4soZaOl0EtVuXWwxq+fPQYMzBaFnYb/WokED2Wed2Gnw
++z20xFSw9Jb43ksCDM/iYIDEqGuDXAQ1e+8VzIf9jqbJdKkWbnBjvwwFBJB4TH+ZSMGDizyTNSj
9KrWY9mEY897xRqfdX/rfIV6zg2MeDd6FuPU3hS+WppHm8DYdJvnJeENUbcQPOU6QrmJFxXceh5j
keyevVD44msQ8WjNwEb4oyaaYMlcFW8oChrg9haDi4sFKBeSa65Te1MQjGt23aIQcMlJSfjXKOdO
EKRMtmfhxUdXjCiNMNO5AjVbT0rDgUOf8AB8MJ1/aAi4RHifAenjE03TZxGU1bVBBXOz1WXjQ+eS
qxzudWiNxR+A2BloukBzViea34p9i+vRbOlmAb/EhrKKT30ZZSRbYXFaiHVSKHtV6YNgq8FSrAeG
DqJhBIaBPxxwOr2QBUOSUCf08iZsXIj7wEnNKe1aHHbWTEG3nUll/lxJLyG6PedECrOSO8kupP7j
V+N6k1l65RhB0m9uipXEZCR0LgrZuuoIxSwoO+YbQn1IL2ZorxFiOSMLaDK08QONcDaskxRuqXde
NfWPqT2PeIe4Pcb7FiJ5vwk81OVIGiOCfwUXGaGwpRtlxxaZPQbHyor7fU1tPCVhF0egr61hsbfp
SGZlSvyHt5/0EvSJ5c3NX7+2oltJnrK7x2/BV2IPPlACf+rDJKTFQsSeMSPeehnzwg2PwfgrYhwm
dgI3D6Ls0UzANmJlgFQgmv0UK7zyM3m9Vvg6r42GGN+4znnWZKxtS3bFj9HiZTm+N3+AJ60BMyRA
ThW+MYEn9SYOZ/e7awb4FxzFpHsxLIDbMTtXyyZ/ZsCsGxQlkUEdlzk2FNJ99txW+K/h9pd0FEpm
rzYVmLUlKWJAGq9GyetC/gDLsNWI/GAHIWxpuPBALLLeMsN2bWwLFeaS5qSSIgMeaS0GN8NRWhEy
7FB6niqPP5qUpdG3zBJIg+EEMeD6MbDNCZwCkJS+cBsXq0SBKJ6NW/F7dkd9l1PU8qJ2XoithHFa
hh6W+5JG+po452DCfHNIKkIs58zzDd4mnAIYbKOb1bcUVPVQpn8LTt6vBur+62CNsw//DU09eu6J
5ccq5PDMjwyWM3K17o086GHeeGGe/uQLxIwjNGDLPeZ0ktwoYwAcpJV9dE+FuC7HcCqa+WFE74t2
m2JTotqH1rGtGIFw9qxiiDiX1XhXjhlU8gah41fkFFdwBJXZH8KOictWPcbkddRMLWaBXH9sQ3Ah
NURzeekY3OToFoPgpszY9R5V6K7FCQaI/TZw5bz7Ex6BzaJM9Ypp2P7pI2d272TfMiKbchJOEtvn
D57W2mSHTvZZuMe2UiIKzIjagnThwONc/W9WdwfJdeNup8yDgYFPtjho+FApqnkK+w0itvUhREF6
Wsql+vEwxhKGhNr/i+ND90/U0Hl4HNMlEmggyd1JmDNUPO+0Y/kOGzPVCKOhhckiq6CfbLTSeUvX
jNqdCRnQ1tFjYkNQEF+0v4bW50hrSMMc43s8ROQ2dpcCeae98e0JhX5sKKIQ80lA+limCWIZR8s/
Ljb2f6kLWSa2V8+MEz2yNmCeMGtg9ohRWzZuROtarRMEgiJSH41XWdPW8riN9xMhR1869rkhGGGy
mCKqt38uAWGICwY9BHqur3DzOWVteGJJEWguYSDsPbk4WKQjleGRtjPYlgnRG7yzmMKmMxdTU+15
FsSx62Q9QxTyqvvaW2fqmE4NHbOx0U0PrrBab5+XsbboykK6qIlx8SdHHTY5nofsroJa/SeyshyN
p30NcmAOXfKV9ZE2B1Tr8TXXhddhq/0VzojVE3nDHh2MBdOtKdY7NtswFfgat51G8Hd0eo9+Ch1Z
Wu/6ScXAJgZN8kAW9qgBmzoasGBP3S+rKP11H6YT2tqr/xSRzEpk05gJ3PhRPs8nEDcDM4c+bJoj
ETsN0k89cg5BapFvGf535xRPHPrPDGyGeNesfnhNGkw9fz+tOoA4kqmcSXVMAtu+cvKlQB1PrgO5
SqlD6qDfdTiEXWwW2zDVPY0LhlmSJaxpIkU0EuqeqFsMJUEd0xoWztXgt65gfVKJ+X9Z85HJrViv
lg4rwyDMgLe5y6XOGUXlwfrGLIdFlrChU+RrylzDxon8Mfo9kwY3zN91rKdgG5ThlG8VfUi/yTB4
tNDDr66JgakxqP1pmZhIQsr5KTmwGCpF/nLAq4OUMApED7Zs6F/5dByJO6TOL5KtUQyMclWXqKME
2oxuGxw4EOhkJrPOeiubWnQJ0kRc4HR8ZJHVEgXpxpLhkLJvcaPuSGVhU1qsvSa23ZFM3lvKZzoa
UYoZ5ePKZt9ZGyfasoOc9I2qiuWepOE03i+1E4x7Dvqpu4FV0ghS8MI4Ps6TTcyNmymBqZbcArV3
Hdn/Yp4Ljp1JXAC6cmp7cLI8LluCdevpYPVu/aLg20C9DzLU+MhwHMSQWvyqmOb629Syx8fQG4hg
L2vC8/js1ZyUIrXu06DzFM7/1KDAJsyL+iUriQW1x9S/KZY0gw4bgMvC2QNwZMeUK183CvAgFiD2
3/Gmd5vU39f21WZOIHX1BNsCtvBIvsLvHLxMsCla4guvkvzpbS6EhXNjxYI8r2yDEqnE8GFlHe32
wtwhhTTkRG0ioqAdk3wM6LCckLyOI1PX6nMgLYJ2aBrb9laVYAA2Xby632Rq5lcfWiu+w6p3X3w0
/xi/mPVq0DwzTuIyc6t9Ror8n2gcAEFd4zneQyyPB7xOjBLj1EJwK6OGbIGc+g2YUo4HEgQTVSuK
IvOB4G/6mo1hTpIWCKmt0ZBl2/TrwnYEc6aPx5a/H3xKTf+vY7J7d13b5dVOWWy4DoAFinNFKFyw
jbO1F8dmXIKnmM4I4Oqow/Ehp1N2GAeN2SMD7vUpiMcSdqmfdwVxgKhYbqn+6FjgE03phcC5KX0q
2E+MCcZq2/wl2D4maiOeozF6Zd0SB0m9sIo8dCAivIu1zGX+6DZgFO70PE/LvShLGT915OFENz54
HfUZVDHkz8opmS6zpRwfnKBqUJ36jgz/O3nT/7Ha9WIbVULoeDB1fHAv/3m16zfkcNE0zomXFuY0
K7waNmr3HYect8c9o/4bOcr/5ec5vmsj9XH4ycg6//PPg99DVBX7hMRik5D4SOyPoV+XxzEn7aHm
/vg3dcD/SEn7/yfV0OWj/X+zTDEFFlPx+z/Kba9/4N/VtkH0L2hYY7YhV+XEdav/v9S2YfwvIVrQ
KBJBCEbDc3gi/l1ta/GfQnw0cUAgKMJK+yoUGP9Nbmv9w0kUHDVh4PG1Xv/c/4BmCg7zqtv439t8
VBWUXLaH3gBqHs9l9F9EU8JMg2toHnaTHkgPT8l4bpCuu4Oebq8rRAMhA0H8OaoNGkpyucFKIPX0
l69gUf5Xlsk0+lQOJd5uZG6ltmgJWa3W1x6Ge2Wh5r0C/don1SFt29tSVuRpqxKPKePuGe5gty4t
OIVaqHi7ztIwshi8oL+xUakKuW0o7MxL68jg1pTkA5H9xNHu7aYqWKmyV9UjplVTv1Rvddf31cnv
4YthBIjMX9NI9Um6pRvt6SMghC2YQonDLZM0LnD+e/PLoEHEp6y7dkXZ3VsQVHawR/BhLsVbqHX3
bRk3SEYMmAkN6hfzZu+yznAc7IzePGIcnKsr8K+tehxq8opid3ygitaF/Bp5IfmDWUhWqT3ZqCQv
TfElGOENeVWbhUkeeVu2T48j69eElBFQM4vJkHKp6W6toKVchTFJF+WPKSiTDX3kHaKy/ATmanjW
ExMneAGCoDpypZwlYAUbqD9t49Ds0DxkYTCcmAaepSA6wloevaBat0GXAYuZi9daT/pgpmzdk7ja
PbId+4rL0t8OLCRY9sv+FXQZIZxuQxKuXX1Zmfik/YeU6trdIbTXb/oX6972NMKngpYX78WcMOPE
2dsV03MV6w826w5uLn7VQTC4rNssfa3Yl34WPAHHgoMWk2XIYGYQmC+IYuSijYyeXwrqfPvHQEZ4
cyebwrJnLxg+921BPkxMWuN5nCbl/bDjEREPZMelPXpNYGDHFIAX97IIlDqUVmgTELv6Ygc5p88x
xYvo2ZpVe2VmL9ZUYwLjrndM4rGPWPStUH4ePkSLipFVEYLYBuIvnliFExy4CmF4Dzl8AUMegFG2
U5zHIZAt+IhoumZ2NV6+87NVP2W27JYL8YPOkGA2cZ6NDFwsUZFAFLHOR13m/aMj/PhxMuOAUgeD
rTOHOHfokBmvFyr84LH1titbnQ19KbthpsXAoajtboe0lH+xI+KEytqORK3YDs+mzZY7nSFURYSN
q9Ea3/A4MxiKGM5sCeYBhJ2Z4s6ZvQcSbDxcJYzHlLCmgol/eM22S0ueYmHwDl/Y83ri7Dr1IqPD
2FvzehyXSG59TKoXA/rsKGI2Vn4aMJyzrAUNAHtFfB49AaI0gMNxJOvcTvBGpbQeXbXEXzG8hWMd
TGRssexRtDZZlh51SooSWMbXfOiCT/pbdtPNRES3NCR8LYzOH/wupDsjk5NOxAF/JVp77/d08ybO
YKCkIgStzpaR6uFjlcAEUtX2J8cEVjKU/Qouk6YhbovqsSjX9TzSPYMTYVlTinv0K8VlwKV3gozD
CxvQmAt7MHuB3PqD5tC6EGXGhqBTgtw3U/7OMlZk1cxjny0rHwaoEcZI1/9lzduNMX4NoMOIwzg6
bM2qISouYpjEwe4GCl9cOKeajJdtqYMVF7qMb6o1Fndd6+MIJ236aPtFeTG5sS7C9/zXAsXLlsYe
Lw3lHOOR8jTmc/9s856wfONHAlzsn8nnExs7/udfFb9lAycWWPWYrBC+Dn5uoYaPf77BbpT2sZtX
LxHu9W+wQvNnmIf2GDT576qzistsfOs8dJi9spxUWjRK/G9gXO6Vwo3mRNjl8kEWp3ZSaj/6Ib8f
W/K9sTuyHjVOs4hs2FMx4Lw38+Leg2GhK6p5egrJ3FzOoCXTpfz9z8/vYtoeE4X1oRr5P2y8VehO
+Aw7ELUv9twoUBJ+Pt9mdZC/27x6dPWBuG293PtBJWI/jnVU/h4j4EKMSMrflfaGjxZ2wdfcTA3m
qEy7156Jo28ew1+VY80nlVnxSzTO0zPtuvVWSDQ1Neth9tSCsJu6FTeGUnzbuML8LYyV3VYjsMXY
YUnkDG0sxftVgmxFJ6rhGQwhnzEKQl51Fq/T2ZtDWeZbFgcOMZdAwVzSG2qp1RktLTB8GQXVyWq7
6oV5sneeo2U+KBPep539rPrqCZ/ncW6Zg3eCoL/AYHsfCQzTLB0XJG3eF7tfeB9XW6cglfBsX5Ol
cynujdfzoAvnQRANORVAQViEDFvJaGFPazYeVktZiT9pHibQWxDO0AvH2VjtfR2A9+2Et13YQrMO
LDJwl9dOX+T+ZfS68QCEg9SWiTUuw2FaLvKMj1gCGSWZsHFYC6nfUe+QjacZLKdmefOiuODz716I
3/zUQ/od9KDnmPo9O4Pp77hLkKeYpT0i7CY4Sxue7oijWLM83U0rpoZYVeHrTH584rL6/lhQQ+6i
KbLIvpwsSGl5vmsHZz6Qx3lykJlzcPviLyuf/bpER9thuLDQi228Yn0aVaovhIEdxtRLJhMSdAvI
695l/X8rg/kqMVAZ4c+FuEb+2iAv1a5paPqkzF/TNiuZvaXLhpXnuVfle886RobuvAnrKTwoyDib
3qm+C5+1IY1Au61pNv4qdPEbyx/tJB5TLG4IgTa1sxxXbRHuEERkrcRzm+AwITXRiD27jZO/TG6y
lGF9k9UyICmhmZOuNWLX1jnHIKi2M3vFeWMPGvQgEB1rXkKo0fKk4utZzXpWER75u1wY0Yye8h6N
H3qHzEwpiYXs1Bs6zSdnDGGaRLWdtKIWMFkj95C1i3esGhLhyTtn6UauWZGMeKbgXEQ+4a2hEz+m
mUdoiiHDtgAwdKpqn+xb9EPF3To29X1cO6xGLWtiKs0S73EQ6fA+LEgFgJgWmt1JFKP4uA6/YHTa
R1SW6hzF6U8xieUudR0DJkIxaWfZmAgpm8fC7nHz932GZXNydikTIEyjcUgiNhSNwxBVPK/+lN+l
dtvvB7scXhpZkV+Dg7i7smjWzzZurUOkobnPAZQ/si7NaZqa8Lx45bQv5t66MJWoTjTiBB2FZXQE
fRH9zLqTPJKldV+CnOQxxVDsxMOKHbJ1TlPoExAbImXdypwUxmT1OWTyMPagqqoFxmBeRO66KZVc
kqywDKMOFidsGyISUGWEVgd96G1HDCRU8KreY7lF+zXbw3Nr4J0uHhVjKJaMWUW0fE7uVeFaXzUj
2RBlT3QHrJwBlcG3NvmfMiCl06CyO8AmInMk9wIeioWhlmok9ngq9SRdzfIgjRs/ynS8ltAk4YQV
hvHOpN/8xdVDbBTOzZ7zf7LV+jrNyyFMfQVMxypPK1FBnkErEgIA/JO5RPYKGdkHC988bTfYmcrz
jwV2gE2QpuYww4nlQgxZb+TIkKiPuZNEmf6Nm6bYhXUUkVdcfajKjLdY8btHv2rJkG27tx5Ow07C
ijq3Q5W/xJSMaKGD4hR2wbL1FAWoguGMSIa/SETtX270pxXc+Yb5KSeaLe6YQz6lsBA3yI2RMBj2
fcdh4DZJ47x59BdB4IE1c6r1c/Rex+qlpLQ/Y9v/iWL9bdchtVeAfIPBog8fxeEyQ+pEiEuMcXYP
evWL+WYMi6L8HdUrt98Kt9nR/f3AO4Z0zfcRTGhu2quhnVIDHZ0ImS9VZKXbKcq+SUW3Tdu6N/Qi
DVxtWDuzXedvLOBAtcu4FpeM7DmkSpmiVHahC/NeamiLe+RNXTLQ220yq5X7wnZ/i7Lm9yvt9re6
PhEU8WfGeEzwmI0wwCvk49xG4JecKzQxr1q+JjfFkxdPZ22zgi7s5Xkhq/3o90y/Cw+o1TSaGgmm
f9eCoRf1CMAa/pAdVetuUTrYEstI2hsO+ozxU8VLv8on7PYkjmXi+qX+8Qpyl4o+1A9ZZ2D7Vf0f
TNMUuv3QsJG+rra9qX1280g/TlZLoJ1bhO55tVy5DXpMLMhA0reRSG6ZUGCFe4S+MYiatT9VcKzB
ckP+muv4e9Iu3Kirkcv3+Z7GgZTYiavuWHvWS9V5J88S5L35yOjhHIT3U9UTKeSsBytvsjMGmywh
QDPmFGGvObLX3LMzdbc1LsKD4WNkG+B47Y4mPYMFg2aQerIk6GO1n9Lcs96Nahl9p/Mjo7bfgAvr
19YMG1/58mm0vPIlw/YKIG/wftFXjftZsEGxY4hTwFxZ5/YMg6z71e7umqg9GEGl1WaI1BCJtNe5
+kIwrwd9Lc6/qrm4sflc31MnJCO96vkeHcMAsogZuEFnARvmbBVANZjAmLAnt4ZdrPDcblgj+DfG
V+2T8YXa91ZJuHjqEFLmVvZ+iskyqFBP7XwkiZcpzSjPrM+ozfVtBJAi8Rpr+sPybnjzCqdJRANe
x7cM8XUFaepVJdM3jDntXV3Y5sDoNr01xEzfZCkwDDMLVH4FNU/KhxnaJntAdUm41DIG9wVzQ5KC
OpSmRavMbaAqxOu4fG7xK6MEbqBflBzOqK29ebMuOAwKd2kOg5xttsd08dvcXn9aP16Tcs4n6O61
dZivfSjFSrhZfIVUHPLGFyAhsFrI1hPsC3jT4+sqerbUVz4VVEoR0O3FIRIhLAJ90/Fim0o6v4IV
AWggSudcBMg27Gih1lH+x2KulLSSfISFM/udOFpAvH0avdRjZD9myLpuYF8yXJivwJI4Xtl5wSIp
2uoR5JhFglToodyo30XBSkv4MmDTBHijVv10MpMYN4IpKcdGWPT7cIGSy29X7ABL3/lrU0FQ9kzw
vJaAj0LkSTOxsXqjpR8/tG277orYHb/YPvhbqN986I2TsoO3qUS0BradmpBoLpPVx0Dh02jDMk2E
poei2ogffa+enkfhorGoy9JNJO4ISIeZs6MXro5dS/hdhLPphhZV7aAHRqcpd9juD6Z66eKme/La
hWvA55y9ZflDTlmthouHsO5Oozr7WeaKc7zpXVLA6+y5Qce1qVfR7tAXWB/MR+djF8MlqYdW3jdW
1f+ye1+CSbJyCT6xZOcG/Xyj0OG8YRZ9zO3u1qf5z3L7sw7kCIsICWDlRvWeiNfx0MZpf1jn4LXo
62DHHrb5YI/Q31SZFBvPMcV7L6MasQlFgIP7ZmDMjlgnXQ56COD/BO0fO56cS4bN4CY1LshkX89H
ryJBYV2hE+WCVy5mw3bED4BlyPKRTabZdzcjskfa+jUx+D7UQ3M70H6NcOnuYTe1j1G4hH/TEGCc
h/P0RlHxPVpDWpDOptdiY0+Z/GzboL7ho4MtUQufNaUbJzZy18eIYhzSV+wdUZzbF8nQYaspnmCJ
9TpMLISD/fUzQj9CQL3DPwgtAy9E7EDUC4MEzwLyHjz25ZPJx/kIKjI6GKZ5kJkbc4jbyIKx2lsf
sUyhzGMgTbp/ssgNm6MszyQfTE5qJuXQfpTMGFmdGUXfE7g8hB6hbE7VT/muWVwm8x4Tfq3S/q4q
dXo3xxXoK8IuknZu/U/0LQ5jtqwcmXP04dGVffO0Ulbv2tyxXkNFe8LOXCXaJeOrvU4J7EzbmHq4
bZfKPsW9reD/MR2LZ4ZJzBrqW3+qh0Pmq+JvvRZwEyLp7E2l6iN83/Ew9c3ya5QcPnaG5GvDwed/
Q4/3thILxG8RYOIoZatxcmJdDMe224Px7j9qG7l+WcA73YDtcn5iKPlvSkjQaE6h4ye0vfZ9j7Tq
u41VugsmMWwV9JA/mnFSkqFYSzpWZhu9lO0+1kxoiIwIGKDM8o0RVPql27K7AwAFt0ZFHZEYCp2R
ac13Eet3ZEPVHcrO/oiSk8ImiOfuc5ln/8mdbbPx53L+JQqpOEJ88TUV63X/Z0/HiosbuZhZwqcx
sMrnaUw5hFmXbAmcoNFuF+vcYVlIxj4vtr7kEupyumYYx63NWqRzxC1Ki+IiS118eZVh/cK1k4Wb
yW3KBzVAu0QnWsLBGuE7TiO2Ii+0quWCHhhuOdLtq54j3JEmUyU+0lcPE2jBpVM600Wjhzn5qXDo
1fDw3qNqi56YtlW38Giz37XbS0wzrJU2A3pjhJpiem+czE7ShfsfOQwxkFmYXuJQW2yCLHfvxhli
ZZAmW+0RfNEj5PyjJaQz1y4exj6bHlgPzWfgJczPCNA6pE7P2VhB/3fi7DAxb7wpoyp9tPjaKEqX
+MGdG1ipImThDlvhVqZ2euZsZcFbORiMg36+5/VQm2jJ1E9MISS77Mtz4y8rgHrIcPXGatt35aTP
cD2ph9DKJnYwz2z0U4iI7k/TaL11vfgz1OWOMB1+W6/JLgwXWXmy8KEKgoVZRa+hIfQOsyS71gU3
k6NQJvi2Bw427Xfe4iYBhSzb2zzb5rVLVupVJIg15hAgstsYaSgwF3lG/q2eBwtKvT9Wt1OeuRx3
9bqfypasPcclI9NzJxZGyxts5I+uxwmTB3p3dZF0dKMbJ7WnW8dhgggi98gLThSrY6W3EplisjLk
vhASH6HAQsKAPYByzRNZkuEXQieqylMYhuqIOwL6M3acxEaW1A2puqVNwu7jzP7XFJUlkj9u/kK7
j17XmyMw5D0aHTJgkdcd5LD6f0IbfU2IgWS3VoAJjUcjtS51ufUGJzwaosg3lgKXGeaBu6O3ihnd
6+rWtDGz10bVZtMHLV1kWX5ou2rAE/r2Q0nY+W2B9qTclKv2d1wp8X0YMeKNi+kFaY2TOCN6ZOBv
qG6VcrZ94NV70oXyx0kxPbBNZCWjN96uGRU9agUSe/WQneIx7G5bZkn7aDD0UR5N9tDx2QsCD4bQ
sc7eP78Zj8PL3C5PcUupXGC32VB3UvX1/bC5dlZunE+7PkANXwTzOdXunIyIue9M2Z3crnyXY3Y7
SesHv6iVWIU77ewlKu7sbHzE4YQYK4JLn6G9PK4Q4MBlAXD0A/ElQmgImWg/GPH0CChDni5X5CdE
YWIr02vd3rj7bmb+u+pmZ/mu9zhJjwcA7NuGuB5MgcBAy9XqYZ3iZ2LTSvQRwpZ7+AI4OmH57Kay
ak4IFG+UGmE9dB+G/S06h4g2uBfbyi/ex7LodrQP6SZkPbTvkS/tgyokiLZfAUAVgETK7mUOSu63
gZlsC7m+xTxHfA4bA6SAZtd70bxb8aLuSiH34dWe2ecwZLp0Rjg6VN5LZI2/dMyYjlwssc0sBETK
h/vdVRpdujAJKswRrpt5HZcYRrbu7D3iso9SeKy+Uf8dQx2/dCElV6+8+dbNi7FCrj4cYk96Zxno
pygk79Kf6+muZjLuMQUgSivu5mKPEZSkoukThuFzkDISKbvywElPBieEQc5eKU56ruwXyscSDNX3
StIe8zt0ipUdv1BHvmfFfE+jQcw1orLnQrc/C/scwICRvdd21N76lvMTpbj2YgmPCzXboOSBlMD2
aDydnz0xH7gxa840HglkY+awXNuAuG73xO7+TAreU+e+pn0KorOyn9bU785l1pQ3Q0Nni/0/ceP2
dyhy5lsNfY9TkEiSp/5VjxdQXqRcH1Yr2puV+GC6pOxsIlseXMv5RqLyklVgdzA7nzNpOcfKlPWx
iWs2SRSs+Iez4OBRqt3YYQXZlUQNEtcIFVrCNb5fPPcHSnf9XNnufOoQIm2DXMpHTyArEm3eJVkO
jZvmfXjMVpcg2Fb/KmaukRuTmaTIXzjSzanG+Lbxar0c3IbFzhR22aecJWEUGJn/kUBtqbtOypQI
tlKrTEaEBghYT7VZfzXauRnJGVmhnm36WUNW1fed5gEsgrTaO3X5C9vNI5/3aSZlIkBxDiGHa24B
6c/U9YDj5nke02QuWf0h8EofiFoawHE3l6EfF8QX8olN25M3IzF285MMSIVysfRw1+ycZuJf2Et1
8VPI6zp/0LHzZmW86nI+VZWX81/1D3pJTCCo6EYSH1Ass+21qfR0eSttcbJc8eyEXo25gaCgMTsH
XrWLfG+Dkcd9mMvOISqC9V3MhDIBaHKuuxHWbd2Hb/nQfgQA/XPRyl/9bD0EVb71nfHZxxu3HVfn
ZNhE5nSLO/a88sNey7scFqlF9BdXVDKTlWTnGpG4JAA+9O48BxQT3GX3pON0ucvS7tipIt0OovB3
RdMgM17YdbkoWEw2f62+F52tQVTnyTKaMiv9CK6VRWBRQcG4T0JNvIlEdLurl/kXcQ0kw63prUvb
EqBA3w2oNElWWBkBRWxwu/g+Y4GwF310zkQeX3py8+jwvDZ6ZyBGPHCGk47wJHMvIvvSr9RxIa3m
rglVsWfUID/QzKqHOfLLs4WH5Da2VlJTyPljmoqWrfbCA3OW4pTDqd4rt554c6N/pe08luxG0iz9
Kmm1bpQBcEizrl5crUIrBjewICMIrdwd8un7A1ndk2TNMKcXvUmrZLLixlUu/nPOd7rm2Wmz4YvT
cmBXI3MXPuQVvdSey22dc7UTseY3YiLGrCSEC45yRpO/e16P0TSNEwQZqonGcIaZ6Sk03RKvdQ6Z
ep30jr8VvDOeH8I3DgW7N0cTJ8JISK+Vu9C9Y6YZae8/pHipMeqP/RYf+VcaNZg8IFIxs4DIBuxt
ZrsolzLlqSOcMNTY9jpKqeyhvLdIpiNpGLsESzZR8VPrQ/8ly3/rdTO0Vr8p1iDOn4uku6WL4Qkp
lNwniRdoxA6uICuWoBzltCFy8BWMC+ZhMlH7PvOoG6+BIQdOdq9n7xhEIdUoLTkUMVoTkZD5zsZs
vi0hfJxkP2+8YirQ463XXgeg51r4gS7DeeWY+R30m7Pv58D0UpeDa+zvJ4TRVcCAViShWpfFUu8Q
RNd5Gd/7pEyF8kkdapiT7D4Hqr3oP4ujXd25n0mZfe76sSDrTlihb1ILrqF+juvuawipt41CpBTP
3ZIYSvkci9ukG5pdXcANJ8iGeYtGeziKpCJ99Dk/T3yODva2hyW16cg2SeydcTd4x9rPXo0aMSIv
bI6K+loSato7SbtQJNv7ILK4crv32AXlDXk6+IjR6F1kDQM4Io2960t2ZZZPcQooXfeHGEOXnpOT
7ul9nq22PoQ5x3bkc4bpEZdQ36tLjJLBsxVm6rpqcvcq0ekZdgtlPFV8sKLxJnP4GJrLRkMbF0pv
ToCZCqWUbwchI8kECAU3t7ObwYR4XyuTBix/qtZDmua7DsGeuioOCjkdtXzrpvRYBAytTY+eKINr
wSoq+otbOA/93FPY7g53rcAxYvrmM31DVNDEjcM/6uSYktcTI2OMurzSMakCrHHFlRk7BQfQsFhb
xM05kQtuN6Xhk8yKudjBfcfcRs/Gcy8aknS3ddxY4oO4ANV6ERx/bjFzURODr4lAncdx9qZVQ4hN
XKHJWnJtuX0uj3SBWtalbSQ8VEYVLUqUjA0j27kqJA7DHF2+ZU1SMKfXan5JGNWNdyTZCcykDCPp
vWiSwb3S3D/rbRF4U3LL/h7JG2nU07c5HwF7ILU3zOtL+G6HsnRlviOB3ONUHJFK6nUZt7W5yVxp
WBfcHxwIvclPXttmiMW1xpPW3NuIYksJpJ/n6QWbZd3d97AlOLjGNhDcDo9SdariJOx2JP/ot0TZ
pB+xEW1v7mvPlGjNOZxX4xwze52uB/yTchNF2BH5ZjlKY67MuC3QF95b6Qi9dBidT1U7zOYppAVB
cKwZHQskk8fn/SbFPMHneChpireMYNrQRwRl0iqD8BY3RXBNnPHL2Lq3gXTB9fc9eHKvSvc6V8N9
IBy8IFnT4gEnm8rHqYs/k4Frbg381flKVnq217bJXro2Kys4YvS4n3vffSRG/SmW/s7LEgbglNXY
Zdfv4lzcBkP5LqJuY+DAKVfkbp07hPP6FBsBKV1Ww25+dtIuCL71UtrL4/femeaWJ+LyHgtMsjPi
6GvidBB7C38fZnLf9JyBZXGZXCAuEcWc5PRqeONeMiPCpEwdfXuHeFHQtcl/rDI9Hy0IABvZhth+
yKs901dyILtcnyNtc3nj2HseygnYQTja59JNkg2xYPeWqDHEUg/KgiHqoxrDaT+I5ktlBNeJHdLR
kLanoeGMx+0IKiuFtCNfSxcmRcw66tkN3LOEb8igfespUnBDjNH2rgoHIgvTywkrAwWxRi+dF9pJ
Fzr2/NLo/B26a7MhVrfP1BwdSINm61iH1ToF7/xSNeG7PQXZsau7a4pD8n3dD48JSalzz+Trrm2D
YusOvtxlqfm50hVu2kSxywiDebScm3iXcUEDZNBn9ZsfcKEN53nnjOjkY6KOkU7GbYV3jUtVixDR
TidEO3GAbNkBirSbrWMN056KTI9Tgv+pSzJuypUa72Ir8vD4kvL07BBfNUUlKY6G8Crw5b1TBc2j
v7hCs2727vD0hYehjf0N4kr7NRog7AwpCWKKXEa0GWUdVI/HSwI8gX6LUpuQR1kJnj35R2GsOupr
j3zbmbsCBUwx07y3CAcM9+etqIZhvglsQj9VTqNr5FIXNET5a+5x/1QpW1ttZw90jY00ZFMhhwz7
MI9leRXmRBpU2HIaJJcUblxIuM+1I0oOM3ikTgjeHaGfhteetpV6cld+EM5v2MPsL0VYuPWdDrkc
2kz1rV1VWCNugYl6450m1XBys7L5MpMdxm/S80QvTlHOZC4L5yUHB4zCWDdPONvcM6ZHeL8CgbOj
8XVelizi41F+5QRNhRxWXagZrdetudDlQxIUw3K4sZQxgxUYs+csJxSLzWs42SoaTyxgHKyDqKBy
puFzQBWDpJcC4zenLgXA2TxZwAOzldDdGLxz6avUuu/ccBuAArnIMKdAoB1ONBs794brqVPQlTYd
L4Z3G5bjtEOTyK71lFT3BAO/2jKmGZQyrnVeFsZdnZd3th/QDCMNWnAja8/o+MOVWbAxZHaBCsBS
ODvOXdNZHdwCKq82M5EyPNxTgq8+8OLPdK08oTx2mymdt11rGscs4ooMiO5+zBHynInZFPvwISBP
+VG1eAyIfq3VBD/DBmY/tvNwZIXYubAE4HO0wbY0MggTZKedjeVGFjuzR8WFbz70IdoeCao9yldD
XGQ4N462j7Yw1Dpa2g/6dNhBE+C1HwYQIVj3e47zFXqkTvxVOxFxdDEIPNmN9q9jr6RkwpJK0yks
KSIJbH20knyCGWHLpznLnwVV8+uha9+5AOl7LHi4HOrhIWHZpaKmHscPz3ceGRCluw69BaX+Pi4J
vkcyBN3fDY8cQbMVicls3Xb5sCMS/TKHZch4thhOkTJ5ayyNJj7QDcTtYpCDiRVnGkOdXWLXxVlv
DP6TyD3nqhjcgjaSMCW3Y28zfEAAFMmLMsrnsZlvBdnMHLzz6m2Jv1Zf/KStHLIFxpfODLwtc6Lg
aI+peR10k8O3jk9YROfb4yADrGkiNkGDuPR/4A6gR0YDEKcJifrEWn8G3DJcdWD390Wmpm3Rxc4Z
MVJdC2LtK8Km7xWfxw3hoPzcSmyrq7KKP7wkxSnUbgc97pjoXyabb1rYPgyUf+xqRIsDWOzLgva0
wj45lAJDB3lfi8M48YRaAIZC46RxALYWB+Z61yI0KJw/SO+nsAPUgSRnT7rYlOQQe4kjQmXWQxjr
a+oYL4SRPCZjdb9ryhiDrSPdfEOfXwc+I2wuWSahL2HAX7k4lWDIAGbKY0oxyKfRLpUCT1HSgRbP
4I3ni/ErDafn0tIUMPgJ43xepVyBx9cZbebdmN0byngmGDehbxFICF0SrHqgs2ew3Nu67PMzcQU0
LRRzCrvVmR7JaocZ9IBUR9Tb4khe1wwqRU6FES2ar0ViZkxQjK/Cmh7mJYitGb9vc9lfSCkYO6N3
53o1zVwPaYv/WIbPx2H2P6xMOwFU715vc44KKxqt5mPFi3UVVV3FDeS7+ft/wwbff0jdyY8/rt4a
9QetdO9vOq2rf18e6mtNRQN3Nv0fP/+r+vHv8Ue9edNvP/3LtqKedbrrPuR0/6Go3f4vU/jyN/9/
/+MfH99/yiMcmn/87WvdVXr5aTG/1p/97ZYFGvD/7Yg/6rdi+pe//8MQbwXQp/3QgdErCEMssOg/
hg+l//E37++eRT479B2ToAT2KNh3/7TDO/7fAYja8EstyttcLrv/7YYX7t+dgHwDzRiYaijKcv4n
ZvgFr/d/nPA+NnscMQ5Zfn4/FyP8L4TDmgT4jOsX9lGqh3Pmm28exTDIsbY4zCRPmHxbydWfXpvb
Hz/9j6rj/oB0rf7xN+IYPxvwfdO2fd91LCb3wrYZqS/gxa9v92kVL3//32ynzCWHYxNxjjvCU8Pi
VR1Ljp5gfiNCepu+V5l3qaOpaa6zLKjpaBoiiw54x6nac1YZrjxRKgiCQ/QSvYxDHPQiHGLpjKIy
gCbitX23YgoasRnR/riuZRLWu4zSRfM1KGpTED+VFJaaKi0JI6LhQKBv0fzzPI/EuQEejzOysZsX
JMrp3egz0ZJSNVPELDNES/ZV/6nPs6TfDeBNOH+HySBvs8lsHrwM9zF2u2b2MFoQOV3Bho/EsZhD
55NLBjveGwFd6/xqI/MozIuOz4giFDyHKku5VbT4Ghjku5bBMAtYEqlCxON02lizTP1zwgVBFhvt
FzJnoiud4aijcixRj9LI3tRxH+7py+ruuKJYN3bMVGdtQjp/LUvzxmg5Tm4M7GBXTaqqXQL0hvMh
Uf2FH6W4YtbKqW8jhLJyB4V+NB6UYFvY4gjumEnOEffawMtG+gwSK38drMp7GU0j2lY2qvzabcrm
lVuEvDE5rn4hqkgk2CXnHG0ibGBiW3OghBCFpFt+MWtVDlunZRFmTETuHxcmif81XBXbOlBqz59L
xhQbMpU4utIWJQiVI+aqE9nioY9y392JqhC0TtHOx37o6O2Mq1K0lGSGbXebTlOPrs9Na/krJaK6
u7Bc2omLuVDAORCK/PmUQYq7zpek6ymoy/TRR/xLd2jbQ7WFJZd9xYjeMs9PW2CfkE5tbz8KAqvr
dp4drs5TWeVMAPCezMl6DmYR3ciMWuf3QJBgFKcQzCVoKkQ7szmBWivrnXYUBIyuXXJYpVk3r2af
8T9zw+G9750WpIBOF+8bokVa1zc89NRmOxmhRmwN7IMSaLQlcriLnc7p4C5HrBe0BCbZHtcyny/L
ZSR2N7bSiJtVDTqyGzaDbYvh1mTomj2VDVy4C/rYyKfQy5e/vappH8CY8M8/hGOS9geOHLToJWbI
T47mkVv1hu3WU8CNmjiYma8PEaY8zJFV3B3dPPK9zyQGcAdMDAAVuB1SEy8S2IO3n5OeTzPm1Oa1
Z2guAAUOJQU2Q8ezroTiP8YNBS4VELpk1fWqVa+TSy0G6L8UIqOPoWIzBFwXcfrF3L4qJrhyZXRS
c1z1Ryt/QgHnq8IwmLCf09VF9gz2Tea3g+c05SN7Ugn5vsT6ttU4nEF1hmGabjIvU4+p0xqEwCeQ
DJt2EoH/lVxS5m+8sVPmvvLb6kMrA22d5rN7uo8a9zWpAvyOXW1pgAzWKc8tyeV4Dp5F5uSwd13l
PMZt6l/XnWVetVNxSGK0M5NORBbKddJKxISeM1kGMiZVPk55IDOkRphPWR5D9th9EozsDm7Me6Up
jRAtLhzdd/4tGk5xixpmgLwLUpMBDtdNgYrwjJW4W4IsRurfeXb1yPzzW1tHZKvrdHT3ZqGtIzXq
GMCqtOPlTwWR3QgPasvE+6GyWAmL1K7fCX+SXB5N766oiR+PqdyhkL30GcbxqiJAQQXvM2GbD2zD
6spvdbtJHAtU06D2U4uZ06+6L5Uub4TpBltbD8R/I+PByMKFewbpJ1zemRBRn57l9iQnmj+M8WlI
9b7hcrZTCW3sQTr4V4j3DFf7Hrl20R9TghHMqVcMu68Bz7GyBoFPC3fH5DHMkueA4o7Uod2miG1N
uQIQxTxLm09WbDE8yIFSTefAFlToWPGpmwmKmtg6tLdAwHKi+AurQkYXGEwknR02A0ENWkwX3A7m
XLbqcDBSF4sTqhX6LJBTETYyOlYB2cma72yMrmA3rKPZTGU1oPGX2Z8eReEFmFO5kyTKLgmvzvKI
iH2MdYFTgNatKOo/N7NRr6EaUiTW4kOlVAGXZT4E6zCU9N3i/+3weBGg2DCq26ClvtMtcTQsCD6p
TWmfwuMR5VJzE2GqWCUD0BlO6bvGMi52Fj+KkAITt6T0PZyIcY1ST9Sclq3DLS5L8jUBi25n9iK4
w7FnuNw+2yucBqcYqypWJvfObHq0cqqa8Od1L33v35lZwt1fpRcduoc+qDCa5fG1nUas3CMjmdjJ
9nEzZVuR2xOVgsWtiw8RLRmyj+eI+BQa3DLYJ9mpjLxKj0YTfsl6ZAEshWmGybEnfbUyWSAZ4c1A
D4MRoDaLDzOV4s6SMxJVjIuGSZzS/XoMMIMPemZtMhq/BBQ09gWgHSgTaMl9u20oBdr3RJ0OVJ9l
T9A9h5JfNQ54qYGrpivK0j7Rv0FMJ4UgsaJvF/BCYnf5iVFz84hLxXqjMyv+HBpN4wEH4zaOiLPc
LKbpBlBNtYFuGXzyg8qC/JdXb0mkpLUrE+4EACrRyifQOd0oMQeQjTjEXh4xCMpEk3GTpuRNNR3X
xyQbsH9FQDe2amBkSkI/vYKwjhOhi+d4Y469eh0TbR0kcI7P2PPbbU2E8w4BGknLyPt+52GWv+ms
8M1022IbxAY6V5vW2CSxd9feF2LB2rpQ+FOkq6CLuQuWnBao2wn6BsN/zyVCMx2NZyO5QbUYv3Hl
ZTxFbTksgslIX9wAbCSJh8xbt7LOqdIk/G7SvtcunNZIeP1GYRFIMKIUeH94G4MXMyv0NToOElZl
AzmFV5rjIYQJSITXhLyIeYKJA+4o47qcE7z00Hn9fddXYqXI1WORI9wR2QOV7GafH2ZzME9Bnvtr
KvjElou93hQxbWxrbyzp68MkxMA6JW7XmoTCgRC6d37jKkADHcEgT+G4u7Js9O4i6dHF6pyadWbP
7UMLJvFAMwNjqSCqraOZjtgDLcUUYqKc7ivQ1WkvuHx+apmoFyyJRTGvK2ckYVMVXXKIaTD6pDo4
xuQsNTWlvRGqVdmm5jP8rn0buiinNJFhWpbl0SzNkfI3MEJoCDQTufHgXNGMijpnl/VDgHcbxAkx
M+aoxCV7dWCwUF2nTmCudeXtFeviHghJboPKMKxHqSIMICXdtG1UQQ1uR2xunNrv0sJJDw4L6EG3
dnZMRc2IgZM7yyHlcg374dlvDbmvOhFy2in6o5YMKDG1enc9h+27TpIarSBTnLXrEkEZi2ND5AlN
OFggqAWaxzYjDINwio/yKss78+SpbmZMS5fuxgBnZm7jqCy/toFSxGEAQR0DyqCuZ0r4QLpEaESS
Jqtk7hRfbaFz/14bkiNWjHlzT8OxhuCQGV8I5SefTImHI3HDpjj6ZMQZ0fYWjccNFWkhMChwiV59
Vn5proncJh/sqcpaBVoPe3+gxXpKuFUEHrEUQRgLwQ8FhqUHoZZNyN0nJmRH/KkSc5wFGaM35g5r
iEoRPYQP3lalGFKgOOwye9ZPWgjgJ3lmTIdMmdkZ6oLelfYgXkNuOvWHU0cE4mzthd2592Z9k6Of
PDem5ThMLLxFNnUM0HjUfOmHoG+DKyF96ou7or/nSkm/7Gz4MIajnltawASQkVnHYj3RvAnRyVTj
40AYCE9AFyTfvNLkIw2g2v4c+5bLoN6D0mVOIV0BqFrDrjMK4FL9YALZrOIAaCzEnA12QaocRD99
IUHRZLswT4B0SCJAN95gkB3I4yCVB48J1ADiNq79s5rduwKpzV1RrV4zo++lf0osUT4SUaVjrSjV
qcvFeKpKKg5VHeD68rOvTautdjNrCwmsXmCAPFR7R8pnOGUu/NNQioLILWSk3MxjaBPManazw+x1
LXoWdYwQYFbtFIQOfctUtW57jjvxDQZDiFdDsxjYMu7pK3fJpUG/LdO93fn2gom0DsTE31RfT/dw
e4t8x3xFuRvOYnoNlKa4GqLKODL4jy/d4q3o+vQ5Yrx1ZlW3zlSVutc9WGScIB4G/aC1d8xooyuH
VfzGHai/sIPU4AwQp08uae61386UdVN/fEWkArJWJpyvQTc3L65nqgu1xf2dQXHdvqqDpwyKzNGc
RH5x3bJ6kmNLzqvBzYCApvaGU9WHyGawu2MNAqQH9oIaZhOYA6Su4QpHDRs1+OR6iy2Qk/682A7I
RFROO6IRjd7erUwOGilcX7lJikh1Z5cb5TaZ2n4jHGuR7djy96ONQ9useqGBzlL8vYw70FY9SFB8
ZYxDWw71Tki8I4Hg4XnQlBMiM3AKDUVXu8+eCuCUYKs8ZDHf2o7RPJv4rJZrJWoB2Ot8n2srvkXI
9XYl6YGroq385zia5m8ZsUNCPaY535SmvOEGqcJ1y2+LZQc3gNkXxN5yABnrURtdeMZ8rJkZ6to8
BwH1zGYWOLxbGAgl9Xj3UKTdja442u+J+Oe3nl/3IZE1TNZrUzcsYLELaXnlCys5dcVAax/G5XmL
dKjXQ1Sk7y2+gG3ZORQSJqkjdyh7id5VrSf6de3ibeUeBYxl8LHDkQHS9cXQlX+cFNO6lvTcYrfV
N+AsnC8efoKHiUnhqVAkk6j3VdGK1JgzLVrzYmTkhkGzogz6eAvtH7HeFjGeWAzibhGjpElH3FuQ
orYudM8j1MD0VDVwFFYS/91jNyh4Ul4FUnPpVQ2/AYPPHk3T/yjjkV13oVLRfKx6seadR5YhQW2/
THFAWbCdNeKrNLW/IVIHt3XQBRfQEVL5Grdfc05mOz8qgok7QyYwgvICLBlhGlpgUcUB2ytd01OL
JQMhhWktZHYGsUCmDLdTL2xu5RGGIrySedQHabTIKSi/5H7GoSoe8EPmV4Uo0sfSm/JrkKDtCgrj
zKsfnH3ellOUoQ23YhqJyHl5p7gAySV0Z+bZO1EQ+DtFl4qvUyfyt6I0AO/EAIkZK46Y1Jpmn1VV
fTRlmAJADmVGrSV6MV1BTIzvtIx8YCyJX47HrreIHfiD3R8aW+NnxUYAn5p17DLkpkGsqquwmbEA
eucck1NB+bKmvKCDkL6326QlZQEb6C6zuRNto9z2PhdWXHRrhjZlsrFnbIv4rLLFpm3ns7UrtPK/
oGEO2PVdprqUJsyjwECTVG9FNbVvplHOT6OJz2Q11gY8U00pJvlIUnnyanAqEnR9npcM6vNp2JVY
dl8Sr+Hwwx5qzgfJifMbhzP826AWbAbsqZFe2Qp/+Ya6AXkzitJ6ZTyFP067Q3wGlhq9tKX/yP5t
snMMqn4foCMlUImRzPhkTeotd0L7NNBbT3Dn+4DLLXr+d2kiPrEv9MlxMAz/LhBW32xYLeVTmnc0
u9oJNtp1y8zlgD0frzOQs/5k4ArZJpY5PKYwBTFCuZLzY2glL10TFKeM0KVFYYQbv8FaZ7LgGgSE
ahDYBsOGcWhEcexEUL30nl26u2S2GK8Z2mc0kE8J3A8LagDRNi2oGIBbxD+pzUmZUyQOYyxdWunn
0cEcgx63mCcWaiX7f5kA1bSlazUoOKEGq43F9yv/bw798K8DbmpF86oTIzpXqqEnZ2Wg+uVb7m78
EIgIPL4Rt2a/KxpKmyigJrLkqNJ5CqAtrtmZ+Gt8JwUf3rCf+Q6JEoXhx59TZLA80WV4YqelOAK1
O8UxEIRVmHl2cYSHb5bgrAbJbr3yorIzoYkweJgPhQKKjK4S9019U8YZL4YNB8icgHJ5c3kmFTcQ
gGumgbmT8BsDRkaJAWJVjxAeb7EeMp8ByNm8ghbktWpoRqKHGycO+aKstMszQ2uzfhJ2peyl+1wU
T9KaePvxXgb6oJOOXYg+EhwA2GJbkV8pN7TbL2XlM4MpI0as/5zlMMDiRbJ1xiyoK2VaXJLMSN1N
1dJwuw1LMWQHczDMce25XTbejVHbvBqu4AfYbsbL92O4I0DTlmfDSOBwDcrkPfCamCfnCWDynEiH
Nt8qN7Ywp7lzy8xrkITdD10ueUpaCX6+5n1i9No0FZwUqDW0dOrcKlG52lK9Fj4hbvyq0Vw/meBo
xzuWyzjbKzN0csJ2kvcq4bqeX5XT6GTuGntAl1+DdWnKS9/l3QsHf6WfKw9exJOlTPpth9qvlw0t
jjSlwtikcAE2/LQSX6G3l0PtFtfh96dKTU3nHZkD4jiuSlzNbOmqus6kYkXp+R3GczCShGSwJZjb
BZ4gzzIYhDvoJah5imPh8OvbdkdId2hkvE87sI0SUsSFFI1eSTk6z+lIJG7VBdmhdK1dDpyufARG
DZnl30zqyJm3ORgEdeSSa6WbaWazy1Rz4wyVRb9urdzX36sHP1OefNsMQtsJIFYi6Hp8D39h9+Bx
sUMzFXxqbdESmSCYxzyl98ZVaGKI3gmrK/VfVE4tOKM/yyQ8FiKjbXsuLCtkGe8XvYLDNKgiDk/g
F43mlfEdVpeIT8OH5Hq3sbvZPTmTauGIEOmMufdUhrGbGLWgAObtXTGUWbMGo+5uEb27Je5c7ibR
up9b6l+HjZsMXI3buWGzn7SoKi4uOnhyPKN/8Fsr2YVWa50gCgFWCb2MIOnvX9Ofe654TflmBjSd
BkFg2gIx6Gc5ZiZ7arF9gP5mtMlnu5ZAMPIWG7873srBGa6ED+U6A6j++PtH/tcX1oKyJgRVV6ZY
tKifH7nlq0b+isBND3/wYuaFd2RsnHwkbsMFAvRblv3Fe2kt/WB/krx4shxag9B3F0XOgjb180PK
KlVdXzJGkhgfr2d85YydjPA0ZrML+jAKgwvl3/6N4fbNqQokAG+JPxh8aqAQXXU9WKskEXb3F7/Y
z71my5sQWMyTEf2QCwPE6Z9/r6qVdt6yoa8KiHa3AaU6t1kiOS4S7uds8PvXfXlHf34RAmo1sTRg
YbD5Nv3yjodTtGRPrQ67S8nlKikaQWf0GDvH3z/Or0/Ksn2ENt9iSGraIS/7z09q6rG/852i4tFU
jNtNZkXFFspKT+SnhKb7F0/r1w8yDwcBwLMFEilCQPhLm1g1WWnFegRG5/vGk44p4sM0MQTaBxGQ
wRVEyWUIxcbAZHnmjLX5/fP93hj80yuL2Amml+JJF03V+/Hf/yRtpoOdjmDLkVugdHUviSpmY5s5
Dq65GhnmhjMHDTKGihvkgkTlrxGeS4MZTwsirPOlyXDQjJmYaFTFaxA4wC+jCpfOVts5qXMRZCkV
OBpq59oZI1hcuWb9WLdgjrhjzPZ8GHFw+FyIExrdI5boYjWZtW0eoGcaycbtaKmAls24fuf2mo0W
IWE5gwIcrG9sZtMSScChZ6cEFfCZiKeTnisOsvY1SoTXUFHhTdNBFtrUt8Uw8iaGCkbnE3cLNlSk
G+RBIsJsuoS9+MGAi3jlFc0s9LWb6bL1DhH/rHuDsGFeR+659YV/RykMf9q6Pr4XOQi/I3+H1XQ/
mO6yE0ONZ3vvAX3xQmqskULzVrKuxW8xwYVoRyg8OJUQdbONg6nmQqw1/GYK7HRrXuOUM0CEzHDq
NPTuF7KxGABlkiTPs9TznW9Mms3UdvgV3CJClgIXit6SyoYNvSB0WlzARkGEStxp6j5czIIzcd2k
Mx7GTET6ONU9273CnMVwoqHObkOgMi13Nemv4iJSJklbe26rCbgtR6r1BKww2eR02aodc5oUoknG
axmh5sx0RsaGPupyZIOmfiZF0Pt+HnFbgD2nJS887lKhGaXCmhpJ+FuDWZ5HDKbeSlOLwCU/nJp2
23//CV3q8CAd73i2qRXhhNUYU4d6QNz7/iL4PGkfHVzyoan5ZWfO+NhMyz5Rt3oMm1c1Z5C17WaM
mDQP4Q4gvP9iCyDWdmaic0yUYlxHmpr0bdRARW8iI3iL8vFKZRXagldl07XlOVwgC5WRufxxShuH
rK95Y3toMS3UIofJ5jerzu27Kc4tB9Oy77ibqKxmuA5tg43591/WX8wPtuWxVHCECll2Xc8DK/iT
CwGEaN4Iq7JXKTwssr2IitjqR9apwAGoisUyuc6Cjrfg94/76+ILApF0mOnz+DbHiV9PE/bA/TAK
BgRvqtcA+xpL6S8tNePt7x9nWVz/vMhjLWCgZVmhS2eUieXi5+fHXNXpNRCXlSMM/zkJrfIjM4Vs
D3CQXaKJJJ3Jl86mCYF5tupPmi/Ft9//Cv/yEoeh4+FfR8IJ2dS+b8Z/Wg1nfKlGVXoIN0Mw3tYT
x3hGTf6dZVu4IoQ7vZfxxGvw+0f99VTBM8YeQxsejgnPD3594mhwFNEwNl1VEHfOwuJ+w6q16N30
xb729B1af7Hu/8s+x/PEQBFS5OziaAl+8dEMfHdpRUIHnpM0vKHvZGg28Sg+wkmylPz+2f368bFN
0JmAFE3sOvTx/XpmqnCtQKGDPRiHXEWoh2pyvJy6masvv3+g/9ubh+3do1wYA4rlLyepP715SRdX
jnR8MAsY4b+4bpSS6EsK/iDsaf/xZTC+/3B0/P5x+eb/8sm1TdvBD4VtTXA2Jc708yOz6VWeimB8
MHoqbkxTqdPkmIB0cihVkBed2ntP/Xz8hrHfencN3RdkawP1phKR6i0G+/adMKi0aSo33XOOgjht
migs7nzgs0/0KJWXkGSataDqs2daWrK3MrVJsNRRECQkErGYrBh7M8gkTT1s7Ljv34o0WDw7aTie
XD589cYewulNuL1q10ZG3+GF1RmJqfXqL4OODOALFhE9zBlVcLsUekGTT2Wcfqohr2tNa0ALEnXl
GRB79/73+3XHwcBYNwhpJcIOxT9HzUys+whtzTKkomBuTgOeXB85reqNA44bVu3EyXS3kp1BB5Pz
fX4Q4upnG/8+XDIE94qrkrt+cOsQbm9OILbS6trUdXSf06WFjEt5iFmeOg/WyVYFusE+1JUld15b
4Vd0SBXabJzhfBtDhMdXArnjldsq+0aBvnjV9rIMdunssJBVeBNvFP4AqhSWQVASy5kUezy/ZxBj
mLABWLtRbql5Ivh0mDlPHBJC4AB7GqgckOkVxh6r6r/RcEgYwssBJKxx1ptqrXy+9xflZkys3dwB
Uy+bzgE3RFJ97Rlu9EKMsKLDj4qQwwg++pNq0uHZDThZbALDc5uTUQv3XMmYyrIpyYKUdFig9jJb
ViaNHe+AXB1467SO2AKnzNHOOhgBxp5VTtg/bAb3/GNPoLiJZ2ciUeaXH0OhzEkr9Uq6ZXmrwoAz
QQNMluqT73sIStDSYpG6fkDbmQyci8/I8tMI13XjB97YHPQE1nqTF8p4NdBnHh18Nv/J3nk0SW5s
WfqvtM0eZYADDjgWswmBUKllZW5gqQpaa/z6+VBFUVnzyG7O6rVNm9Fo5OOLysgIuPv1e8/5Dt0j
S/fnZ3QxySk3NLTNuJsX+itl7k5ORBIPEwArL4XwTTDt3HX+eZzTgPbgPjXVYuBGPx8NoNTX6WjD
F5MofMigMCUP8w/9y0xapUDN0Qblzs4UHet04uik/Q2OCn6bRXJh+P3LjWtc/KD16sI9FQAYdt9X
/j/Skt4VGX99VoF+V3b+KRH9S+ryJyXpv4l0VLBt/rV09PhRNx/TJ+3o8oLfYMriCxhb3Vxuqlgz
DHSav4tHNfGFnC9YqRS4wpCmSfHyu3jU/SI4FzBqIDdyDGqbP8SjlvuFosOiOgPC/B2l/E/Eo+Kz
jBMflcWdFaPIkuCsKy5en7fp2OdWgHMICzRXfME8ssAUkmoLPw6nVw/IPE+eiOXr9txBZyhWLVk+
EAPpi+jDML43yVA9jTXX3BWa+jt6payoikL8qz+o4MEf6xogkJvVT0OlvVjQ49/++fP2lw/TJ1Xy
ZfmR37b1x0eLePnXh/Pf8rHjW/+bx+4lR4U9fXxWOQte89uT53xxhZLEj5suxEqlFonuD9kyqG7d
oXalslQmI1tbp+787dFzDJ4vnRe6aJ51hxHTH4+eo39Zmhom+Q3LE/m7VvvqR8HKWuXjRuX927//
rB/+Xnf8WddKZtumRRg7T57UDVbHL9UBEJoSOC8xAxSWub0mVzQ4xL1hwfVzkj0zTHJSAuhW/bbW
6u6iCmQXnfSFnkBfPYb+RBQAQx7sqQ69w0qSfBO2A3IozVqYuQ4Ez8dekti1LiJnYFAD0tALW3+k
Eor1iO61oTNTjiFF6dSwPaq0YkbLLErzinDG8ZuBRxoXh4GkywRS4HYANncz9xHkIFYJpHJumejo
ftzdtsS7tw5tEQZkjX4/EB5DQmXkZif623ONQ1eb6FRUgBW1PBnok9dNeByw9byJYT4oPD8Z5HL4
AuVojeQe2GX3QGnFsA3sRLVromH0aGkaKSYy65Zi2YfCOwfdXWBnSN2knz+npBTRDcYAizhTM14E
2sZplXUKD3jViJexjNvnHCnQvhgIwZMtOST/sw7b6fCOmH2R1P/1OuSkD7uX/DNN//trfqxDYX9R
EORoCdIdFcpYVuiPZSj0L66kKe2y1dORJqf0j1Uo7S8WUgq+ZAMcosOr/liF0vyiuBVSnUq6f8sf
98vC+7uF+Mv+j3vApcnFybSktPMWFpPEzxcEONhpGjDM2DiOX7qbkt5bsdIBJr5Q6gA8wvUyPaZl
2N/V4/hMF92nQKFu95Dpp8Z2MkIHwz7P0wm5f1ZuYak6QCkKTWlb0Qdtvu2iqoftFsRTgyHZ0KZN
3djjw08f+b/YUEznl/sGHW9+BTY823RsIWlWfv5FCNo2nZk8oY2N9NHdz1DTu11Ea2oGMIjgbQWw
LXqPmI6fUA9VH1G51IgBpLoA02EUpCuA16bFdG+umL3QX7wnsye6AiOagdQsuvSEc9kEnzgG7Q1k
deRVBltrdBjlpJYJdibQPSqVBnty3EacvgK+9QrhJpxwZh5gtyaia776HRo3GjOM5hVK6ZDedDwI
ZMBD9mCBviXHtNFTRFAzEypYs236VgJr6rc4Qsfvtbbvr2FWk4tdR22PImgUCuYFaiq5BbfLaC6a
enAWmWYaDNvpoDtrK9EoHrm5lFeh2Q7p2i0TmoRQAsDLNIE/gP7kSz4bnVZdQ3VbxK8k//Xb2ICW
uybYhSlzm9lGs7ddOPJeR7DxGUqVSR0l2p5yhwx0BhPqpOW7ipzqWMHmOcW1ytBPxXl9gJ9eP8VO
XFurKA5MPiStqmq0WAbmflIl5n1Vd8FCLWyv+rAl5jEdBbGJmVL9BclvnYGqIkd6LLRZs7GXO4y1
SWZiR9emAIevTQzzZRYheaUjns/vfltDWs/CwfzGjAJIQk+28J1BfADJqGYoABhVTKwB0yPEmbT4
wgjbWFwWI2jTarAX9VhasAIG3nFmBtgLSyfW8YHow3yXQLEfbhzsCpCj0OqaHqbm5lKHLkl4EsN+
eqNmL8yNWUXyTDWUeWtMaUtYEbcy0Fe1JR/yQqi3CDgz0lMthF4WN3lirIuc53MNrhuZVhighOP+
ZIwV3144YeIlO+1yRhDcbrQlHX4zxz0XEU1TLgK/NOaagxp9/jaUXI6XeF+DUSQqLnqnuq6ndO8Q
SmNPH8KXoczIpKN0dZ8mEun5b2itC1LcWTXbwCiHYDPE0roVbb+jxiWxHiwatHCHiJ1uZfopTSFC
gqfCY2pYaVyzpxQ0Ujo1jGETibJpkRmkxIrGa9A8wyNw2XpAtq+6K7cyGuy5PSFt+MwV2pdxHu5M
0cRf47Rw7FXEle3ZAvs1UlhqyHmIwcM/J/PchuikjdgcXCLlvmlVZ7yBV2SKD1N+2mdlodQO7X76
LSfq4zxzkuLOFsj4aF+TsMoeAp6RRXzSMeq+ZiGiaJlZMWGNwAhJClRPraNUg4ph8u+mtuLLDjWe
vqEo27e01Ev3APyuIVdAaH2DPjy20XHqpV9vHYdQzKmjkNlpTaW+ul3XE30QjsioXJDQw8p1FwBY
g11l2zYJnf94yfAAy+Djhuk0nyl60hsm8uqavuaqaqqRTcrQnG+454wYOqzOLTi0C+yqmtMaDL8x
+G/0ukZ2o7F350BFhQ8Vo6gaXDYw0v1tbaXNq5BJ8yjJXQDhkwKAWwKqkh2SQq1adabVFps+DYIl
ANUQd8QhsZgne+i6TT4HaDUZb2p4ggdnek18UeRbf0wxXQgruC5MZLRbg5+H7LwpcnRrsp1guNJ5
mogg46HZkPXXPpJ8AkUrEcSErkK/G/O1JkMcnm3UD+ZJd7Jsi/7SPdLcGxho2X7ySK4IxZMNg4r8
5bHKkLR2aXAT4q7t18i5x2BtNCrPES7QK1+FkpzGlVW5IOhGIrwkHlQTjH5tjw0sUduIjKvAN6zA
C7OIDE/dgF7g2UkZk93a9ZbjLdKAyHPRV12gMkPOqxEXySeECIyhoptQOsJcHF7Q64V3ymTQvs7T
xH4XnWuNW0RsfX9ms6Fn73ZEbmfIGicAZQaGwA8zYbyltXDnI+Ur4m8Mcpm1KUU+AegUKtsMSh9f
EpUY59HYEjfBxkz4IDo6ZMSk8UJxwhZBSWsjzO7cVty6iB1PQ5VO9+FkpikPeZNfFygyL52QJrzw
x+ZbrQrxOvQ5HCbAShIo2tAlLZmdDWOlBlSSywozWf6tj3Vii8ONSC4U68Elul+OimKQuUWLi3Z+
UvmBcabKtnlBUp8427xzG9jYJt4T7O8lCoaoddp78p9JTR7RC/GwQ7GY9j7FPr5xzKyVp6a+fa6w
xpInVkMOQzuUROPWH2TyFmKZHjd5r3AzVUin4w2pw9YdgSD8vyHR9erYdgDdID2axpVtZuMCVdHQ
3FWEQU5rKI3gV6lo4LgHPGIbuF2iWYsAt/Sql5ZMzgSdj6uhbtu7Eac39Kl28K8mKCjof02wgwwN
iP/c/k95/Ht5/LfdkVtwMy+g0D71R6w/+iMEQ0lbMtvQCZWi+b50Tn5Ux8ZSN9PgYLxP59pwDSq+
P9sjRJIp/jeMboipJS9a5Bvh//5f2G5RdBqMxVFD8Brd/iflMS/kj/p5AsMbsvFu8mAsF1bJe/xc
VzbNlJDYXvYQASjwnpbtmq4sbgV9q/XY6+n01kZDI9+OUKaaMn2HFB8AGIRT1SPLh9o4wZtyfaOB
RiHUbvbN+HlCMnHwB1E9FdgyECsa7teAYuYBVQMrSZ/vZMkMPJNTt2lGHG+UtnIH3oWxr+kkH2lb
xqfeSsKvA/mINzH+M253wVmmZm2vV8m4deoeWgQF5WbIx/6h7BsJm0Fq137ZamclOuqAzKKm8iQT
x73QCcScKrs+Atp+rfUHQNqrJHhGOslQ1nob4vzKTcgQeighZl4XM/YbCcLuMHNk2N1gvRNfl93i
sRohJ3VRh4FKtBdOacjXYOrFTecUTGjj0P6aTzqBnTZ5tjvBvHgPBce+jtPAJgHTbo+xDtJWStUe
SxOKjSQanSBsrtowjvd+gdezKlPbqwPd3rpdUe2HQfpf3V5YF74FfgtVYpPhjuixUnhEBeormh3z
RT7H9x2KuIg5ZZBCG9LD8cwEN3RCzz97RZ+gZ8abf9bJxt+BYFvbjXwzEtlt2sEYr3JHjue9meVn
KD+NtW+ROFlY0ZUy4e216MyICPPj6yFxH3BMheuxZiTXZQ2/QtpRwQXMPwog/4vn5GhnGUzD2nrn
jmUTOCNR+Nv5nSY1ee6GZU0zoh13DDzzs1GUQOXNOHiETAIiwiaCvLIb+z6O5BMiXXmltdwHNMbv
oL/DcudHoIwGNTHFwMJlAW0DAYMzejVMGSEZcmZ0G2b+1qzN4qXL0HSX6ExlXF/bWifOB24H695t
v5WumJYpeGdcZhN0sdwu2vOR94XZs2s2cCN1AsVwjPIxtOmNCghZGcmmAIwd5DtCSzEkTgHfRzu2
DwYi6oex54PrCWV7NJv5Xuppv5z5wanPG1jMHL+ekNqwCdJiDUE+wlsjdMLaq+VOhr0N94+AuDEU
AvVfaD2X5kBvBGH8JqxL/RzR6Qh7Ipp3fVGJrTXZPukXqjrnngfor63iLN9o8fiUi5Gobu4Bl0Xu
AA7v6fJs+nZ61HkJSW7kYx4yk9Em03pr70+tsycwFSkusobL2qXHsm6ppzEfgpVL6mGiZswmdAEg
KIJROEdwEzaUO9hudRT5GHTxrq+AbpxELyqPBO36rUXzv2pLqMVVHRj3ZM7VB9+PdGMJQs2PdVoa
B0OvTS+IMWc7uOyBDaHmIOF3mwbxzUjfuEcoPLjvPD0vbqzBNiUQ9RgORIeYjepX8QRnRh+QmDSM
FXcg5PknvQg8mGDPswqJAEfK424psLhZiTj0sr4iY4HI1QMHMaeqU8Ffm2c7ISDEYQdKcKaAEScp
HKXhbRZF/VHHX74OiyTG1tH3J2lY2ckHNcW113Dv7HioTtycwMhzB+Vj0jDf2L7QDt2AIBHnrdjD
DLVewpwKszDxVqNfqtepsbi2QhIflCjFrRYJsQ1S60zMxblUdvTEPP6mKZInDR3YtkRtcOHgszkL
wyA8aElwO5MRhDvQvmR6BW/YIV8DPUhK+TpSRg59t4Fmx02uUu2mnsBpaMQz8X4KvsFiSM58JIzA
tS3n1SIx5H5sYK6sMsu5zRtGSKtaD05QvFACdkTIVBxEIEVd4kWYvsCtmdh9i7LXD5OtXwVG/BqJ
vWVpzXYCnkVS33Og7W2bgZm91IZm4nhjWb1aFiNRnIXD2RR2tEBx7cCCRdJ9A3d6vjTVVKLwNA+J
NmxpKgFi7etupZP4u0kioO9hbfheXw71oU4hrrjN8IgdM97qegZmF1mu7iPKgVUPIS+mcMJFY4D5
NUXSnwJD5IfOBo7PnFPs3bm5tVR0ORkkCxSyF9vGTLKLDlLZ1dBFwaPuk2fUEbPQgJ5AiCLVFW5I
06vtfBv1/tdcOodKDNgBJuEeB8vdI1w86lK0t84cexB6uh1UnIPTVl4bgPF3XP7Jn+C0bfXAhs9A
p8QLBu04mu43M46vpEiSbV1pPj3Z4EUnPm2rGYNBaB78B5K8qo2TUbXWtZrf6IlQNcIqXsd2ifUW
B19gU/dpid4iHPMJoMhgekvygr8h2HsKS0wZFrCCO42hoqeneIsxMH7QpEaR6hjhvrf8FJaGJp8i
O1LkxHFthmCDDKiyTj32+W3h95h2OvaqMerlseAoP8TKqbxgTioK5u58nOrp6GQuNYJxzSLzDDsc
EjhnpEY484UBr+yyg9Tl2riotoXozcM0DzCLqbgbT/WK7m/Phdqzy5CZd1qE39ze7+/Ru5b7JcuI
8bOpXxRD+swIh9gkgrYPdjOYoJnqbxAgUw8uaF2uRrdQt8ReELCgJLi3KgpOGrrIXdM6jbXSSX0E
uerLG0hu1kXgduWVsmyH3AeoahOdqBuJ/WA3ZASBdHPrn9Ohsb2q6soD6OriBKNuOmjQ8jCANDRg
QCjc633I1b0gbG2aYk67doZAv9Lxdt+7AQGWK6XK5sPCIMFFeaowPVLNEzHZzNw2kSU7Wmsd3Zx4
6jTX2gew1t1VDHx3hQ1keM9Ls0gYXVnBKaarf44xV21trUUOBJxIpKZnZfZedroOC0PHitVOpeeI
bmPF4a0sC+s9GSw+WI7sQ6qb6LrNtt8CveBOAoxvRQheSvxVattb3dT8yzGe5J7ITpA/IGj3GAaC
5wUPNkTgmZRLn3A62fCYE0vz7Er3dNNZmyVI6oR7d0KWFBiJfe3Gpw5lJ/AJNm9CSkOyzdNzWQ4k
NE/mseghRWrcWzdmapJQBLajUJnlVU2+S7rxOLt+eT31tnPdgcTwxsW7ZQfTmwa/y6ddMmOK1cfp
ampPUQuTHFI8ruSNEwdPY0KIkhyLcx0JgQpI0Wm0CfunRu45D/Kuk/WjAVAeiBP6Pe7csBQb6A41
7kvujVn74tIHwuNNlhniAv7sau3o4I8165BO85IMrW8q130LDdfZhDEPMWvEi5agdqY57o7QiS0w
rddKe27LHH+7CI3xHBei3JjzkrHjTjfTJEGE1tz9+SRHGBleGpNM0iX3iWukXuj22VY5VFxBcVJT
Wu6i/NKdILUXM2ziAFP8hDiVllqLKGDSiWsI+vfaECRmDvSKdAKIaISQwWAqvNvU3wDwMtSD/hs+
sgcJj0505xll9yo3jXir6dlN7ZNNUfcnsyI1p+Uz9lMA9rrDJhM6nI3YgVYlnUUsc/68RnO5swLj
jpy2vRHTYZ+5S1z6YfseDuMJt3ePh4VcgcEJH1qLvo/ePZt5cUvD972vg29+AndLj/fh94jWHhdm
RLUyJRNNRRldE1TVrecyQ+iPVw+GDoVvR3z5RAToxkAJYgUCqK1tAQ7vom0zUFunfPE0E6W6dfmu
uQ3gYbNNQrf7x9DEyF4aRvWAbMbrSUUjJo/DUkRruAsIX7GCENmZrWizPASOOMbjph/ZTydkINdj
QDStERzaDsa2gXL0cmHTPCJh2M84aN3yVWvNu57MQsROBiJXVjKmvmOJnBA8476uq7tSRmJrtApU
ZCTXY5zGBDjl9VFbDP5TCH1gzVPnfi25na+aTBOEY8TyOYXRhXsKsyIaxlhfZg/tFsxYsWLqgVyi
vEh4DLlbkJSH4nNhKQS0zmXl1B89bWcvwG65LiqecoFt16wcYqL0mMFjlJMwVkMMaG3jld/umGra
eda3NrF3TX+p94m6b5UNzJEmxIXDHI6iaFbbSrNrOGRdtalBga6wizePRtwQaOr2lyB9DHxMabHr
W9LbgCCBrQMod165gX2vEhrMFC7lTuAh2bblzWSOvG2XjU5tJADXJkbrKHz0Te1L39KyhSAx8BXO
uj2dqYHGH9Q32xIXhR8dywiX3SrIiXtV0W7qQXrXbXEZt1Jgje+PSb7sTAwLvASGdzuoi8hw9RPq
5gqkUGWcU5PYKzkgl8/NEQx9cT453TN0Mxuo5XzeuD4HHuKvQw8IgHSYAXRmpa44AsRKm/1TO7QA
YotqfITbzL2iGj5IesNfagc6UAj/2A85hT5g4NWAPIuSvx53RWieA6O/aSuMitwiUeQGpcU6ib6m
Pdk5c9YEwA1q/7LX0Rk0ExMccH3sbQQWbkNykdIosteoivm9UtPxXDvwmrG4Awn5AKCArdy1v2Er
vxVFcsNpuMmjiN4WqZiKGOkVlh/9nvxYun6ZxTpOp2kNWWIRmgGfnQfeJ9wp2mhojrNhSFYAl19E
sPAMw0nbJHh11olqoy3UevHGqGqXc4tHv5YSxwG2JfePeQIzVTPYwgJVEliJmeiRcf3WQc92bKTc
SHAAnMKKjTV2HoQB7TN15TEpFJZZ9ywUA7Waa46H0mA67cxsqsx9b1C7hdtZynPShQEKd/6m0UKi
pFKAR63vPPk8fZw1dnpeE0277SPx1orugcLosst0/8qZoVLL6ETD70nEwERIrd/3GekdSvk+VUls
7EJDf7QS5vOplVOXK+FvqxprSVIXD6B1u9UYhvq5aTNCouBNd5Sc5Qcq6unYmBUB1VYHklimGXd7
2b13NP95isdyJI+T7LjDlGvx16XZeS4dkoccODnAk2bmZHE5OS95NosdiKo+5zaUpEcRZ/5Xbe7N
R0K5ppUk8O8UAfYj5ocY+TjoyPA1g3k3hZkLJHMu70XHGoPeZ3Y8hmOywJkpMKfeCDmqJpIS3Ew+
Zlo6WF7nRl/DuKUpMLNLr4Ci2Rl/n6YLuzInqu08v7cr67kbm+wQxEV2rAoh1wm+7Q0qPcSrAGjX
KhDBWoQO/uHIssD4YcV1WhS0QgdTqCeFfmDXi+6Iq4s9bnjahTtPnLpO6zCp963mosWQB1VL114g
rbbXqPjydQtz8Btu2O6YzJNxjv5xvKuaIN/rQSpXQso5h/3NdKyXcfUY9YvCXJ+TA4uxv2RBCcZC
tk9ZR3oVQWxW5t8yhSArvaR9vLXLvLoZ6iJ+7hrkemKu5V6GIuYpa7SbghiGk+IqsBYNd3oi8eTW
zCyQ8olPFigxgTsF8mPTFlHqOYZD0EVZzuG1K1IKx5qAWhe3wYmo5yXos7FfGXY4J6Nr6P3DG45J
OXHAxTQ9P3RuWIi9CTmgIz0j2xC6BJS/VJNPOoMqR75jMXqDa9Ze1Q0KrywxdeusJ4GMzD4MveHo
ANiXiXGpwkVO7yiNtEq/6U8pMPUnaI76eR2g5Zx6mW6cKqkgIrgkMJM7exA589gsSnxPWSK+Jx3+
paJ3dz0604vU6P4VlqMB/wjrgyRgdJO6tKaHkO0qAd25fIVEJ7jwwvViY+PLZUp8nlGhbCKdFp0/
HwomNn07Y6Xhem/PXpL1vNnwziKmeqUSPJpjhzy2c9SRIt/daI6c95FWqb0sMT8TbUuEFGbCp7wi
9yMnYVQHAAdfx6SqpJemXeVNSEK9NWbhUYOUt681y30rYJXt3a7WXstuiry2EN3OrsMy3LauJe6T
OLNvjQZVTay5bFcOaQ15Hpg3MzZg1Iuw6aFtBFcamRpLlpy2AYNd7yug06hkh+raEqXzyPaSPrq9
jO6C0HcudH0Md4VozBu/C9gEUtAfN7FwrcMcGekDxvsLxkkab2HMB5RBgz/coialpGOGqYFWTeGi
rWUUZ2SBl+Yj6kfjfFRVRp5VYHH9KvxYPwAXNHA+W4OztYIpOUuKrnbWsUXerONMxVWgj8VCTM7o
Cci0exowYiSMLmXwdeDcwtvOnnAbMkxPSM/TdIMekxmIrcms95Sasf1D6P6P9JL/3ZRpYtGw/LUi
5o7SKHp/ef+Pl/z9P+6K15eg+Ln7//3Vv2nUbB20JqJ7ZeCZQxG/KOF/06jZxheXDhs6NZwWpkkT
/o/+v2F8MRe9B8IZNB+uMJCv/db/N/QvDAz0JdgS6xZwyn/E1vwsKkE4j9zNdpY/CJUm6/SX5j8i
umBEe0bsEjOzXd9zbxpGwtx++nT+hXhFfZ4xQAQx6X8pVHeIQBepKGKfn0U4sKoMbnqk3WtAL+4i
4m3GbcruhzxiqMOnJCSpHt25VhF2NMWAEuY+okNntON4Ock8AhLtywUdV+p9s6WGWSxzUbdoS+yW
CRwj4fGsNK3ukh4fk9lZqfGVHR/9tsY+sQvGrH2YG9SZniAGSW76SkzluqER94Sjsr6qJyLvT409
c2D4cjKvU1KtqI+gA7WwQ7BI0E3SsowOYxDLA/ci1R1iWJxXsdmkSGv6crzoVeXSs0dgT8ylPZHv
TTRPfgZnOEHEQsQNK3j2KVdci1+P3qWLisEBZI4vICguEy2MHmiRcg8Qjd09EK5jDevayiPcMVo+
nXUwaGiagPw9gDqcj9MQ4XOwM0GwbDlLao+sSmHtA9lTDIbB4IxrmRSTBXSaGTHqw/wuA/uobQpp
2Reh2ZEEWQ0yvC4JDE1WyZz6cCrzKlj5I5lvcGVS7CJRtezZbCLiQusT8QpOxySBHfbO+98/Jr88
jDZrQQqJG4a51mIgYQ3+/JQk2dgSiQDy2Jwbd9+MTOhdE8rb3/8UQ+eP+Uma+ePH2ArZ4aIuw475
+cdMua9a5I4LWTkfCKx1bmBUASQFdXlSZknaKb3PkxEX3ZplG5+Nfhz9J++BRf9/vQXTpUZBnuqa
/P3zWwji0qcKKzVKxLA5T8fa3C/+rtVshfQdI1v8Jwtw+eR+/ZXZZPh8WYpsKr/8PG7fY2LpMa4N
8Jtri9xEsuNIw8KHYPyQx/+l8lX8i2/RYSqpm0LymCEJ//y7VWXoR0Rp+MBE8ojSAX7HV7RZSPUn
ri7tyjRzidWp4PwB+N+Q8KHrHwM408Qz09g8G+ckVOsxL/rLqud9A/N0Wxd/WB+tuW5JGjQkEUYb
ZgP0eicbN8g4zMWpFE1yHeauc040TX3x/aH5R4fYf1GE/d8XIG397aF3Fn28he1H3rQf0WdJ9vK6
H8ed+wUFqPHduI6GGsc8a+vHaed+4aBjoE2X/8cUnMfm92G380U4CEjxpTEURff7pxR0YUwzCmXm
wYaAftRy/smwe5Gb/rQM0IJynOIU5DTm5/yYqv+8wXTsuHT6KntVCnTFHVHDp7m1LhnvoILz284L
ZApiVDJ3aAFVbJFsARXKyTjX9c6+c/BMb6h6u/MZ+vAumfu1aINXzYq+qoyxjkBmxb4oL3FtDoQ8
lfQwkrN+JrojSurHxB7cVZ0qcUhKJKSK616LWiYetqXJQQ3s0K+Ys2fFt1CmBGsXPTFc+P/XETTm
ey0r6CQQnHso4zRDhyhtqHYq9xBkWpdooLk/9VmzifXwStMKBq76gN7DIIuDTQwrMiBUzzXycOdX
RHhaVWf92GT+0RrBFcNfv3oPPrkU/mvLaPdRXLxkH82vf9S/o42Bp/JvisWzbvzIXinCg59rRGN5
0Y9FY3+hRWLxYC46aBbCcu79WDQSqQfKDFwyaPao0nT+y2+LRupfMLC5qK75poWLCeKPChEDjWUh
OWEZYnFgOap/smh+8C3+PDxYNawU1CGsbNra1LHLefqTxXIqJTGfxAusBLRKCLPjtG2zIEedmNZv
VVm6C6kww7CbGdfIQJaIeA1esR4j7ze49fXJjO7NRw4c1YoQb8NVD1yUXyVwA9yHAw1rtBUrMhFe
iKF9KR3/oaitJzJV4A7T3VIy+mYK+06fuMfbYUo4TLiMvWp42m1+1obSPTpTcONo6t0iD4i7flkd
xhkLeRmGYJEVEkMhUu2UL3VcFfqv1egOT61RT+sRM+ztOETTGg89wduB7pwTBEsX2Z5yWuq0UvpM
dNu8LeC2lQ00zbyZPRUY+iYsMuuSXoC79+1hPHPrJRQ8xL/etPnOMad7lfvPAQ3VI0nu16FvYshA
jggiV/bVLpZTciReFxlK5Nhr4gqfkdJfizAed0gX35xwTI8uLLNVRr9iNPyTCke894EJD63IXmVE
2FjUovtlqFfBc6R3N1DBevpskhNdLAxRRDEou4NuzZCD6tlWL0PLQdxDLoa4E7bHEW7SqWnVc9nU
zLOcWrwWOjbhjQ98a2+xTZ7CeG5ANRZAhAbnPkfVQNcnm87TqV1coHq8jpmxrg0N7C8BlYdMaWeg
78CDIe++GIoJ+YiK0aBP07BxRX7DpB5+2+w2iPFpN4kIiJ5sYt7ogickc520RgwjlOUPJOZSj6PB
5m+Lisit7s2YFDkuvhOCGYB9XXGn95SqSo7zBvrpAxq91kuM6VwOSzww3YULsZiCEVgQXhqx8ULB
otUJ8jLy6bxZfoa1xugf24FGqSWq28aomMI2/XlrMcMroK9tdWBNq6icvDI3PeJZkDuo9MUvSc8g
/EVW7QLGZhJf4cafIT1uoJm+6lNg09OB4pKWhVda+lNnk3cH7nplZHCF2QlOKaPvVRBwEOSu8Vr3
9BTTfL7Ugvx+ZuiYLCJ4MWrtqpGPKdNhr/Xt0ZukqkgpRvZXlGO9rgV9yszs6ruh1PfKDJ1V7Vvv
AWksaK2HR7uxLMA4zM3ChizMlNbV1q27p9oM7spw9G8laIN9FMTmFrr9jpLV3kyWIP5H7TnkUUX7
JWl3lSNG3nlkeFGB7cFNLcYU5dhAXGS4xHDrCb0lqS1KGcgeHX8fwz5f1y0qip5I9r41DyAO1d6d
zF0p8xgFk8gIb6xfWxtgoJHDiS6WLyEIzcGztWryol49613wBlr0Hm0S2WpMADcq1fN1w3sic2t2
d0ZXwAYEYbxK+/SidEfY9hYfdNE4pwSg8AGvw3w2kop+bHKBDta14U0B8FyZI9GoIPTRaqJoCpmy
0UwT+sawk0dGG6kXWcmSxjjcmjJ+iqJh287lvFHMrneaSbiBH5YJ9ypU4eyNYmc1SJ0Lqea1m1Uh
Tg3DVp7S2gtZM3NRdCTbWaFKY567l1EXeSi9yL3Do8anllg3k9PIOzjhakPKy3dELyKYmd1/YxjT
Cc3OgekIGXeaTTRmGs4rkTT4T2jXofI7iRy9EBZhY52/WMM83qADO/gmoEItdciFy+BEu7PurAaE
a24wvdb+kOzAsYAdlb7/HgYRxOVyoS47964bo86t6MILKF/gNef7Lndeez8744rJEi0Ce1XElen5
fvWYDqQ84V3YE5kVbLNKf50Z8YIksSsu2bHvARjfpDWhS4XWTWR4aODxEfuxfHg/XPODvR85H0nd
oWZLuS0rsz8fxfgOuHlcxWiSTYTXBzOIHJqKg/p/aFH9f1m5SErtv25znRfpO9rWT2XL8oofZYtJ
BYIXiZAXS5eAk/7QteIH48EmMMbUcT8ud+w/qhZL0Q3jfHcNU8IXWUqT3/taFpkxIIl0tBQL3ov7
+T+pWrAdf75jO7o0pGPilaJTBlaELuvnsqVyKquLQovMBLc+02A9L+GpU3sdg2DtV0NvVBqCAVq8
oNxWeuwYWzQI/dphjnzJZTmL98jQ9caru0gVzLvCVqBqcszHFvIR+Ib+3axR5LRtXHl6A68Xojd7
VzPKB91gVy5qEugAKH+FZ+LuKIxiWLa5tXFy61zaGlTXJGiIdgFjXGfat/9D3XksR46lWfqJUAYt
ttCu6O4UTrGBkYwgtNZ4+vk8s8c6s8q6a3oxizarqozKoHA6Adx7z3/Od+RmXk6Svj7hV/yFxWxS
fCT0BnOoNWDCkgCCSayC7abuEx7V8BTk8WWry/hB1aLeNWJlFi+gJrAgSDHyEgeBSObp087C8F1P
qZg838cqCSkZRQvTdkXa7yCvTrX0AYCPulxByRgqJ/GslK7VRqvhS5MlhjxeYZJXqwAOK9ZwQqQb
IAMo1Stk4PY2rKXQBbK8Ro8MVijQmxYtGp1EMFQQTUu6k3CEURSe6b2n5S2e+354kQFUvprxqB4X
vce8NlsSfxmvhLKUyir4aSEQj8iENoUlEF3hWuRUNtpdLeJbgbh7htkJFshYIlrD8iU69wn1eCZu
RWxs93Wi0dUQw0d0Jg+STPsutrQXreT8SXatLQWPnPbybAmSdu3VgjEzbHDpW2RVcvWVXw6CW9vv
I4QTdle0pXqFaDGaHcd5/NRKA9hjL2h7GmRVgUk7OmZhqZnXms2Ewb/Ld1RtMNLuuuoDew+LI6yg
2ta6+z4PBMQBLq3GxqoTzgBq9XE3W9F0wKasdS4ngpfo/uJHXXeGuOcsikO79TrQf4+rhVxSQ9Js
qsmiilzLPmSytk4BdgrHn3zKp2VlsNa06bGn/SJcqBxzMk6ezrqp6P3CkroqsBu4RbFOBwK9EdDu
NbvtoThEYC/8AZCcTSEJid5yPCy1+RqDKHYLImh3RNdga9XsC8QcfK1T3bhdTzqODbZmqu5RiOvO
0CcCS4giDsAVw2zTcO50r47Rn7riwTZ7aM+toOPvkK/6EhtHLi9X6e6hpdzIvJxZCVkQGkTIFkeu
Vm3vGHhkN625GpJtXYNGVTS3VSeKA0nuaZKs+1O0le6GnQuQukijW5wdgZvsrfw6U2i2I7wFqmRg
dKvcZ8+0RA97s1VjT1dGYQ9+OrfTnKL3ZO0CXNXUfIw0+kKrGEJtKW4SXQ3qQJ8iXNcC56PKrB6U
MKZ2YcUn0zexu+h3a0wRT6Qwjfuga8VyVp/7FZPhEh0jkC2wxIbZR9h3YmamWk12TSjoJazSl5lO
g91M2zLRqBdjzfXj1BJGq8yaG6KTgRQYyF5gY362bKMBmMairTF0v5i6F8z5xH9a40q77FtsTcWp
bgeukHJriE6bZWOPy3JNmE5eKvqEdnGZs4FaRT/Vdf1rmO65MKXkFCJAHbQbYQhbwRRv4F64A6tK
e+lMuswJnBio1CCCgQ+DtIGRfbcoSNjfxmmRwzIW69nVc0ow2HVSZ9fXhH2i9GHbuNXxtVC5TksE
kGWPcEzxAuGFonR57BtM+1jTz5WpuIOUHwlbREd9nUmy9aXmUUII1B++OyGn6wbN/ko40nQw3/0e
56beFwzBQ0FK9aAQdUG0V5myuiY2QHmlhJgUYLuHFg990RSJQ9e1iauzHmtYI3gJ7YoL/qY1NAq7
mVDkT3B3oTcL1VIoPHgUyk5LJtRKq0oe6bLsyoUiN/Y2yO+quJq7mosb7bFVr2XfM9QtYcjuh6Jr
bo1QRDwoEx619O1MFoWR5NNtU+ZQJgsmFZ6LUUiiN4MvDWaaGOyGe8PHnyvtsPAwzt0W4lPJet/i
FzVBiaHXP0nYRv7WFKoH1FQLqSxIQBijkm9GHeFkw+GZeL0mjaJToBaxubLKQJwaIk/TErHwESKd
ckN+aFrKBRmtA+Xn/PEYT4J6xGwReaQ+ODRPc3zEc9y5caeOsINVQXlMiUHXWItTaGcDVU8f+roZ
53YZLV/USrovKVQiCcDVxm146vPubV53E6WmOBa6EIKZl9R6esL6c6nHtvY6kY+lS3o75KDFzubM
MFnooq5zlHqhAzHfImIAaumaI2q4HGc65HKu1UFtnK4dhNcqioV9Ivb1pYglzZeyNbpsPc+zVKk8
natJHjmVKXp9pJKKa7WsmA0R6evUsjmPDT71CXPwNLtiUbDcCYKraXLsrcmkeCvWRzzS9FhVI4MT
MbvDk6Rhr/dE8yJaD+ifeEqX+Cs1V8XBGC6EUH+6QFt6drMwpHH4rZlVeE1C7hl0Mxif5kE3jYsi
Ws1eKdRhNy70mVJf+9PnEl4dqT42wlR/rxsN7obU0rmVPRiwcYO2zvF2cuU9tgI/NBzQ7QnEPVoF
7rRjXFHtbvQypmY9K48UT4kXTtXZngPxuCsK3niZKupzVpXNRShEXntfSl+SiQpaV9HkizVNklam
nlLDeraqtX6XYcqFnBm5Hkf51gnU06h1w/oFoApokKpxSyQRCOKehlmc3dcW7esJr1p8W0njAfLD
9TvPg7PUc/SQNjleK/Qeuy0p4hh0/XFamvuXpHMEMmca0D2neExJSqZaGoU0SZZhChC6fTvMotOq
fX+qtOSolJQL3fstHA6pn1R+N8/GovXXPJ+bgy7VCjd/te3IDLBnkjJ4sNqIg5Kn4b4zqi7kt4SU
Cn6TZzaB8mOkNgQ5xWVf4485ktISWMR0a0fN77Sr16347mdZxUa2ipSQzi9NbdyyuKJwSZn3k9Td
o6lWdTGmaPHIBGJmA2P5Ms/WfMYebp4Rql4kk6OLoeARVRFRBNb1R2GNME7FUx3WolUfOp4rTxCy
l8PWcCxP65gYg4xzsbcJWafvraIKCCjcHlqQrmlzwK5QPQ2DIHjoRxomIVyAh0a6FwQOXT7jWqkQ
j2ljKj5zTUxSt+6sz62z6jdpFtOTKW8mRXwoJZ6gFNvnPCl0koIuGD9wnWmPOuMXZkNLfStLTb2s
o2WiuWk9IXjjBcVHCxWW8wP8FCSVJRGv5JxRL5o+YX+JifF91pPpJ19izqX0DLqNubGeNjQnPWxj
2YYbqeefBnLWI71GnM9bpOlIsFaP9pTyV2mM7Z4sRfJD2v93Vo6RU8069km4kD5mB/C78aw/DopG
WxaPfkZ4zCNctCe41a0SxU5RC3K4qhMZyQ13w2kgSiy4eqEZz1lx/4VnM09BkUpgSkgqBsG9ZfnA
wBXNG7Su5YEqZNku0kwcrIOm7I0+eVjSsQtVA2EqW1m68V9ufjPlysPWtfJ3rjcarwhhnIrz/oeb
pBpslRizn7bkwdhZWupe75bXBXGAHFv+e9B4ONeFot8GoGQHrr/mAmP5KzOmeLfE7BcyoyZMJ+u1
2woIb+wWx5cGSc8ntfBuIGh6WAZGTPMTYon5Ek+rX6viDobKXtMn1LDaiIJE7ilGmu8B5/xYMs7m
HRT752qMn1oaYvU6ObHgcfiQVfz6DNSi4jgZ0zUmOTJrv5atZ/KNqLLpXiRF3/fJdbBU/aUyxREn
zPZZm8JDWvSAkSqZ/rxMEH2VfSXsBmpxW1nysCuyx5YNrweDBmctYBtCSS3S2r1BKjCNMfZMFhNH
p4e16fu3e49IRJz+hdNHTC0USEgBb7NtFEKLM0DeC6tUucW8SWfqUyJvGUWAEcaavdZEvnAQWPgC
tsoKU6opXXgCWKOV5Usx6Kii5ITyZvaxaGkFL2WTvhdLILlI/Q6efYIdoz4EQAYdZZm9VtRWX2TT
gZ+SIBFh433eRz9S1uxbmAW7iLOEI6xEAsFYRLt1luhdtOLOLfOp2A95n4PVjqz9CGTAp9ONmXuC
d2nbKDdaZKyGhTGnpLSEvbBwlStMi0K6cqtjXEPTUDWcy7nYfUnJqtoShlItV+gD1KqJHgYCPO1I
h0drcHBZSjPu2T5gYV6H+ZPAd3YqBUE580B+rYa2e6oyLQrkQWbDtWIoNFY1hIKwuHwQ63pBGd7E
LvnY8J5jTB9KYP2QO+70IPpELmNvWnemznORyBLXtRV2eN5rUMwqttgygiUSddni43q4DTxVLEXQ
jyjruF5VKjsB0fJ1qCf1GCMou05Z4DRsAo/ResyAipMqaKzqC+fHwLsspLAXKvMoyWp0Ns31nYKG
MsRXtUf1IQaneKz8kCRO2tr1jMyVwefQZODVUuogUnVnIznnaYK0+Z0qtiGQS0zKstWF2F1fEAUp
s2iFObT6wTdp6n4phLz4sOJTajINwJg8m3wngl4VhRTYonvZibJkwJoaPbLUT/6qtkfsX+HSN7Qe
yVFoxfxKpKm2J0PwWuKwmlS9aG3GSoecxlalDWtUUU+cR3/paFqEzs7NWwaFkq9+lyu3Avo0Bc1z
vkNuGw/COBACHP6ACjIsGdhogIx3clKVi5H5cm4kHhmjyo+pN0cALZ6rWMC9z24/KqOwo4EQTXtg
CAErz5MQPVOKglxhNgtXlLucxki58AVhTIItG6FFqbx4nvw7GbqLQgpvn60EiCYggOFGcBGc1L1j
RaouZBC6MN9GI0zKoQ7XrI9CXbMGnt9C58lrzbbTYMu8ebg011225CAKqSxlfpn9WhLl0qt+2evZ
JdZw/c/Y2sK8H966RsLxUSofLT+bW0i5DpRDaY5WeR6n3zNHVpQJbebdlnZWRu6CGBh77Ldcx96i
lx951tDIIRNELmbEnInoQ6X/qofyQzDkiU/hQCyX4wvkZ5k5CA3aPR2C2mkerYfU1F+VxfyKYiul
QbUv3EKjJ4x5MLD35TSv0eJYRDdsql1sge0JB+9u2ykNd6XQZDBsuCFc7MDLga6KgSaXlryEbDbk
oUtOEiMDhC0GPqdq9Yr/soPhMQIY4XhbHhJRXO8VQ1fIJFgbh+lB2oZ3Q8aia7Xz0xJVWCtNYeJw
SSjYSknLiXh88jrtHW0yr/x2ep93ARsy8smY5LGHXWe36ZqXMzkMDWkYkBE6JNg2UdlUJFKY1DVu
QmOF6iLq0xt3xMOdDFQTUcB7Q64WdgMby0YhN2EaqDZD60VTNTkZbeDFcDOtPHenqZ8vMvIVTzzw
X+rd6RpptOoleNRFeujgTJeC3UJPP0jlgqczoStS7jvOKw2FtyS8BY1oD5FusSdN0ZremuWduwgt
ZJz+XDbzmd4ZDn+snmZ7R0OUsxNFxrxnRB67xrz8odgdpvtwjIIJL415/FJFjbVMPiXINjhLktEV
plmwt7VdnSGRTC8B7ESsKbXIRC7rI27gc9GxFK9WmPRm89XIWWfL7VrRIy9noSBkP7QNDk7Wihm4
H7yqlrYhTjBedxrOWczirJ8q35CAiup7SmaOGBnvVTqowl4SRH1PDI94Si98S3gTmErUm20Alrer
hqRLWpMQryWCRqm2KeBApN7DTcbOPx2Wc7SJlmvNmNA4bOQntu/3k6jyxPe8mubor3k0nLCzC0ge
8eRBcuW9WKhwUMCbGE10mgvW7Vr7xlQQaJnwWHISD9shfWQwhuQoFo8dFKKDXMBiKeOrWVcY7koy
JkOHDyK+ERL4RZ9w7ksF9M+O6ZwD+2O21aarPMjuM8c3/R5dWOF1v+rpqvr4p58WvendTS8vrbl+
FTjjNUC5sOB10UkSucLkTq2hJLGUaj3mIMWtlu2hLpdjLBlhL1b7Vp0/zZKVYFvnKVjjZfKochKd
KRlLN1e3yi8rngkyh17GGdK7IglVoMrCpU9MMHGywJWeocjMEPbvyT6NAQJPKWerWuSkcf2ZWqQN
2Kq0tJXz51pE9yybbCtgQwE5Rqk7tmyL5CXagrJeMYCYCrNCpmL+OMWfVD35c7IwF1Fpgu0YZWVM
PycVBMBCw7cz3n3ppRhf+zRnVTSFd8J1H7g8L8jOqtsZRepO8eiXkuCuEMjIVJSQeYcrgOAbosNs
43vu7KVKy3u9JzcrgC5bJvUEYiiPgnytzsNEfsh4Xev6p2MwyvlfKewoKS+WXqVOLBvFBSabQM9I
0RKMRkvZ5NhFAyZPu/ZB3YB813simvoqcYDgTJlQrBELHejX4TQWZNOlvP29yMMt7np/yeTPtcx7
oqUmZyFVRgRMjZAYCcIdMpfDIk0RR1FuzrSa5yJdPjC0fI0rp81lNB5zC27JZDQGF+jWuARhBptu
SURTA3WS8e5Euebgr9BQcMVoOxKzi7NJ3aNJlbmdiG3s1fdIWpENTwVCimNVcu2tqw54FkwOCibW
8EVC9oU8cW9bEmpbL9oXYRY/chVKcbSkyjP12zfOZJbbjLpBKjl7aGvhCU7xB0z4b6Na3FiyWkdX
sIJLa0pVG3KL0xhyhzvf+AVKcqaHsSENmFAvNpdn6mcKd4lJ8yJIp04qVVeBT0S0lSOXbvaAbOW+
0iYEUB2zKVV/Aoa7bLVnlWInQhaSp0CRYiOei1gehZgrng61Xoi4blrhlxrVBtNxDQCPuYyERYnU
6zV991OFWJLI8IZklRVe4djNyUdu2h9snMwY73UMPVZQp4zYv8eiEI4IpRwWedwxS1TjQbI32JVO
Y1kKocxoIHV1zxPSJ4x+K/wY2bQT2vw36QOWCYm2u3zXGeNnbALzlzfllhoyzQ5Kcl6zihLQBCAx
3vGeW26T2oV6upnOVZb5c07eMtSA/rAoZ+AqJu5hihxWny5Vy7MQqCAz1NSH4u1wjCV/RJIgo83z
Rm12GWDyWzJ2B45YX5yd5yAVj9MyBcR8LzjiX6ibJ548xXd1ONovbJz74jf9Gt9Sk+0TbXobiatL
7WcqW69gyT6IOeu3cuhq1zA2Yy+JrDG1eudXJ5Rw8/AhZDfS8AdqiY4HVXF7owolcwuWQb9psvo1
DNItz/okZHzk8m6ZpP9Y5uvfJvunJikYXxS5K3frxwAD0C4z+Y2DIpGaRdZcoYVLhoaVu0NcdQ7X
vjvryr7Xm2/a6O/eiHzZmwytghwo4k5toe9zhNBCXZphjkwNTE52eW3ZXddRQH4vns1ZuZqN8KYp
xJVArNeeLA7MIRq2OQRkfiUircjRJPB7GD/Mup4cc7qPWGmIdYwkyj06Q6HsCasONcFk7Eof1AH1
/LAU1kFVrCNwesnBZQwhlwibXCcWVWysgaVB1tUuhfa3sc0LzcxdQjheO6uGTF9mlF+XcWD0olJ/
PMbPdaRe6CG8LFl8YYO3eFMvkj2Yt7AqtfNQM6yvNDwaQMZUFhl9tdN5KEOTrQTFZFTMWil7MG2W
rtNI4KUkqqTMSeaOae9CfAcDgbOHlYUhdNIbhDp1qE6i2VuPCWoEMvZcn2uxZdLJMPR/5Hf7fzOz
/W+LP0gac9n/bi5cfX7/LfHwxyf8ORY2/sF1YViWgfcXOpGkYEz7083G39xLnCCC4r2+T3//k8mr
Kv8wcEHzWRJON9BGAEn/L++Iv5LvPTmiofKMRfz5n8yFIYz+3QPKgJkQAshRWaGDS5Xlf3KzGQkH
+2haJ7anV2RdWqAPV82lddJPnMydQgKg7ijy2HyCkLGfvcotgzQwzhsZBJ6982ofbvEkU1jnBEow
eBOupzd8WfsR5Jqb+fPbGjIZ9IgexCEpa3F02a32D7feo005BB/jmf7WHeFxkaX2yO3L5U2EEkSC
Hp+FXbNRscvTpD02qT3xwvCo+ZNrSt7iR7Mdf2ju6FxHXsV1dFDs3SJIdrqXBKmb28AJrsrskJQd
D3DvR/s22slRfJCvxU7kx+Fc58v75qgHctC42vtBcAu+iOCSeAy7PeW1X6kfeWN4mx3hCZCeff8O
HCiNM6lS5Ug8IPVSwxYfp3f5NDqjfY2c3pPO4Mk0+7a/3m6WfTrc/8/qdMdi13sfqkN+0+6O3RHJ
bZ8DkbAPpV3ab/7zc2x/AQw6QibyykdoUHZ+a+kEJBuHkH4QA1Rjfh0pfhrLHm+JX6EP8LUN+yO1
n3mv7Gw3uAP/bnGNb8pRbd3hQfjVvStu/khRgk36wo4fVitz0hcYIFTnOmmQYWMc45lJPM+Ra/u9
BeIOsv3hPoBD8FV8WC50j8RH7ZpeYqcJ+nC0pfOwMQYjf1t68pkRzUhFMKQj8zwbl+5t8wvXdNNj
vOM6uC0eSU2X/sw9DD6lYQvtMqJnIzBfWrcoLoAdhN7Jr80XCQ8mgePv5izljvpb89vrGIxB4Q7f
7K663D4QbqbdXtt9LBXav0MB8crvmk3K9ns6aRArAwX4TsAJ8bXijAA15wVgBig94wTTS/a6D0TF
ws2THe6bZHepkt17t+ySn5GNMRXKWNd8stEHcUfu/ti9rx8z4ymEfoa27LBpYlGhAcQsWq40B63o
Gsde9KbpdYOqRM/fNbNprg/M1+aUHOWT8tQd52B80Y2L8GV91SCtRZPSZstmk8MfxH3+kLjCmWCo
kwmnefZEp8uZN9mi5pf8r0lyhYgye0WbmPh8NHZszTbNkRJPRaljniGdlH43QtDU7fGHoSU7NAxo
s+Y3z+NngtJ3HM7ob129m9c9gMc6CRU32ieXbJcdsWyMP9GVL+l+kR21L5fjntffOuJT6wo8AurF
JvWfvLGJbJ4ZQytMeDhC/+gf+olDe4D2Z+JtdASPZmlf4AK7O1uR4797Ptt0pcBFoYFO60QgXiCJ
2cNk69TFExx+46prNTt9lS45h/h3lwFy9CR+Z76NA9CGTBGqQLgcrGN4sr75wSy78hN/9C9rCMbQ
ifMDiFPeHbx3aL8Pyjl6Efzcvd/BovKyviY5qE67/+J1sXmtnOZN47lhONMbA8BLfFh+6QT4fwtf
I+AVDuUsuorfLqEWVPHrPYm0PnMmk8L1VPmq46/ePURtD7vNPYMsOnwJNtMYRt+H7Ff+oO/Bjemf
OE7s/HcE7RKZyzHfiy9O/10ov1/ik/UJDhTERHaRH5VLauHfxI/3vq27wZGuykl+N48NGNu4tkGu
fos7aTuZZ29zjMB8i2x4BEeG73bzJV92ymMASfQh+VEezMvkMKd7UvYP7Q6njg8IWMQCnO+YKqo3
teMH6h6a3kZjcnkse5+fSYheY+1E+ykJ68s+8xTn1WvsxH5YXU/Dd+t9M2h0Y6f/JR/5ky266lv1
+a7wMEeDRybwB290Zz/5RFK32crZkrN4BNlCmmW9+fgg+5LzwH741ieuet72/Ah2Ojnlrj4Sj/fM
MzW+fAjWf7uxJwfMAoY8PgYrkG4XD9p+dnlB/Of1KDlkxmtsOiSgSHw6+Ul/z3dqtB9+gBzxx+Ln
3Qj+eBUPw41THOpMgLX1ZhAfwmlgM7Lvj+0RjjF2X7rz7Oknk/e9C2INoZPQv4+Hb+Qfg1fu+OPR
CiZcdhpL1bCHg4U0UrrYYqRgXP3R5XPQcoNC84XCJXazcHmKJ/U75ojXaL7ixRcteBdOEj8DoCio
GZhqA65K1wiA/bifyudLZmf7Jyf8EUiIu/JBP5j+C9g6zpIO7gjtk1z5jorgvXGSHnJGOxfmAu7o
t27rKsH9v5TmXI3GET5YY3n5RsCJL36uPnNieVbQH3lR5hsDi4f5yGxfh2RgJyer/VjJHf7i7G0M
LuV0qXqOvKvlMj0CuBng0JjiUAU3xXpY8JIFCBvsYU2/EUJlCmGNDKID9UO3hP8/tsP/TVEIHRfg
f7Nx/CyGv9sJ7x//575RUv+hMblSSAiBGaCTEL/en/tG/oaYnEoEhvyQjOGYHeV/pCAU/R/s5xia
GzK7OXx0/7lvVLR/mKIuazSSaMSLVOV/5Cf8Ywf61+wQG0VaTBRdNZgAaSLtJH+3E4pzXApxjhNb
U3jcY/yQZxX1lgGlPl4r8Jnp+jkoykUqPrHamOPLWAcDhyF9Ta6gHQMFaW7JjghqXt8/gTnAnxx2
4o29aqiQdYWQ6cVt7XQZtuItNKXrJgM60d625qRjLrl/67l5lpcAm4wzHYTmG5qbJXjSGsYv+nIV
i8DocLm6JYpDslTIKCiGdDzKOLvqyK1RydsiYE3V73PSpNvX/CujEF0Q71R5MidhMIrMkna/izJz
mUzbYn9pYiZZ6m+1vkB0IwvaPU2Y5PLmZ5t5Slhv610RKdsvoFjnQQSMhRSl5hia47DTlBO8Fz8V
0IHKNzP/MjTEzjp2DJZuYIy2nuquFEHNtbwOJ4WYf8tNc6y1J7yLQTJ9MtahGCn2lmj2tZURujLX
YRndrKnypSb2yzo5wMEHKwJxfJF25J54ExkKSZNfx/dpEbtiowlJIbjS8rPM9FagQWOWSkFv76Zk
wYfwPsYHys/hAcLxyxkIdg+wkx0FJ3OENDJH3zxnKEe2NTksxN/S9m1uz4L1Ken4dBhJSSV2x/VL
w4jDzOdiRUzCzcTLjVDrYq/L80Ds2cQbb+BSAHu3DjNBRqMUFmsDh/MeHGAQ1YmHBkFHpWtVhQNU
LUAkPC/3pZa6Kblf/FyRnDFRoNy0iPOj1zWTZ0D/UTis9DjEkcTEYvYSzEWzAOOXiEDSflYFNfdY
jzDuOOJhnpJ9mvQBkQ6H+kR3WtNDI8pEL56U+6TnF+d9cAcxlr2ZgsrdYqp2132IuAblunDgjSPC
dY7Aw3WOlWAhdKZrhVcZMboZZk2+lBL3UNkCoRbdxUKYnY2jXmJujLFUgWRrKlpGzHMzaI5ieHGK
V0Mu9rF+m6Z3iJIg6U8FFQxjwmvgTrh/x1j7kEYiLHc+ZPWe3xc7WCqissvSb0jtXtOtLkFRt+Vu
M5lcxO3mTqxLG57cNQLLBqWsx6hOV2lYJfeZ2R3GE6MwLi5Ku1sp32WeIkWASFyqFSRMjIa2siuS
2LctLpoGg62LjjdJQH+Snpp8OZfRn+m5/zI3e085/usDBiM1xF8DF6BxDy/+JWaFgiNbyUB8SS5+
Ug4nffmSsxOfI7Ta2d3kS6wQksIMsnXmUW2z3WqUnjQlRL8XX4jmoCa9jfruT4rkT7jzY0SXKPEJ
W/NphtNIX9XyuBVIf+7wG6keFx3jB0D8Ft6xlelg7c8Zm8vcsuXpUCePW+vXhuDgKqMUnNkvNklD
+WCyKysQjsSbddebuJt1OP6TyT2OgLQddfUX1ejk3YWD3h9afClFv8uST8XCyEprPJGD+RlmDjxf
DAakGMFY9snjvRxc+4+urv/yTf2ju/Ev2bU/n9p/eVPvJvG/vKmjgW4NxRazVPEiDvlFrTP3ntnY
ltwuq4+1ISwhvqEHb2YgrR3Or/Lf/F7RJ/7196qST/tD8wAA/U+CAw14gjnf7bW5RBeBjsyaOJD1
4v5CEV2mfzH6KUlpJYandR6nH01+VPVdJby1xm6J6J4986gQ5ZuYHrnrhZU6jkNsBgX+Xz1Fng0b
ER18PP9lYb78+Rb9tcDon9zz9zcOVjWxEeP+ylFk/v7GSVwxoLIKBkUI+ejco8j8yjiu+fZv3p/7
F/qn3xDfSME4LwPbog70798IUEoxinM52txlMmfowi5j2uyC1Azj9t99L+Nffiy6mCwka0sWdVXD
RvD373bHz0PAS0a7FY5mpT8akbRL+zkkdRtO+uTCvCUflGC5UN7mBkaypgSStstrTytpMZ5PhYGn
uUKiydfshfkEg5ICiC2ng4IsUyy4ZPsxv6OHiGVYQLvLYoywyi3h5iV19wuXrcfz37FwuqQTmsz9
aT7iS4of5v5bAqk3aOtlk9zenE8LuOrlrIrX1hw9hdNgvF474JiGpLkQvlYNg4FiQYFkOG3AfWB8
OSFdi5vlkMP8mEplV4vLcSkwJEk8SuYFanYRyvGt4Hw5Ju2u6eL7dDaM6TrYfkrhEuf9viMDxiSL
q4L2hgW75wMxJLm+Z5NR2iXCcyyIJniLIXoWi11qNvQthQZcfgVzntH4xP9syaC9nLfBoMu08+fm
VdBu92UY2ZtKwNdEhQzLYJZUUghciAHaU2MA14ftvIqneeGwvP6SxGNutq5+38gLz2uGq6j4tZrl
Xiw9+DX7dWRKY/2Y0i+Dt0ABWI5Bea4+qXwjEHY2pMesPFNQAUIoHx4nVg4dnHMrvMb5xKD6jxWg
rF+H0XJbiBmixOxPAAsiH2fJVbIcgw+aXQ0l2hwhA6/BpqyunjQMvIDvsGkbTFBKi9vjphHv/RT4
7FWOXSqFhDrhpm2x203ZAXR7NoshSJif2DCZXBXbaWGo4UI6pR8IUOKm4IdX8ubOBwatThKd7qyW
+76QDhsHKElxcPMnXRCD788iKTDW7yxp3YwNDzQE9w7ajVn7Rpzl8bGILbp60UvYm/HtqgQqCdCQ
bIrodrjlxraf9b3cB5UC+0ezKwQXBiOwgbxpbENDv4A55FFuhPclVSFGzmCZiRZPbnyUolA5oEId
S3/Q0l/RiJaSexEZAikbAi49X8z9Un4zJeJpGp82xqGyqAEMXWci+WCyeVyTvZZZO4IU5N50G4ov
zn6caJiYq/5xk7WnQnmZtOmkqBRsG/peAvsdv5gJxC9Twa2igHzxiGC6dG3YJQ2h/CSmcEkiic4M
/KjfGILYfQHkE2nLEPewytyJyozZ8Gez34P1Yw+TuXL5M846+xEdn6j8SJOsVzTzTkI6kZufWgz1
4bHpQE0rWFKI3lJYMjPSyHFMWvFbyjAckCI5AcGua3mXWBe2f7P5m+m3g8cb1xDkQ5ZI6daa51Gj
1XILKZIgyMciXlos1MKzlr6Oy7OoiDvB5LczJxChMHRP1H5UA8nOcyQKnoHxZuy/qQUNevVtHlUn
sRJ3ned9EsVP9y0lFh9vtCqv7PGaJJOfNN9V/9rkTSiz11zzs6qL/jC+03L+Av/J3RjA6MxV2d8p
/f9h70x262ayLf0uNb5MMNhzUJPTqzvqG2tCSJbNnkFGsH/6+ujMWyXJLgv/uAoJXORFQmZzgtHs
vda3DkYE6RDS3UPvs1KqBEArfiS2mi4u29RH+wzMEolTtZvYkE7QuuUiAi699TD6DNWrApukPTJW
JgBaVCW6R9+6iJlmdf+IBH/lpIxLcnpaZ946UCtpaG4m60map9pAGMY3D7I6kScV9bbIaHe2dSUO
OQoOrBZW8tAYyWkM7nWS+UNIZtOAki5I3UUtu+5EcQnFaOthFwWwvW9KuNcon+yJehqMgzIBRFiQ
llJMKzPSl40I1rE3HrKwXBXeia3Yt3jwFDw+Y0qlatqh3Dnh10Ls/tBl96L6WbFXMsiDdD2U4qZz
QlQHwqYH7ZvbWYpNdluMby7HnoYQyZGIMN6CYXh7olJPk5KyCZZ4M1HXhr5p8vkkstjz0sHylLP2
0kM6D/hNKWQgFbIIXp/tcRtUtywNWpBc2xZ35nCWKEZpcdIHZ2RMioFCMLfSyhbl61WOU9TnvIKL
eEswy9pAqBG4eHjc7yQHgBbjszUJ6WO0UsiYRqKJuVzjGjsG0i5hVxsLrB6sQzknW1yv0BpRTPmP
7nRbOrBuNbLFXJ5mwZtANsSU10XijAP5PqbFkFAoh+H4GsynfXgYHIo4LlRN6yxq73PzQHjuCrJr
3h9689vQsWy25w08o9qvTlzn0nD3I+6Q4VoZm7Q/xOa+jghoOLfHWwRXTXQo2BUE4txX9cZqyzXt
pYOmBK2NH3p8ijh7sfcJodrhfWIuOKtzd5V5+6F5nquHerlOWRwBND8bRNz0bvPsBeE66qp19kD2
yibAfM3ufqfHO+XH5zjUN6hMVqFJ2zuj5Beb6268zIk/hI619mvieGv/aHD+psG9mzHgql4+B+kh
762NMTbgQHGKzTuHM2y+BcR2J+SJ9I59/q33n4VV3AvlrR3xs6TCNCEizuRmSjA+jYxTGlAJ9E2T
g0libeZnrFvrfN5RVo04ECXpiY1az4i2RDetOsR+eCMmkz6LzwSeMxPBrQuvZ36wbKZwJvwNyj50
I9l67DT6Dyww6JcRkwkWGXQ45BXtmqUNTGk/EaeKydSt92VrH3pxP4fOtSXd7RgkfCx0xFW/G4Nw
0XE/Nkz1g0QKyfEqqW9Hfd51iJRCXEpRfS6KW5yKq5ZucTAk29B/4nB/tAPqJM19NP4wjOmobTjE
ND4s5PWTzn8iNVw1Lcaa5KQKt1Ql+GG+GTbeyjDcVikfXjGuW7O6WJLoCVxdRXlH35fj/B1pDmuE
6pQXOhjunFcY1rVH2OuIQobnDybORwl0aIeQZrMFgxvvuyq7SyVgZBovwZyfzhi5wxbjYB9tIf1t
PRMLEBq90IJCBGgx3mBEg5abrDIoACNv1+YJXYQKzVxdWFa99ZJkCxd6U/T0Y3rWcyLNZAiR2UQq
mZ22JvDVeqIFg8gQXZstiYRg8ZXrIifLmZr5BBC4NMejwbecUFdpo5/NWG60VUBHRrXkX5EaVWM8
gbyFVY1nsdegW/fYDzc+JZ/ccvelEqtAuqu5nM9tTvyg1n70prvu+wChU71XdIUcXexKMzgmyy7F
1pdZOtIsMjepcxBTuQN6sKkLRo9ZXzixJGgcD2ckN3n3sAQ3dzrbehEjlX6QYW+8bDwWOdvOvLyo
28syZ/tRqu24nFrH6gW32LFT8Qma02hVEkOU92wkujfNlNl7xSl+1pMYcG3gDBxX1XpsruYJjnOZ
7TJvPgnZiKI2CKDH+l75ZvsJLr9i3VSCosszHIOdNWrEkA1KencT+awOpVjjz9pBC14FqGZ6Y8dk
3JpntjmjLRwROKU7x/tWBrdYg9Z9zPJXPTGanWgtJnPvgJWEhbrJDQKu42RTRM9asDMxyoMzcVSW
82aQD8qad1hKgf7ez9U9hwKr1iA33J1TzMxhO1W/xAWl+X5haz/FCsaHQ9Zq9hQHT2XOlhJR2zBd
2KNE1qCLS2NQx4F+1tw2+9Qa9hThXKc4BWq6Kav05tep7h9JFv6fNLovB8H/e136+KNNfqgCmqP+
YHZf/uq/VQ2W5RPSCILHF1bAEfK/q9P2vzDYkFS6HJbFr9DS/12dJsjUXf4X/tBxF+UCJZ//qBrA
9/guBDiM8AHFbSwg/0TVYH2qHZkmVXP0uCFYK5N/bkk7fl/mQKKkR2KcqLDUDQcl7VLzbanGwt1H
/rnx8xYhWO7odqt9CB8ZLLhya/hqEdVY9soyx47y42CdBl4UfpuzsXpsxrHAXdsaQbEjjRHkQwz1
/c6xO3US1iaSPY4su3dv/Q9Fh+U239UClsdweRkU10k5talBfHwM05mCxg5UwEl2tne13cN8IaWE
sm/cQnouyuZGYiE9DEaYn5izaa7/fn17ucBvNxCYlkfP4Fcy18cbQN0PUp+YNSRMRXauMjO/aIeU
U2zbtNkqihZHuo776LTOA+PgdwT/JbFxW5B+dFLVtEpnhX2EqE/uUl/Ofd5cWuGo94Nqwn0daHVi
g/10tlKDO06q2sD/a5Mr6Xjht6zTs3PhKJHh5PBZ+d1fFuZfr7oENfb3RxVLv+LToy5pshR4ELJR
eflUbqygjvQ+cXerLs3rmxy3+FGPpqt381yH3i6R83gcghAcLLzhABFVPbIBy53IXhdYJ8DeDsWL
T2KAIoXBDklJWJgl7GPdzjU4LmWMuC9u2Vzu6eM9e7A2waJSeuA7dPkI3w/zwXb6QrQEPLYg7Y9C
jD+wz8/U0m1ni3quPytxHJ624Xhrjc588MuBI3rcuq9T2VMIsMeq2EjYSfQCkmYP4qiojxi/uzMw
L8M9JKjge0xaVLuVs4IINamyuUdwzPk/C4dTIgC7ne1V5lVAImiGPH/Pz9jsjBJiflVr6uFp3rzm
Y6suBLhm5Jn29FPaoXHTiBLjTYplK4pq/LcG9EkHX+0W7jDoJJXrM0A6/mUwVUStdEN167t9+Ea2
773Kg/kBy2yFxamqHgy/oCkqWOK8mPygNObgFnXNhPq5Kpb6iaxYFcvxlFXaO9ZTrS/kXFWXymoS
lLFgxLHaR+eumHE2hPkN4Wr6GLXpQBKyX9a7nOzHW9s2IOIlRnTSjC4cYbYUiHL6abjwfepmFp2B
WM/pccz0ZV+EGFtcJDpkP4ad+Q0dakLhCMD5ht0U5YyKyMKtU4TmtSDtsmJv0GMkG914U45BxjEx
xq+IOHkdhSg1Bk/W06pR1CSCvH4MiHDaUZlrrxqfEE4yJE4BWIudGku5/WJ8fZ5+xFLu9Gxaj6ga
Q07EH4dX7cXpKF2YRcRLDTS8R9BmrtSwuuhKKfQylnmYWnTbRpZOKDJzdTF5/mNrWAbds7xHQz1C
NsCP6OBt8OyYZnso00O/fP2WD5xvQgB3/sVdf6ovky5vefQl4aYCTnWIWvl416Ti2b4vKcHDEzU3
WU08cAj9h0kdXwMi9nufzOAfIuqHPU5pG+/ppDdhkUbf/n4jnyeU5T4c1w5cEYYLZ/FTaXW0DZnM
Pr0CFLrNXQhvegMgN90k3SR2lmq8O6cW7Ve/2e9XZbHwfQelIWHilrW8nXcFflN4sWV02DzKycJ9
lvRD8+T4Kv7e5TYnCA9Q3YD9ga1anssQSTZmdSKCui761je4eNokdL41ndbnRkgpqrZFcOY144a+
Jce7v78h4la5m/cTmIB7syxvHk5M6uvL/uL93aoBShXdUKRLdDDXQM8vufnXZKqpDoN2jPZhgoBI
NQA16tSlgdx7ZyQLxXI9FhzFoAwIClfWCwgKCeylUMfcmnyO/Va6N9xCbAYnUq+VbRwwUaanfd9i
2nCrR3tq0DAI0gPTSke3nmch+mhKc4817V4ZMeXOOYimvQPKaxPFdXCrooQa4hCLlabegDC69btj
YPL/rLEWWBBaDGcfxgVcLewAhkMpbySedDU3ffeInRZHikNBzBVwIlQXmdEqjoBhzeacPKehP51K
Lwj2ZKOqrQ7jaJfHuZrXJBSjMBka71ZjJzsYcLn2Ob5kNCIEt8LKYGXGy/TN5ZAE5avgH58z4T2R
j0Jjq5EZ1b4pH84rg/7qmhSTUzVY6sp1G33dGlX/5sTgy5jO8qNZA7biFN3Pp2XSjTPyYcsnHc1A
Sjg29kXiWuTMZsO+tuz6yYtozcdR7B5d3aVXRmZbp3FUcWBk83dClgteVImAZpQL1iIHRa89NZNz
5/X7kk4ynqYeSZpnxpRkifhDxFX7rjzQFnFedeOJbRt7yMONjq61m9m93HV2ne4hhQ0rhTCBtB1D
YzsMpm2Q5mm0qSpOGiKWpLdwBg7MOTsp47Q7TungbYI0Gs+zNjghTK7dlZH7RBSDTa5P8uDFGcl0
+ACozWEHJ0MDY/7CNhkqfSwMV55jVW/35CiGyLj8Yl95zVL7Iyp8cTvUpO/1Hb+zK4OLNlD3RGJR
PQSFcRn09B36vCou/L7C1yFqd0+N7MrUxnOi0/FmwkS06LmRsdY9FZOkwaJEAq5iyFv7TOAN0Vn0
FOe2vB4GlJUFEG1qtvl8j0lEPCyU1BMJpu7MjPMT2/7Vs8OdmQT5dIffwVjHWLxv2mnMz3CRgnTM
vMeKMzXp485wpbx6uupDIz01qgAPbMl2tpDBHgrFQA8GmMeGVF4wLpgUxCrpg4oRBqUwSytCG/XY
PvMbDreF2z5HnJJhM47WVd8Tf+5CaDxlmfOfmtxFT4lxe0cAHkfl2Mg2docpwZgM3ETdSBT8aAPZ
yKrCOp0b/MolBL61l1Gdxn7+QwKawSRV+uluzCmM1r24iypcJWk8Nxedye50pyxpXLd8MNcD+ayv
lYwvYIWOoC2U/M5eDPd1Hy4jKPCCUxsc0o0DlGg9B6ojhMC6zerYOS0tbTarwubQbJFvv51TiMwc
Zjmolx15xgU/wLEyEudFMOk/GlAaDpK55z4o5vqy1pZ8YqtKGAtAxnOCFEh50/i1sz1lAXRjmDGr
LXyVBOEGNvgYh6uggZWHCWkmQCDwRGfpD+UrYFNtUlYXqTbQOkhnOCliaouMseaVktp3v6mQdSkL
t7UP9LFIQm8vQEWhKCCvIC3S+VJbyj3zXYKSA39+tFPvp+SLp4qg9yyNIXkdVrkWZKBYRVeuyxBH
YlQIb9+FvvPSp95BhnRVTFCKRJ2Fuf/gh4sepA+pRrE/SocH3+oaGz0DlUYO56JB0gKzZgCC933C
WrG1HXqGtR5yDDBVP++7uKEGRdDqNqxbTMLZhBOdrcAxSYDk86IGkpeavrolO4wYCyxz6b5g78D+
2gSFN3cl5BKMS71oU0p100joekzxt5bVhZG6eb0OoDiCgByLt9Sr87VWc/kYVDEOTuU5r100dbdJ
ZzDxT8420kbwEvbOABm7UQc+aAR2YR2SOBTyy/QIXzz6jdA4T3vSRxCZ+l22jolrQZbkjCrak5KN
25P1X37DTdnZG5LT1algHsvWiOwNvoDl269rFJcW/q8DVNTyMi0Wclbtiijc9pFtTdt0JJz0PqWr
uquJ8Wg3o9vhDSJeVrwNHcX0yx67BzlDy5WyIfMuED3EzipaPoMJTMZp2SxFz64DAQtwbRqsawXI
SL51IcUhyR0fexnZJaJqG1Bp7JnzORt1fLZ8a1utCZmiVsMCnJGut6+rbrwaqokQ24bE+X02zgLo
Sh2gsVj0JS6TL+QJsP/D+CsiV1pMxHhd3G1N6Gm902p07N3Qp83CkWGPcibTrmC8tiVv18zT/UCS
xB6PfnDOOh4+cPGiuTFzGCev0UjgyJXjNRZeejYjObtgUQOdVJEJSFYEdYdgu2zf+toEfFtqcSQ1
lhCS5VbhLDp0b1tSr6xB3NVmieS1KsSx7BjGgtBV4kj4s1CwGHN4U8FmalmqIlaZc1FWuJPk8vTp
iPaqJAX0hkw6bMYBIaH3ElspKo94Ygtky368al3eltH6Xn8zGiUS3FkSD8x20nnJ4NNQXx0BNkAg
ciOxyzhQ0mzOh3Svo+UfMqtCHTTu93PX1bjcyLr5Vkch99Hn2Hl8U9XfQoIWmrWSQX1j1aGPKqWI
W0i5fcaAlYlz0hFhQNuvmpcQBtKd241l+PRbdV1TFc4yzHWI+sarQnEi6gryTmH5DOqgtOVi/hEe
XUsREkpaVWBXitGES+u7RvgQxpJXN+bZvKqVpd8c6YcP0zwlSMJxydG8mkb3pYiE+SjCnggmKcax
3pGqSPgDJZGfc2BkFw4xWzsAQv5K1iEDNBk3gVWe1vgzFZ12N7yqwtnYQoaBfOk7g9zmXlvswpQ4
GN1PiyGuujbV7LwUyBYWvsHJYFQwZog5hLEy0gAz5uGYdAnOM93PCIRHP7rDbqbGrZO5iAFbgcSA
0xR8oWI6hKrIL31Uh9ewzJyLOTTxQxRUT4n0U6dE+aXbIQyXkxoEFDzcsdwFfuS/Ct3AJLVrhHYL
Y+dMtJO18aO0eNM+u47G2ueJGWbn9hSwU6m78iCET49skuMFgRsmRNmky9cJJAayKVol0l3V1N23
uQVL09o1Ta1BClaQKKfsn5YN+LLZJnlTNaQ3Y0Bj4PnQiNeVnAsasEk0sYLa6ZnVsEwTKyVOssJB
suTVQvG2RQRVqPZEdDDHBSijjfGHA+F24xQAA5QNO0JkPUoAR1kePbUR9bczxxdOzpeN2Wx6ALb4
yB7z1k9i1BXkARpNrc70RDJO0bU3ju1T7ScNi+KPeo0lZXtoPy5wLj++rEc2UpNbGtfGMLFLh4K7
n2bjOhlMNBgJZ0nDcydaEyARCyBc69Zyx8u47bszKTMAceU8HqgiBM82EJWrsg0luSC5fZnFQbV1
iGjaCjdF1DCp+EIXeXT0aOdcV0mT3VODf6wlEc62DuTRrroXo48oULs1LhcjqQEQZmkKua9ND2Gk
H2LZeN/AToVr7cTqTaWoD+Y50IyDFjPS7A3AAFXg7C2j3s0BgkE6+u01WCMTKYdEgpII298DhXL4
9e23FDgcGdoXM4ZTivBq+1/0Y+WQYbleuTo4cnjBuDs4SEva4L5i25lO5qUJonBVjZzYbKFeNR32
oMPpkIvHqmdOb8z6RkXdbW5kd0mC+C9PX6zEvP91Evv/dfC7qf7xP//Hd9lVrZpufsSUez5WtDk/
/6UOLhWG99/+4D+8V/EvKKvC5LDhO1RKHA74/xZoO//yHEx7VJ8tUhyswKY8/R+Bts8f+WT+LFFG
vs9hhj/67xK4/68QWx+FcZqRQOz9fyTQXk7O/+dkTUUQSbawqKgvFkNLiE8n64C88XAmg23jJKIh
6V3UV550fQW1Y0neI9dvuHn3aq7+/W+/V8gt9YyPV4SXTvHUx864gPiXYuW7ysNs+5NpqdljojGq
e3Y5HsSlSp/8/So+gvjfLrN4Jm3eYEhA51K0eneZsOqMhkRPLIpR2T0K7Ri37mSoS5LnyBOizGLd
2e2AALcx24CzUNk6t0VbA27pG40LROIBTvdlQ+Gd3HQPvAfbNglLqLPi7+avl+Mp5ohNQe6TtdYp
6wbSyDQqkfOW4iKF6d6SV63kjLoEOdnOR0V8l1Ok4LBdtKihhNUTHy8J+sPMMXbg33zqSzT+7VhE
S5GwezPTtERDPMgOx24qxUuWzNld2CUwsTll5/HZoKvhNlFJ32ybJDUf2gDKOP4T6rUgEKQOybQG
grfKPLfsTyNOhbfExQwYjCOKzau2NMPySk52UaLnyRP/MDsCzWKY5DS3tZ876wY6XbEtAXfNa+iQ
8cnU1KncipoOnDEB7oep7aJyLuM2dtb/BUbN5YioiKQqGueqyonlWZXNIM/yeWzInmsT3lRqZinQ
Exvh2ubvv/zvI5oKyCKMZGib2CI+KTB7c5K2SOmzNra0t11koEZ2FW4Yh8N1iizni5HmfCxOLZ+Q
x7cT0PpYhpvz+RNKAhnlft4BPp3rCl5XJgsf5cWIxNglWZlMRcsCOz87xk3Yt/jeY7Zvyb4lnjlZ
d7ZDg7wBiuhsgCdlT2RfJq/2HPsZGtVuGA6+7Yqf+RS06c4go2unjKDGrFgDzuh1gC4iTNg9VbnW
oNtGYt7jvlTRehDRImGPMgB/GgxYCEu8Tk4Kqun0u304mSs7bBA/2EIaD7qHSI8fIQyJImxadZqX
ZFGvXX/qItaoOEUYIlFr/v2n+liE/Pebg2qNeJX/65m/vuH33+gkINTQsNiUA1FcXoK6npO6dwCo
e2fBUDmkdSgu/n7NX5XNT/MP8R6EhmC3pmT9OWdJcEhzKYCJTRzZ/isqRZTNLpsTN4xxzOuhy26K
OMu3QZfiwHdsUCI9HTTKR2H9ENtwov3cVfe1kUUdrfGEH5Re5kCeKdSQJzua8TCGpTRRzPFXdO6q
Lwb4L7HtxycgT4Q2DuFzro/sfZn63r22uPKDuJojm0a3RBaoue+zsirYfnZjH+Y40WB6FmnZe1vC
39DcRuDTAjDdJd9q6ZBKjLQRwdUGQSQcjYaNCBZXuUSVxHVCa6tqNNoXl4LOmRc7wbDq6wiZFb0Z
67JMR3PBC2nUQBP0V++LyvQy/X96OCHoUkHnoasAjfzjw3naqYSjkCZkBYEpxVg9capqzmzFhPL3
kfAp0GwZfoHPyotx3hdLWXlZqd69R8QfvqKCaXAiMg10dPk4IyTKfZmtXU29dMlbpwiKPvBHM6fp
WQBKI1zldpWLL7qKv38IwdJ9xpNFttq/u+Tv74QqVzHJJE62E6f5LTCWx7kxllmTs9AqHjOHanKY
7P7+/M7vVw0DXgG3bQnaD86nvk275OuVfovetZ9UsW5LZ+nPtTXemMhQ6KGBq+Ubl0P4Wvo5rgO4
UREZFb0anH0WaHgWc1L4E1p3iXcqt2L30m7ZlMMRNdF7dkaVR+f0PiwS/YyEkqvVGcFND/aFLq5p
ZWc2EC3gQVFecolO9JddkBMxXWgWq1Ml7fQRChJAvVoCcN4SsOuZG8tP0U0RxAq2eMT/9uCLoCLj
AP5SvAY948mLbOrSA2pUantDEdcncSxQQ5UZquaydrHQMJHOex0SSbXyunCEClN3c/3FSP5tIQJO
tbSXFnGBQ1jlp61Vm8xxFKoEOEDZhz/Kzm9PncF3D2MGjtjMna/6cH++niv4LflNaZV8HM4jq4Fl
eWWxTSFr73wVQAHxmtBAPtw624Ss5+aLYfvbt0rvCt2EJ/A5+L73WT4xjVYMv1sW1PHG8gDoS+wn
nYDwdvLh7u+DVfy2yi7X8mwrQPNBH+jztrEUhZY524+tGMbhfGxTe9852SRXObC4xzrsAUakhkv5
vorq2znxkPu1yZBweuo76+cXd7NMDR9mKe6GxHMWe5gdZPX99tt69KNVXWz5QEV7UnCeO+J7oBbt
9vl5HUM6k0RNvo1BB8fPVfrecjGQzy3UI3sS8blUabOvImBDX9zZR18Ikxp3hqCGe/Pxg7q/divv
JjXI/NFANT3f2mMa5XudS3EdiImtXjrBvUcDOEGKaAaWhPVAdNqMwakon2dDpdjG63D21tEUCcCE
LlXpdUOh/gocbh0c6LuABaJdUMAsmnxD7f9+638YTfy8HtFbiFiWE9PH8RuNzZzZA5S5HK7OoUab
CwUvMm9Mo5H/eOrHz+LxchxUP/R+w0/XAgttE9iH7UROlXhtm6k9ZE5cvkz0uY6B08bPiTd7J3XZ
zbteW8GrmzTzFxvHP3yvy4mQQcTPxdbx0wll9p0RuxnCwIxFlraF6ci7ziuJ0nbQkkPS0NX4xYZr
QcV8Hrc8NCGh8ExJEwk+zRGZaTe5QeFvU6QJbaZWl4sQ33TAbVRBWt5Xdgl/KCqKDqIjyRUhwiiM
lx6/GkbCcoSsFPa+t4lhkSPuL6ZmN3VWAS/BTv37bO5mzgu1SZGFsIR69/cB8smV9mtsL0Qbdtuu
53n2r//93diWKTU1Zhx/45o57veCODLSuSJFJWuIvKyjDUCZCDd+YfbYMNMlRd20yf8ouZvvVG+M
cuebg42+ORys/ovb8/8wRbEfY3riHyWKxVoG+Lvbc+p4SlXdw8ExwLCfAqmfDBy/ERSqaEhx7TIa
r1zoyTU+y8E4y/mR9Nqi8WLAigtQTieDAa5ySkJM+VmPS5TAMxIXqQrh6TREYgxAElV9LCYNvWnI
K/XDGEXLAmmAf9+QtYB+k1666LcmIslipUNq9fd2rMZx03Wwpj2TLO91zhX6bwO6jeQiJQ5iF6Vu
lh8jrxjuOhKZvjtlUPxErpaYq4btO4ZdcuHTVVeXtrUj06OYVxokZUot2w0uQQHPt5HVjz8qmxu7
cKmmOhvIri3jpc+WyIM4BZxeK5wGy1BRV07eRgjm/P5GZ03irSvo7weN+IlOUBSX39La8N5yqLc/
BF02c2uaCWgbf+6Kl4TyKkgcXbG0YY9tUyhaZcFgboMJcxQ9ZmPfBbKmS6KH+Ivjwx8+2kUqSGLF
Us9xvU+/sYfizK7tGv6PGusLSeF7Qx8Rumiiq5N4ZH/yxZhfZqJPKw0Lqy8WwBOLrflps9/WfUaO
c2ngw3HVLW1MJO9gKnf0S5JTeGQcb+PJt3ccOvV3F7XBjkKO+8Wq8qenXnQiND55cDY0H0e2CzzR
qlptbMrMmQ6zKGdcCGG1cdvudZzS5ObvD/2nyy2LKosZC5ktPr3kgGZFmFtBtAEXmK4zEchNVOEf
L9vqeh68NP9qWrT/sPZ4CEqRDfAf/sunedFVBoGCBm8ZRjWpJcQI+bkEgNbQj1BzwWmIU1MHK5X+
bH8QGc0tYJWOuuuzEglHMEa+t58qk486yKCGtJKt2AbW9QjCeE6dO4PifrbB2Wa+yrzI4GzgkdMH
d17K8LOj+NbthAzStSrzEHe9kXgH2PApIGU3TG/gvccEcWRhZaybMtCEoBQmumv6h02FgzufsQIk
Qt8Jl3rSqipG+Eqxoe9lEzio/drymoCN7EojgTAJsckov7c0nMW+VjK6Jj2kTvY+kQVvLrNkAQRv
yI9OZySvXWFP2Rb4XGKjn8vYMQ9tAWt/iDJrEQTNxYUYTNYv5BWAUdi/BaASZ+T8eBvmOTzth2R4
JhXRoHJdOuYzMWTQiFMrb6nJJHJ4NZsI9so4qeBmmqoRB6POUKW0Xt3dzBqg5hqcAQrWnNDGldXo
9JmQIik4fdao4jrbSy+ws0PY9LIcN76PAuhSagIE0eObcHbjETjGClR3Ry1sQkqwQgdg4IlsPYFZ
po+QvHidXZwHUinWENq6T2mUJm+NC61vjXbMO/IB1E9uP5CRkBDm88PsxxL8FFK3A11H96cg56pC
yueUV1PSevc1OUZXyumaW234w8MU2gTKOG00xOssyVnXdTgQnzVYBglECNDix0lY+BOyHonuWiMf
JtCQShbVyFSqxwTtk96lrfDcdUs/TK/ttArussrDjz1ntXHhuEg7ydBgdwXUUWIIKrMwP/W8yTQP
mSwzQGQunEknqcSJA9KQgJF8KUXGwxB3L//0+8Uh7PnsNJbzNervj9NFkFK4wh3vb2AVA3SoI281
kYx0dBOsJWYIu+rv1/v961205ShcOW9R87M/Xa9MsKpro2ThLWu8dcMQ3TXKKB+0EOqfz4TL4QrF
HpX3kKrfx0cr+yJ3ZZozNeUqeEiDIj8GAz6/WCF3pPwWfjE1/f5oNA6oLiLsplPAhv7j9URvdzTN
NJoy1MXroFSgUWPI02XFpuHvb/H3esivJgV7Q1gKSIJ+qeXf7V+sNDZyicF000a0knD+he5FNQbG
yZDBXPXBM9/PTqzzfTWkwxm7V3095B2p93+/jz+cYBCz83JN2h+cLT+teLZ03NnJyOkKrBEpplZi
ABOVg+mlH5ya5MrCWN3xCHLpMaN4/+L6v5VFeA3AdGwqhLZncx8fXzlOPoH0TEWbtCis67Aj2Kbr
fX9T91G0C2NzukgM4tX/+UOjnoUZYFKV/O3wYyg9uHIsGFejZQ/7hD4BRNzMdunyBtJkL6Y8gni6
EOxEm36hhf3DesuY5lG5Pvfwa3V8/8NLT6AbJu8jRjH6PVUtui7RdsRhZCgFulrX3/7+tJw1eImf
tjX0nUyqBpAl7eDzPgqRLcH1JEBsyMPM051Qs/kS551GOKJmNR36cBqDDZCUuNqEY4A8QiQI2697
ZaO0Ch05vLErIRkEIZ58mTleEcrkmYieA3OZxCsjZR3Mpzku1wVeDfDOMXwhn8yF16rrOROghK4v
CpulakOKAbZkdvZyO9DijVcSf67aybDxnkzfWkTBwchqN5BoZLMfCSHasSPHGTXL/FFigus2zIKh
Tfu4XUDFNX6N1ZSREUwwCJkrnhNQRQ3TqAXbbsP40l1cMDsPGcpoQ4DOm8uBQlxKaQcD8hRl0OOs
4XmovIAWWQRMfeDxWx4IWvqK2Gv54qOB17uoh9G8ni3m4hU6e5a4Mc4xjjW4JuSmI1TiKLSLt3gG
fi23YRpEIHvtOV9q15Zxh26rBjlWjVlDxEMb0SzoEuOFZaSF45dMsIv0yD+/UiAsyKuhPG/QqCDw
Xg6wNpUtsp9sXVMwdE0cx7dpBkh3MyRR/TOYUgB6hS462DDSHm69Ns2NLSKQCeO1Fk6DvS3vxlXZ
Jpg5s7pM4QjqQcXn9WCa12UU1t3GiDp9GCgIUpegLkiEhsqTYj/3vv4RpgK9mSlH87GiLUKB0plg
VEq2GKdRA8h0ZSNCJZNgjiz6co1dN49j0QzfmX6oqfp5oQm2SMaaZAI2LpyikFqiybGlWlmjdN6Y
eiDo5A599z2BT2VxaRN0hTmu1l68idqaf6VMI+Wc0+OZxYmIM036YBRHFl5+CX8BfQshhGaL6onn
dKAlSCvlmd246Z+HsigrtJ4IfwjQ7fynMTU89EGpEbLwxxFviOW1gOFoVs51bytED95gjK9prABM
BIYYv5vJ6H7/X5yd147jSrJFv4hA0pOvkihTrqtNtXsh2tK7pE1+/V2seWlRBQnnnjMDDNCDpkQl
k5ERe68d+TxOm9rS/L9UaLZ756EFrWCB9G5ChIewGxIAdAnns/Kqv+Y8T8gzaTU82KRXDFuEXRiJ
JQzpfFPOlvpGRPJ0X7NskseYaAAgQsAsv3Reaf3S5xB5f9pobEWJMzHK85tK9keDuDBY5J6CBOIS
VqujhbFnEFRqIODDBlO1Q2ONdBItaNQRdIUvEPWYrgGxjsKx3UmylcBzZGX5iU+SVzsjifN8q2vz
ZJ500VnJvUyj1iARusNleH1DutzzdTxljBw4v3vC8levWULHZJ57yPkSWdILwdK6lJ1jQ2FqCpWe
2qiKD1nV3nrnvrUNmoz+aaDStLNejVX/7Lw4Hu3JU/ShcsooJnKxC6V1sKZD1eHR12y9CdxmgZQV
A8Bpq6IVf/2Lv1Ff+Fjp/Nd+JmXGqhHmdiLtNASouzKxyzubVNPHKJzZS/z4+/UrvXGLBecrj3cq
B0h9DYLr6q6N3MnydojJltPHUDaBTiDhb82eiYCr0TYOKrJvvMwvvx+lKK4hnQmP7uru6vshUeyE
ULy9i7yCDiekOpA0YL4wivl4/ftdli1cib4PB18PbcZ6KqcmMxfNQHPKmEX1mDnwTQxSWGlLmAjK
Cm4oxbfTf23T/Mbb9I3vaFInWYTGMER1Xlvn/ywitI2RnkrBnXVG5IsVgvk5trzPM/fzxnPyRgsO
rRKtD99gNrdoRs6LI4KUItFbHdkkHamd32qViF0/EJy5zZnzw1XhhXqXlK4zY6CQLS9v7OPx1ptr
IqNMEjeqrYotqz1lcSlvHDveuA+0Ng3bYzRqClb1+WdziYEcbMR4uzEjxs7PbDOwlE00qU8q7vUf
+61LYbT0LOQzVIrrxRyndpcOsxXuyBii+VPocbspOwOynEy6WwXp5Sah48RbnLIWBw8G5effS5lO
PisNiK/JNCs6FJ5RHtMc2zanaM2acH9o4BKYnxF1MVjxu8UR4/7358ji0MMEid/fvygRGQUU+lSL
cCfSpviLQS3+XnVTIWFwzfr76zf3jZ2CybZpuDaJ1yzn1fcFKWFaTkagfVyppt3Hk9+oTczunO51
CyRzgrDts92FzY0y+I3r0jxmc1q6ePwP6/w+15FtNZMyvJ30UypBB0cp4QCi+dwWYHabaOwOSZfM
//2Ix4tHcHJd5t06FfH5ZScn1JwmtBLekrDeD65itVJclVXgUoXd6F++sUvxDQXnKn5E/Lqri5XC
1dqa5yNIaZvj4xceghLL9YIhUjCiVGedCI1yCQLypZYE13/YN54aFw+qLtiLucmLGfzfBrmbDbGO
oiIOIhJcCONs+xO9e/Go5WiPr1/qjd+SwzkvNgtTosneeH6pzPMyRE1IcPRZVfqDadUasCXSzIOC
NjHAH5GBosJT8583BoOvRzIHLVvGAK9W3H/24gYtuWebDGH11nT/uqKpvgjPS0/4CO3j9a+4LMfz
I9T5pVZf0RzxVo8GE9EEowaoxSIFvW2jqLrxWCx/z/o6GJ2XZgeNb+ae57eS5mRviFRlQVrG5QPR
1+27knnWg0Y+4tZFOba//r1WFuul62voDoo9wTmcA+5aAtJztkqhX+SBPzSIXqu08PE2NDKFNuzO
Vv0UJnL82PixP+29qu/eY9OvvzA6k4eQsQ6uN03XyKClUxSjAktLe1OM4DhqlacnXBUMZ69/4tf+
9/oWebwRObvbqA3t1c6B1SVvfGK6AkXg0GM8yKR8qmSUv8QjxqB3DS025q9hP4Bs1i2/C0bqyb+9
W3TuTpMFpvbBz8vsEBkxuFNEFtD5q3Sk49tU7neZ14w0THIUP4Kmi78Xmp8/p7NukzyQF8NLMcPe
3RWFRQqOYdlA5uweXdWNV//lw0tHCOkmPw5kBuRu58tAdwuTUw8olnZKvkWTXjxPXvYjJNbo0/W7
qb+xsOkI8Abwfd7n/rqSSnsIna5GLJtJe5igwlYH4jp4z52Xmk90rudnQknGDz1noyer8nFH2UnY
cpAj49bNlshkUntxToUuc5rrn+1y+6SxibqQfVpH77d2/881Rqc6SYDO6rI8JLP3LSYx864p6NBF
VAF7vQvnE7lk8Y0l9qoiXC0xCyYz00WfYg914/nt95JBpRirmVhjmwdxkwv9mIh8bnZuCxV1b1AR
QEnIdHOfZ8pwP9lRBJFd9I2/wHKnfCv9kX5JqFCWb5CmuaDmzKQ4FL0T+Yfrt+kNtQYnqYVGTbEv
kKIYq0/r6lHUV3Q0MD+kgdWpAkBqM+V4m4cU+HIdEiaYkX91b5vpsNHLnphOq/QJl+LN9ef6p3lj
PfFh6CmisOY/r+vtnz2ZF72XeTrqKn6WYi9LbfiDNW/+cv0qb2yTLlUn2sLlGGm+8kz/uUrDUcPq
CHsNstju/rCAu70xm9rGdfuOUL+IM/71C14+J4tyzbNoo3nIb4CAnN/kQtVG1Uh4bqJXVcR5uc4/
2bPbPKJ9DvfYyvXnGAHQwVY17BH6bHCQIhsLbZu58uMYR+Khm5PskOiMsK5/touSFSgpTUyEjwwt
IdOZ5x+tSXsxNJJERQvrbcIcIK8KLH64MQLRmo1+qKZmMWZnjvOpKwebbJDCQaNy/VNcFAF8ClTA
hicornzOuOefQkWdVhTVABpiIiarKxhbopRGkNNpoJUGld1FLMfg+kXNN747bndeYUgVaKeuFTid
EY2YyFPiYFqrpX1mWQCBqV5B9uPvBonql05q7qM8ND8YWRj/QUTZ/uJZGH+ObUiYDSiC5q+aZpji
0iS3Gmz6kua4OIZ/GJWoBfq12YE73eXjX3dE/c62n0sPomA4vB8HS76nlE1QgadqxLhVIFreYl33
Dl4y4Y7MJ7J9bSetRIAGRn/OB5G72xlU+3warBR0nBUpuJSZQ062yeeMn6mXB/sud0PTuVHFvPEb
gflB98NTuBSm69/I0oamNqUkHietd6Uq5LsOBMQecsF9rnUxSZ2Rf2thXOwIlDP0nHWT/+rLu2a1
MNrJVk1Vt0HDwe1Y0S3GCzW5JNVdXwuXI5WlbjIcn4Mi//JGO79QPzp4O/WZb+eZ+mPPG3arQfA4
WKm0gsYrIZH6LaazWOIVsHvi3uJJ/3z9Q7x1hymD6evzBLAJrr4sMjCz8VwYnVIXCX2ehHCSGsbn
pFoTN53VHFEKx8WNr37xpuTJE4zl6BXwEmBucP7NdbRACDOnNiD62jyVMxSwQmjJySHOOYhxJhyI
Iv4hy1bc/devu2jHUGYwgYSosX5Rosc2yp7Y3wBVt//NYJK0zTBFE3Pvp8W8C1uolDiwNevGG/pi
/+cLLwuKHZl/iOQ6/8JyxnxuQ40KCrg0T5PvkwxCQMFp6Ar9fizS/uf173n5jl0uSDXC7XXo+6xV
EtLSwq6YkzZIfJL3djKl5AuLlORmxBLeX6LJgamksnC3OBwbsKpup56acWIynxhS9Dd+8EvHzfJ5
HDpfgvaeaTurG1BpbjzxUmnhpqqKxCkZShM4ZlP0EVBgDUR6PEsI+BgabVy+MRCLrV0W1pIu3ITA
MGkL3QsJDuIOnJWZBdhP2nGD6TMkpwv0nbZh5wRpC2qHSbahzfGfOUczdIeIO303Ujd+16yW0OdQ
N7TAd3IJTzjCELNrJkFVTAKwNT+0/Zx+03pUGIClXZLgvbBtXzJjVNAFLMGHyvvEeRf3efiJZWN+
Nc0pI75iBAIhtGwiLaadB5B5lk4A4xSJ5tRWOVTgmkSFr5gp7Kd5LEBi6oytjv4sFuZQgyaTeMHS
BErY5NX0O5T0BukxFPnBYCRBGlMDV5+ol6zxk0/Sx9hO4ingkTIZ4+oYJqBITtTK5DUk7VScTM4H
L+Wo0/bH3zObR8wCqIAGs1ucpkPvHhnmQkUP7UL9Vb6UTWA1CRK564twqTrPqlJ+c4fzABs4PUG0
OueLvo4YIo1JXQVkIQ5H1EkuvvZ0Pto06W+8V//Xq11djPYe/XkOoQzCxOogiosfw25kFNCMhNd9
HTSr/JZ7JWDtAcJLCyJQc39yUIVv2k/J9I3yyDQ+lq2Wqz21EXFRdjsNaBpzIrereZB/daMLtZ0n
tFnd92EEepVGqnuSi/7wLtfEBNG6JGtxq0nSsjH4uMMnTJ+QGKWjHGuXAlPjRdll5cc0F2a8BSNH
P3CaOJySViunF791iEdYpPXes6yRtQeT7cBuCBH7kEkpTBw4vYsxZ+jbut8OAm/VFp5T3pJ0liN8
ssbehpQhY9kcOfb6ZFtkze88KQFRZUYPTDtH0vheV0q44IkMAhrGzkJiaPs9Ma3sBCJwo7h6YL5J
Pj3Hgba5c5u56LY4/Uu8t6w7exvZRfU907oBVUvnVFiEoLs4W3t03KNfwW7bZxMTaPYcOwoWpTcg
O5SE1lYyZx13Cq+0s3OItzT3ITRLK8C0AZrbL8fymBTAhrb4efTfiRs3xVcrGkx7N3WCnjBtZHFy
BqdH0DPZKTRThxnQJsNY85typjYCyFLR45B33pexo1/F36kn1pNl8etuLRQ4UPwtsgnfq6ipAU13
mbugOfzuGxp7a2B0YyZ/WiNrvI8T2c/TISaB3UHGM4bdJu+lhW2K8RfVTYHReIMmIPkuSeQGfuIj
3hoUtDG9c/OjjAnoJAAPRscnlnubvZNDN77PI1fPA7IREWJ1qT8zL5xqa9+myTjs/JRMh+eq7qcP
kxkl1qHry5qEO82B6D5KoBHUhe24FaEFttagHMaYlztWcvBtDWe9Inc4BQdQwKkKaxVSTvIPGV0+
U6mDX2czVjqCVAjrSiz5l/Fj6u1xXWKeB+9p/0iyyZ8e8X0y7QxjUsuj0J0/tI0QXyWijhaAQkTo
xGj4yVdbq8h/tqe2/ZTpEz4iPev5UG3I2GmLxU0R+55HPx1cEwuxLCRoDshX9DtyOdIxtUKOtcHt
nPgby9G76n0b5TJ/b/bOTEMiHbyfSFczE1/PqL5CJbA/Xd+K3nj/Lm4WvCzIZKi7jfOtyGwkbwej
7QN6j+OHkTiZkwrL3x7+uvd0GW5pjt6ob5Ym3zIvZOzDC/j8cpHdlCqPzT4oQwOQAxMPDngTyhQ6
FFkfILJp9tg781OJgu1GyMRlRWfTx/FRSLpLi5OIprM+qjK6SbBuigBCXUwLLJ63i0bgCGUAJVI3
GV/zFIrAf76/nJ3pT/PRKXHWyRZ2w9lkaKYq0LwCHV5V20GGohIO7WR8jpvRPly/3htfkutRm2Ox
4BXjr37PvremvoSbFJRlNB9qx+Qc5CiYMWnbndxwcGj7FbdkOG8VVeCQTIQwTPNQAa0Kdk0XEEw6
ekhaB7cjyMvYg6UZRgqtMfQZ9IJVpN9VETyFDdLyLn/x3LhsjgjBnK9tZo3y/3HbOT4s/EYEuBz1
z3/rVhROqZxEBq7mx58bsBYb+AhotJJ2DmQ13XqM3nijLx0mLOFMMhmirdZ11g6llrpWHxh1lX5o
GsQRKHH8B+Q3yY1f+LLRy6xuGbkzh6AWx6p9/t2SOnZHs0+JsqyFeUShkJ9q/r+7kNo+oCnQBXmT
aPsOBhKjiijfmTCEPrL/EReRuoRlVSSE7xvHGM1NA39m54Ce3Aujs73d9cX4xkHOXnTPSIwMlxHN
q7Hin+5O7wg6or0FKa9t88+45mBY5KWCzZfM7gZqyvitwTIexJppf0Qz1h2zPuxu3bDL1oLtcZ9e
NdGMx9aLIVymOmSmQ/K3IEgfrM6Jik9FhEQBrnIl2l2TqeZjrLe9Q2x9qgtc2lnx0puz/iXiXbqY
oov6ieTp5FdaJ+JuTrGkIfHP8wbRUzV8QSIdfrRCfb6xO7/xNCNg53iAkJ220Lo7ViVRUjrtDCLU
n9z7HmkrFKZkuBd1WQcpYv67ec6KGyXjcsZcFYx0jzkicfi2mTetnh0tQi/pdcy53AVsAq5Lfq7q
yLzZiFueiYvr0P/nlG/65PGsNg00FKnDvonOq+oBnqSTV36DnxM9ee1oIbx1lTwWTd3t89hqAG1T
tT+Eelj+P+4xg2I0TWyaHpO288fJLzj32tCPAmYRMAlHsEpyjuWOtmX6ULbzb51X940DwOVblxMf
A3f6XbRU6PmdXxPBhg/NkGsmxI6d8j5WPxOsyd6WIyCw7xh63o0ncfkbz282h13O2ViE6S0Kb7Vp
pLnj9IWYe6gKOiz/IZ/IMqnpf8G412lV6WDtFhuvgWCv6pZ4dKDC+lNDJ/q7lvX6nxuf5/LHx5/B
QXzRjDLCXe8M9BYKKHvDGHhRHGMgY48wlxR2bfRQa7VwAcpSDI9pJhYvrU8IIiLab9c/xKWpHY8p
xQjpZ4SBI0lY7dq+P8hWafYY9LrZ6kSbIfnfGkXp3yvfIRR0lsQGEknRko1DK0i+b2alik2lPOu9
G9mG2hgdfOaNkFJ+C52pAT6j1zAdJ7oZ35QW4oJ3hkyeMnwn43GQWZJxAo6NW9yOyzkHmywjP58O
PIMDvFTnCwoIappEQ0M8XcExCZxyeyw8BndUWEuApNIn9liZnjJ6mUGlJbqJkBF1/ganFB1QAT+j
7pLq5LZ1QWafqCnhzfp4/X5f7sMOOohlOrnsK9Z6vFF3REPFEMMCm+r9gMcXR3xZoXNDRPsB78D0
PJS9OBWIIQMDFNeNB/3Ny9MwFIZLV09/xaX+8zKie5ZO6MPILYmHbtoMqQmRXLm9Gz4UbqV5YO0Y
e6N4zW0yU6zJJms9LULtRhn6OohdPYrUoQwDCQxl4LG+DbPtMYUyUL3wGqq9RyBjafyQ6FDm3qFN
xYUUMUF7xl+BUEiLY+3JNsahonQp/Du/7Mrs6MSmCX+hGkFjZhYkzCDXZ4grjWomSII6Z11C+Eqf
mAPGr8bJDBEn4DuMzeZkaYn2ozRTGt2laKhJYfAViG/Dina3PmrpsSkyz9rkQ8yvMPVofpW0Cb4c
897eZAn+8l0aNdHRmN023JfwyzsILFF6knkJX5XFE/qbKgNLcTd0TvvD66b6Myxo60PkxFn2MoZW
dmo4IDQbR1EYe0Zu1Qfl+daDOzilv6XbLW6o6C7LM7Q3OJQEhw8EFOuSaQBG5yDy4UF3VPJQWhze
8qplkRtVub++yF9PTKufl1qY8cki+OGtsrxe/1lmow/8bBDhGNDibqx4I3QOo7saFRfJqKllyCCm
51E86VrUcCyPAOtgd5xm95feykacLL3rjC+i1MTL9U/2xkuHkSJOLcpG+tnr3jJSxb5pW+jY/Zxo
QG3DcodNofk5Du0XwDC3ovbeqFNdRm3Wonejkw1w5fxGDE0o+q5cGk+RiRl5g/oLunfsxIJjdjTk
/Z442Mq8C7uuLnY+rwO5G4oq1/fT2A5FgBStIs96IEmNKsvBk17PJt6xTLbD8xBO4fOA/NvaXb9L
l0vFxTrHu5IBIU14a9Wbc32Ithg1M2YPIUOktOuHfS/H8b5uoST894txKfYkA8EGGs/VWml5tUTK
ILVL1xv3LpsqUroFc6+IWduNS13ufrziqIGX7Y9WoLOq6so8tGk6lnNAZNYYGF5d/dDoTBMk4kT1
pnOJJBypMve8MskEqksQ+9dv7GUtS/MeCdUyjOeQ5C1//s9z4Ya+wdDcnwObwvoX0hL30+RX8Dpk
XLuBhkh3QANuV+6Nt87rw332QJqLCNAAHGtg4cY5cX7hGLDREDaQMOSEy+yuj4R4ku2cZY92MYma
UCoIjwcDQ9q4SUZKoE1J6PAnW88w7RBy6/1h5hs/1xl13N4GVUzYUYE8c5P2dTNtcpm0/WYAF4tu
PVw2cb5nR/N6oj7oMkXUkJoLopv7ykKm7oQA6Cyt875WUkX9DmJrg/aTPJ4PckrAk3pOX6Pb4bP9
cejlD5spHPphQ7sSDHFLosaNbeHid+H2cGcYiOO+dv31gkcQGVtGlMzB0osjJ7oq6pPsWh1m5Njr
LnBdjdicQbtp0l1W3Pp3QZ9tmBAFls7MakGo0g45LVsimIwxLu+m0JC8SbCuEORO1/VbFeIH3GDB
oTfcW5729fp6vHjQ+d4ozhBKMki1OVKfL4sswgMeZy2HvTznHefZE87AFF63R/vp+qUunj2GO0gy
DYtViNnuwidrRUiUSsktbktyj9J+/BxLBtMQY0kUjuXoPCiL04DycZLALI4O16//Smda3WqUsJDq
4B7RpFkPHJJEcJCKaj2AToTDE4MG+ZrooZqHKtRLbzcxyy13ZALaxzzBKba1xpKuKcSZND6ywRPO
zelBTKchjPCwCYClO7rt8HbjySKaCqab9VHj48N9BbUGLdVNw33h6uQyd6KCxetVo1Fv566q380T
Lz7sqviSUubVsOQiL0KIIYv2xtJ+Heatv7eF3EMsitgl0P38N7ZHvTb70NYD3+vH+k5ouv57Mt1Y
PhH5zIRhkr3ebxsDS8Z2AJlqPHaRSZ8EmD7JdbJR7qFopUVEbMV4hhQJEGGyzOkmXf+B3ngGFyWr
QNZNwABSvvPP2ddJGSpz6dq3hDJvsPrPC5DG86ZHOqLOeIjwsMXgcucwufFeuKxXeOwdGxwNN8i1
HLHqGOLZKtkeOwNETKnNW6US72UYOvWXW8N2lCU0nj2LjjlaHfdJwv2vsbDE0TeYptMWz21y42m5
7BrxidBN0iWGQshqXW0MnhlVqSdYrSZTvQ9VOajTzBYNGLZM/SNnteqOCBFnJ4tO+1ChaP/QpMK5
sT28tXYw0vPYcGxmj1prfo08HBUxG0AUXNCvO22o8Ca4fpczEwYMUe+Ya4e/ahfux9ays/k4lITY
H+MOVehGYP+DPh/G3TP7GgwGs8HFvcVBLp+vL52Lqs7kSAXY0gSs4LkXHXWjdxKvqFwr0MFhPlXY
YrY8tvqHnri4lzyv85//+XqgDJc4KaojCrvVI4UTvkdjibvTayzSAslLCu9TTcu+udEAQdUt6Srd
eDouXxTAV2gULT+GifxhvUIrO4mjKbMCntZw27Y+KANRZFKSAIpjIk0Vk8E0nPce7oL5RqvmjdXI
2wnyFr1k3IjOekCPQ3nCTe5ZwRDT0JUR0T9wGGup37dpnISBWajyKDw80/po1Xdp0ov43kLCemNB
vvFDc2jmFiwzaY6Oy136p35qsr62iSG1grrHONlhi//RcobOqS4At2ynBN3cjSfx8hWJNZ6mAjMT
SFyXFfzsj6bVRCQzMva6w6DUl1CdpXYvncTKbhyc3vh+9DjtBQW5iCFeva//fL+sMhjXT8USA9nT
mG4JQh7yPHpUSfEbmUh9Q9K/vhzpNZQdizODBQVFanU7fRcxbp800T61TRCTgB/vcIsQVqOPoX0X
o3W7tYzXm/zrFQHV4VdY6g0ItGc/IMATtnKbgF3eH84DfvkONkFTvRewXjCqG9W29fqbmtLXferf
d+ByWYexP6MZuI2I0c8vOxhl6E4AngNwmcYTlaxf76H/T1/1HmncpvY787clQg1qVU1kRADPT7/z
GQ535JKF/mKU0cUzBBBgcIPTmoJRd5WdiKmN3wPfnTjGl6Zdb1Wrog9NbJYfHVQDcDhF1v8eAR6O
+7CKFj9pGbc/ukT0X4qpg5Ir7NlxqbidHgKd1op8Czsas0hFCf6Efbv5Mxc5SYtRHxOkjPKE/N50
6u+MsnHBVgxJ/D1OkBkwPq0H4nbbyq23vhpp0leapIbx2ijdeFo9L9mZNu4MT2uHHxFif7mM0aNh
t5Q9/FVI4v+wSvpwW8wU2NukYiCvKixo29jqqj9ZLNGypOzmDbHRakpRq6Z8cSm10NqhXtKeiXnI
4iBUbvqg7CGat6D4u5Mv+K2DNLP8gsG4mf7ikAA9o2ShhZvJd+RLSAlaBWFjQCfVbaWTTD9K+nZj
b2aPmkiwfWACJptYyw2cuUlboDFsIe4DAm+1dn6C+5PO2x5eOScFy9SIbadV+SD5s/dhEYGO9Y1B
iwgXLTlLxEVCDDpHDhMkDJKF/VDVwx+n9agKASa2Xysmsn+6oYI1yKnXQ+XWRdVXo5AEHJujau6x
WIb5DgUL/G4n1eO/7Jw6MbCTUxvbvp98hew8BCOniAytYZWEcJBS5AVf3F7o0TEtRXoMDXcEhKmj
bQPeHdfoSqVYoHNEAyBvqqqu3FJyTIrgU4A9jEYik6sxM9wAeiHbnTeziQRkYDiD8ZekNSKyffJe
UqPvIrJrCWqCuaWBbPfLgRgU4Lrq9yxCXOoj7naCRoskf+zRcgMP6+e/aRjav8ke9vIt9gpabtjr
px074xA/0MXNvqd2xpOrF6Ojtj3Rqs7GgJrxq1KwFfAvDO5DU/npT24cJmRbA4Jw4yX4xn7l/m8o
s8yxmGmeP8azRUtE2Q7EM22udknk4yBsl1RhMJgPbaaGGxODpfWw2jYYvnAuhDRLdbjerWxVVaaW
i3gfIsFNGRXYwwOBIOENm8wbmyJDEACeuH6W/sCqnPDoTM9O3kV7k5mpHmhRFr5jvkokg+MO3WFI
s/ST1AkF/m9VDJsi5mEqJ8ptFMfrght8hkajOIn33RCVhJTN+hHIjfnEEbR9MsLYvvXzXej8lisi
cvdsVH4MPdZmF9dsVBlZJhktzErbn/08dd847tcETSVa6t97TRQfC7NcEqywm3/thhBHqtBhBWy7
Jgzzz27roKkq6BQ/ZSUet6MNaqHZQuLx7Z0RtVq9bTtdfyF3wui2LcOLXwnj3Wpf1hMqC8XAE3ZO
gmV4EyZARjeqzMx7LSwE0SXlrN7RjLLkxg8Ns9x7yhYPcVYT56tIQCB0C/OIhvSqKBeBPiuiKMKh
QkaFYIZnXejO1kxz86XXDM4Kcd71X5xMIQ2qGs3VdgwuaqYTYug6Zg5RZgCpjaxmm6q6/tjbau7J
MwTSs8fxq4PrULX+s65ciH5TbrAlpyp1UTmFZtLuAO8RDJampcu+E4GLkBnSmU3WxqRA1pVRPoV6
NA07UTLJWgB8cxrQZx3VgafT/y192rBEStFy3c6Rn/1SIi8f89oX/fH6KjMuVzelIwZ1tkCOoRTo
5w+t29gTSR5Dtp/N2LC3qhzBkHuOBvXbBoiQ2yQBkVem7fuYpIl27rWt32fhuCUpCuqkI0cxcwOT
7k9ZmgqTYz2CuubEVXSJ+miGlnvve1JxABdVspvUTBqfjMwtsJtyKx2LyOTILtUOtPXfSav6GyXb
xdgJpCiTHI/tCP8WFfqqf9kvU9V09Is9OJEJSZ9ygEHP8UA7JxkMMiEExAWECrZT/xVTNMXU6ar4
hUEtcndWOxbPSZOAJVB15R1rclYM4rW8GfDRUBrajR30jR/DQQqCIGSxNVxIY+ysLRIzrOs9qgR9
WzW4CRLE6z/6PPkyxNZXvqT4dH0BvLpQz3dRSksQdDBbaITTATpfAJUHUKWvye4RDi2sjVmF1XHK
GlEFddrSPJTxEhVj0AsrAovIOBSzWjGpXWl0rb1tldHIDaDy/BMKuBIW4tg54TunIdJyDCdKNh7v
FOWym3svCW6GYudMelPThHGQNXiIZp8TzCzdo6mIidXGqZK7FkTT/KGvYjN5Z8SmwpFoueja4wRL
YKFNPZ6GMAPSZEV/oj6yv9iICBPsw/6k7jIjr3/MzMgBP0cdU0PX6xg2iSEmDtBLo/Ip0abuJwmy
EYsa1yqgkVTvPuGQtQh34xZ/cHJ+o72vk7R3oh/mfuEAMg53NlJMqDloQr7140Bb303H5NG30F9T
IhTlXxnHguEWL0kQ3JEqd23D883oNiTrDImjhpJ1jlOCRfOerPMGyeGWymL4WpOmNO5iM+vlSZdO
H2PdyYHORI2fv3QzDJ8DaXQAyTudvXB3YwVcvEbxcgH/c0z4u8xeVq/tGFC9Mw+kGlvO4B7GzgR9
0pW7urEZZ7iyuO/cuLvxWL7KQi5WHYMF1DWMvTgrnq86Wcym1w1+ujdTIyZiPDJMThnCajeh0yCh
HKbGhZ0z5Edb8QjDbnHslwpxbHkwYmcy4U43xvcuJ9nhYTClUTxNy0+AdItSn1PZUNmPeEYzANWi
oN4h9wvGKUGExbhnGx0oqUVYVu/8IeoeyURQ445EL9OHhe5odHcjzf3TyVx7Lnzp/DadAjLl9dt+
WS3BFAW3Q+1CA4eM5fM7MOH4dAniyvb2VJV3agb4lka0tEtSCQ50GqMbJ+XlOV7dcbpVCEjwMiyB
pKsyhnRiOQz1Atgq4liHc6SX7aOf5/ONumV9ImfDpVqhZ87F6EmtadW2Ho1zyathP8BTekxdWcEV
le07JQ11Y+W+cSkm1OYiG2FehKn0/BYicKVfaE/5vkXKeQC5iBa+dbxnmkLaDfPJqzd1dft4RJau
EkMIhuKr2xcS/uUWXpLsu0LaxV7jOD5sNGSaxwgdgP80DpP3J9Tb8NTbvfo99byw+75DmO+lvcPB
Lod8uk2FrcQmm5306NcOmc1h6s3RTtid+exneU+t1COP27FwZHzXdQ0xZVLToxPPpv13MEgF23h6
DyOIHlP/ubGtxQ9bzAx8FDPqbivsVr6oqjUd3GA0Zh/C1rmZjHG5dB2eo9dBLRJOhoLn973RKkS4
dcddENpUbofR7/2Poatp91ouOZRr3jDecim/NgHOf4BFP4IImPEgApK1CCopcl2041juUy3zCXbv
bOPQpq19X/SauMNEbR8L0n82cMf6P5YWkY0oSZ/a+mZpH30yHDY26M9HWc4kfNrDghH3ixy5tC76
cmOQ2HijtLp8mbOjAgpA5ImGgiL+/C6xb1FMIctbZGFiD1sV2VKL/tHujGwrIWuScGjJG0/55SPh
A5NY0iP05d+1uDasvazgFSP3ODZkugFqaL+ULtntpLGXN77gUhqe/yJYL7EnIQ/z2MTXCEMLdyFc
obZ6TUgPWpxZfpXvMfnbwaAK/6kCqbfFtCG+Xd85L74j02G+GSQfW+cItEZAKIddrIbhtJfKe6Hn
kDJ2sDJrrwaz+XD9UhcrnUsxB7ZdB3Y5G+/qqde8CUPZpBP/Favsj1m01oEGU/ETQQAdGzeabxxp
L1q5SL0AzzEEM6Bb+BRm54vGYov2ZFvV+w5G6Mc4LFqbWBKsg3XbjIfC1rFexHHHn/MCuWMmWu6h
q3k3dru3PoZN/UmGBuIzCujVtKfIhxqIQSz3uBy0X6k+eES5aU6gbKxg9M1G696qUs3Ea+jlm14g
kVJeWd/Y3y/vPqNIChL0gB5nlLVkTDGNIh9y7vci19VjL/15x83zTkQhjoJPQZTVjZfyxZJmOXN2
X0gPvCFZ3Oe3Xx/wz4RJAn6P7KZjbtDsxFaTHopomh9tvyBgpYd0zfwwv9FluFzUwI2Y9CL/oQZH
knx+5aE3LTmD0tonTp/peOmM/q6yKW4piNLwxte82Jr4mgstnmeHBUer9/xiPLOawmnc7r3WNH8g
PNCPbSsqopSMcefj3TxNmKhvXPTNb4i6ExYeqhsqv/OLysFkhk9A1t7jALUTBr79pvaNY15n3X/d
Bfl+vJ58Bjm0HBHvnl+qzKBDRgZZwqaInU3fDz9g8w1frNaN/uNsy2XYA+VnQVq7FHNrhgrmlLyo
R4Oi8v84O68duXFgDT+RAOVwK3WYZI/tcb4RHHaVc+bTn48+BzhutdDCLBbGXizWbFJksVj1h1hx
HpZp7t9Dkf8Zp7Hbg9zj4XE7IF1vUABL8hYk4tJPs1cBCSaxAtuzp6eDjfMvJ8ziwBGha/uuRXPa
1+fCaOGwtajKL5b7cnvw6/MI5ReKnEoSJIXtVvlWjDNmDwqRlFXL3XPMsScs6d6ToxbhE+TJ/zAc
p16DdCvRYGtUDPUKvLa0Ij+JTphvcOFe/LmhsWZFTvZtQobgeHt616eCqh2fEWDcnxR2tWtkhofj
os30Otg39mDPD2o5hIdmGGpf6zTlsZyNPXzV1qBow0p0CygFCEeXW7Ug/ZiBInJvDot9WkrPPSN1
Mx89OhKnzqzyJ7seo52ZXh9FAzciJDMcoO2AcVdHsXYWz63NLgcrpGfPSu0iH8K2Oni0U3Zi+Nb8
kDfhqWdTQANldzm/qHX0iddyfppmbXwqM15hYV6gsxoX7k80lSYglbviyleIAbB8YBR4zdICpk2/
RnKBDXKEgrXwyY6m6n0k9bTPoqAfAjRKv0cnEE8FtExpZaA79ibJ08GvC8/66WJ1hC94qv64vbWu
jy24NkosUlkOOoE0hPy7Mwq8KyoHVEFPXqFW78oFcupg8BIA6I5kldvFR6czlINXte6rPzULjwSm
Bn2Bje2tNnXME8VdsAM5qXWWfR476iiWXg33SeLuuQZdcawcDxIPvAxeSBSQ2VeXs7R67Pl4Vjp4
TTneHc8g5y1dJPFOinjf5aNltH5aDe5pSg34IlYI4ynT8s85fqqfbq/3VaTil7AHPKmhApRvfY8j
FuTUhTU64MaBB1X6/JHGe/J+6SI8rArT2rm8rz6vB5lNchRBxpAlruEgeVoaU2TYM9Zwc/MB4MhT
5YE3ULqmfkS1IHxnVkP7c3B05e618wRpjLa0zjOMfq21OsgsNl5JqVBPzVBZdPt5/5jIPD87WfQj
K/U9wOz1ssLzAVRBouJSuFk3wBNUYPUqrbVTj9acL13iz1h00KCaKK2OQ638uj29jR3FM5O1BY9P
k8dev6ESr1QXWxHaSaUM8870pvR5iOzkXMVkwf6Sj40fejbP4zQrvqZWqZKmJs5RmPny5fZP+aNs
c/HaoethgmwAViKfHutAXRX8TFqoAq5PoS7PUdp2nT/O3BI0P8YouqvAr/bv1DrVvkIbASvnTVY8
HXh99SayzaV7wrNpqZ9oFPbkzLkhPusOoeDYhIYmfKVRJyvAT6YBkL3AyPG7srH7oETJF7911DUS
v8ROeK8Odb136eYAjIAcKAvBa3FNNGP63Oom7VSBPF8AVznOJzwpq3eJ6cg0I0+PCbJch9ye94Ar
Mh78vaRYjsBSJ9Omdwd8Zk1J7MESDDhYiSCbDD2IKtd+SOux2oFRrG8gOYqUnOPrgZa6+nAzSgZm
G6siKDVd/Eqd5Hs52/nbPvGUN3SGaOPG7Z5W0NUF9L+D0nOAJgWPd611P7km5ITRFEFENt/QNBwN
0KJuc5jNSP+otcit5TXkyADsWvJS9Z7rC28p32Lb257bZGx2AsXmIpBCkX9zByMrdRmazdlGvcpL
VBAUJXHX+WONy3otIChcZCiK0Tg3wFt20tU/VcXVJ6ZWjhw8OSsvWnuV3lhF2NKR7UWgYC/ph0bh
nZU28z6WZhX9ThvAHGmNGEI3qvMZFnBJGb6J7nOdVyYiRctbQGnNyQvBFZtOibV6OAIeK/r86xxh
thHlbrxzX14J4fLlAPXBjCBMc12vHcTSqptRgwdW2Jq982TjHe9HyPkhs6ZE0E/s1oGZkXsqMg7x
dGrNzD7g7OocHT1VPgLyJMHp073y4xVTQf4qCX0E6UcIIiBefj9NQR2ujHSJZuyn73rejfi1LKP3
eRKV+1AloaIeEGzVokOsDFQUTZRgFL+o1eF+phpK/5PnOhZMqqI+KygSfq7txHhHhTAZ/dICCHK6
HS7XGab8vRxt3no8osngV999hG9b9mO2gPRLuncIgycPA04qh8HGA/32UFfFij9jwdVCJUDyFP58
0b9gWVNuk7XlgEaSLHE+c/NjPq8Ay4rycfjZRKrpA9pK2d51clwUpzuJwa6D2z9ia748NyWASaYc
a0qNHXUErh7N3soQv+MyBt4Sat5Hre/MXa83WYRYnSmZYFH7klcRdIHLvdDydIYITdg0xEB/rVvi
QKGucAc+AeMu3IzwV6gy557Tpp8LIMF+Ns9L49dGOL2/Pe11QsDSS0k0yZQDgXeVEIwe4pRV1Iig
oBMTtGkvDlFqlg+q2i0IYApj5zXxh3m2nrtG+4KXNjQJ8AqXc1fQGwsZT2ChETb3+gTi+61VzR0N
N9ihg+92IdDDXOnI9YdySO0gAlz/Y7DgFvqmtAc8ZkbaokkSKsvPMVWQTimHGDVSxxDKeSbSYDLW
mu13bLDN91E+F+yXqO7vLbu3pp2ovLV8gAnZt1QyCcur13y0dJ6FaBA1va7IaTxnynMUFQoBp5NM
19B8e/tzbdwClKRBskBwJJlap4uo+qdRWlVLYIfNHGh5nB2V2cFIo2kKRM2Vb0OUpjtzvDoZFGDI
TG3QBSTiyApdfrFGRIDFUPTBWtB0H0dRQAt0swjxGX3PmPVqenIoWRW2aNPw9JOpzl+BoInEJELF
ZSi9U56w9pjOSVkusNksGz22yj6Kqut31nRzfryrAINz0UEeuhw0xD7aNDI80+gkNz+AkMSHrlXR
05WS6Lc/31W+xPzQ1JMQVFD4fMbLodqU7T8jpHVwKrv6mkI4CewEpNzepb05jslGkWUeKfV5OU6N
ARBquxA6izAUD1RDKLx4LOwhE0n40QizMkAcpf5uj8X4HGsLcDZc1ILSLpBNCXvH+kVGbJ4yBFt2
VuDqwGDFDlUKnDWlBG7pVRrT6s2khzjaUD40vBfef/MRMs4C/3PxziOiSDv1+I2PC7rYtbEMMmk0
rplHIx5NdoKV6KGpHOcEFAIgCDY9QSS8vY+7NTU27Z/pcUTXUT1L0gXUAucER26g8ilAzi6K66Cv
uvxcL5qys5RbU+OpLiVB4LcDvb/8yJDJstyCWXEYaEy+xAXmdqVTN4+D4+5VfmUYuwjafDW0V5gT
DACawququkvHXjUFmEBEb5bkMKVNgUz5bPzksBhPHT4tbxG8GpVTo1jpUc36/nD74MiDv/4BTJOQ
R/MQdM0qMFS9GjphiTG67TTzG/BXynPZFs2d9PB8K5Y5eZhQgItpCM7F6fbQ15kbk6cCo8mKFMdp
rSfEs7bqNRsm65T2VXW0zSEdzzBK8M4m6Q7vGpVn1wNFCVq7MfJPzjk0iwnXZTC55r+ZKJuToyHT
/6YRufmpWajN+p1Apj9CnRHJU0hBOxF7I4xe/OLV54qKUolanvkHbGe6F8dexnvYbylcWBPEDqLU
L6NJVn57nbYGpdPEQeO1wKaUx+Ov2G076ZzyAK4Ooxcm/y5tiySXlqHCU3TTM7i74RQBYTjeHvT6
mcbHYVvSWCaoQuRZxRMkHqgKKkV1iBvNi78lHtqtpAZRWJ6F0CBXhimgy0PdjuZ9HnfZ905YfXKE
+T7P70QbooblQld7uf2ztrYra0B6wzOfk7n6AFWegjiNyWnGqXBOmPrNR3dEjlDPDP19hik60PXG
LE5une9Z8W5FIeARpAe4/HFbr0K/liYqtZO8xjHM6NE3VBGcYfWtzy71b/xgmx+vnqo0Ueeju4is
XKFFGgy+8hhY9KHLGv3QuWaKpnAVBlhzqsdijn9XqpF+Ra1xz0dgY6L0MRD8oewgJUdW4Q+5nSS1
KMYeigj/Pc3si/shz4aDrijmOdJ2s/aNO9Xm+pY5AhQh/rnc35NjNmEVRizsZGf6aXCtMr5HemVX
RkV+oVWsQzqCjEv2TIEdrAaqUYoJ3YlebGhIfJlYUvs8DmH3NLXdhITNrJwbpc6CMKaN6k/l0L+x
5wEVgDIqbJ/KROxPmp6+v/2dN443aAj5JORf7OnVmyVdPOT1Bg3ZQ2gAbwe9zwIF4MRd2YbdB9B1
xlObVp9uj7m15KQAkMpkc4U7brXkIsv1Uk14Gkz41eRRbr9xlLjZ6ZVfbSQAQbhR0GWkPskgq1GS
lJqcQrOFlS6TAHwkbrBhBWF1HtSHAdzQzl22NR5RQcr1Y6ZAYetyVk6td7o6Om5Q4Z8uS4/emQal
/UZ1yyZokmkXISw/zcWGYoKSv8eeApQK8uhyQEHPwNFnnQF1Ba6NksfOLyHqOTp2eL8mhxqxhmfQ
SNiUWqJGdVmPUPCK4UnoSHMnHfRhQCDntNJb46hgJhvYOTHmZCVDXJ5mz00WvzGQoPaXWo1B803q
eMbHtPN8JXLqPfWLq53IdHiLINYBR0Ez17V6A/X8sqwLN3AtBVKaDmwVGR2oiMdyqfWzhgjlybBe
rXqHfJRB/kF9gAYQ4WoVb1Q6XQuyl27ADY6iUTPb+I71pSEOwMO8w9wtHhWves+7/OoMyGGRvbNI
BgDZr8NOsagIf1sMa0qjsTs3dTCfwH8+2lPE3hoIxQ4KfTiAcamubtJa4SXdKIUHSRlwuNnb04eq
sorPt4/01uanwyINnYlvLOjlXpzsylDzZQF9rzv9B23CNq0a8go1iES97xvkqW6Pd5Uk0zWTHHw2
Pr0kupiX47XxMMIPK2BdlRl1v6HsqqceyWLNr/Sq/Xl7sI2dSRBh7f7sTm8ttTHB0UnSjMvPAkf4
RjOWf4Uxpb5ZZ8O9V+bFU87m3cn1NhZUKpjj4wnIhlfVKnotaJjx0rC8oHJHKG1zY4NOnAnOOGv+
FKO+i8ffiCbc87IvS9tB8jYvV3S2slpUFF8DgcYTEPGiwLmCl3IzFDx9MqTro1yJj31LYX5unQYS
r/DO9tSOd6gV7il+bE6fLEv+HKL3GpOCxFBYDXocShDFcC5GMqtJFliL2PlKYp2cbn/hq8SO7SRz
Kxe6hQ6hU263v5JcB9OOXMSEUqUMLf2BpNd5m3nT+JTC6v0pTKHeNZ3h4jOiDcbO2Fu7CwqkiRms
TEPWSaVJlOlHB+JKGmJrbKGb/NQk8OTKou1ehiKdPmD+O5v+7Rn/aYutbg8iHsQC8ixQbeoq7nVU
8vE1y8OgbCNreUQ1Jhu+AaRHGHuolLmrAtitC7ICrpe/d3H1G4Np1Ppfiugwyu1MxZmh/UGiPLuO
tE7U59D9EIb61AYJTxG8WmLazr7XR30TYKPiFQfWFhZeE86x/lMUavwxHbGioMxnIxJtjjaSuCbC
PcfarlDrRfDWKx8zZW5zCJpRrNxHrdIaj8iSjXdlolaT33ZF8ckOLVS7F8MN850G1fUrRPbmZYME
SAZ+rn/A8n9ti0UNk65KZ3Sl2sVGXgNBxX/tsCoeGpC1h04XxXd0aFDdGrz6XhNp56e1N73kCi0S
P4+Wes/lY+NY0MuHUU2OgQDJFfJmcFEA6WY9SMJy+CKayZaXYzo+pogPSxnkKNoptFyVCCg1/R+m
mBQR7vHlyWjKuqkmLyVjmDszGARdVeDc2nkpAD76o9JT8k3rBhYlmUhLsS2B+Xp7q25MmqcA2SlZ
M07Na3Nz0AQKhbxWD6ZlciDf9GWHa22uekekpIe3ChogxWtrh9hKMl3U3mSXEMjC5awrfFNo79ZG
UKWVeJrMpvDxrchhdQ7i/rWzA7ZO3ZdBcGq7cjHQY33gxUHDMU8n3jtquZycIf2Zumly1LX0tRpV
BFQI8sQ6PDpNEtVVmLeVSTUS/gSAOBFimMf4XLt59XnRqD7fntn1Hc1zigT1f6GqOAteLuIy6m1U
1baO6YzjZf5cJcPPYSht50S7CErP7dGuNyqjoYNCI47rgs7yajRnSbSpiA3Sx8x9dDMMh314Skvi
Z8iynkUSe92hzxRovFpWVz/1fFL2bq3rXEvCypE6p/uCX+f6YeO1pjNE5gT6tm7VR5EL44VdM+zM
9Po8gHhGig4UMPwK64832l9RabKwH61zqHrpXCEfZS+hccgMKMYlNaBPwiPq3l7aK7SH3DRS88CQ
DUMoKvIX/TWi2jbIWiUF5J7ac6uTNuvDsR8698FCof0dOAIYVLmdFUFTjM2XkLYDUghl+C3KG/3d
7d+ytakgDKKqQueMR91q/3ZLPzbzBAert2OcFKsivkt6Wz1Lr4Sddd4YSkPjiZe6DQGLdPNy1vNi
GIoDRSQIUy1/NlP3hSdy+NRF88fbc7pubcNDIKRTbUEPgU7pKshiyoYrUtqagTO35QcKX/XHkASo
xmLQrVvfKqtkvsuaqJv9OWkdnMQ7CEW+Llw3o33TVLZv2fBgA62BPv/6YyzdUEkOKUrrNPgul8HV
FbXLRyDluUttJhjqIbxDFKKYkHTQq8POUsi89jItkZuMVwJwCFx8ruoRFmIlfTcYQYGBiIFAQ60N
Aj8mTcQf3GwxIS6kUfttzj3q8Cj9TP8ULk1BYfL/Bao5VdHe5pefef2L+PyI7IE7p4Kzmr+8etSi
TVXs7uL8iLKB8XvAE+OEk5Hyq4en3MFyKHBxAIyQYE1RqqdF9N3OwmyEN1D1RGzePSAO1oqIcSmk
OGSEDlAdzsfOW/TDgmLD75ln5L0o67TxI09JYtKOMf9Gi3TvSrwSNSIIyEwINB3ATfjeq02aoL2p
hE6hBmGZTw+q2aePeaq2nyy8iB+oTuKBVcxVEDeCFDBXIv37qKrVXT4n47lsu/wFxE31farU/MGq
rPSf2xtnI/SiXc82pebBs3ANLHRNJEqLKlMDu8b8yUApHJWQ1o53FFivMQ1SlxO0CG9d6JFQAi5P
w+KGVbNEOILVjW6jtTeBWGh7OBZ+NNcNbFJz/ljzctOlAoT6nAoId4i0Rjup6cYdQHcIvpVUC5V1
2sufMdnm6DhJq5KMFfFHPUuaL6aeJJ+hLtuPMzjSnVMgE57VIYB6ITWiuHW4Zle3q4a+jVe7WIZY
KAw8l64THYcpLx50b6rve6MFP0XT8f72N93cchDKOH1gKNH2kb/qr3tnYja14MUU2Nx4P2RT6qGe
8uVjaybF3ZykZQ5xNwz/te2l/VpIFSsg9tJ0hfe5+taMZhsZxUgtApG5/fupqDBGuv0TN9eF4hu1
CFsCBuS2/OsXVoLeD1eHFoiyje/1Dj1Oow7jB1hraPTBuW7eO6Zodzb71tdnB9KLAr5NpFwVB5LM
G6asLLRg1KsIS9hmSd6T8OD1MRd20gT6OCIVc3umWwcMOKBkb9g8Pv600/6aqdI5am02ixaoiyle
8In7jPfl9O32IBtXLnnw/w+yijEZ5g/1TCcqWFpYTQc4ZgIBPi8qC0Qs+/m/LCPoVXza6H1SfLz8
eKFouflLnKVQiDWKIy/BYTpyCJbAnBoaXl28p48vf//6GEkpMsciByJBlPP/exGFqSllnZASJ3px
Xw8YIs5ZZ50GjHTucSb6Td2jfigBX9+9fmGhUMAoosoBSmE1sNenInM6tAuA60LKNEwLfdF2fAun
rdvZKJtz5DBwSUknyLU2ZwpsQbEJ/0HnRXP7TSu0cHqaUzyhafWWBnJVqD2dIgM3qUDX5ui1htDy
nuJQEDA4leA+VnsorZJ8il1erDqiVKdoQRKhVUX5rkEQ5Xh7VbcSN2YI8AF4CTfCWtGuppFV4a+k
B8K25/kRZ9ppfkZYbYoChBFYZGzGwRSXatYqb8ZkMvvHIl905V3eI+3h97XWOienj4fPsUpQ2wlO
W2EC1V76p3S3ebqvwkRoY5McodIZ6BHsrlpL8PMQcfeEq9Bv2Gdi59G8FQsl0wpRHtx6EbC+3Nz9
AADEmqlhoUsN7bAwPo/Yr92FQ56f3alxDqEZ9zv7eutpQpGQ5gcfgYemt5pj6ViJMWqEpVK0Q/nF
zeb4wWy9Zj7i7ZTTEC6qhs6lUAZ/SErFeJi6bCp9JQYv6PNUjqu9PbERKHmJgnbkSc/zd03GAgag
Vew8NYiVuVLOamRp/QmccZN95aUhqnMU87Y59LUhpnMcJfDRSO1TlmfMza+pVugjj3OAyr46Y8QD
8lyL9jbu1m+UO1Z6qMDDWdNIe10peC53KnW8RqNmE+qnPHeX0+3jIYPKKtrxtyNJiugA5ux/kPt/
RTv6ncOICzsOnDwr7udKWJ+LYXivpo1yfu1IBFV2gOzL49O0voY9L2zbPqptePxTcU4iF0UOKuU/
0mYsX24Pdb3LGYr2FJ9Rjri+B+MyiYzO6OygcFTEjRNFPbGZcEtQYAAsijadZmuZd1Zyc1BwerLb
B5xtLXLQCNOBs4g9HFdSTwHDphJPDcA9eQhNPyWFOd97jarvRPLr+CHbHjqhgBob+Gb5q/76fjkW
MobeOJjSJdBBuX/RRplV64zwTnF2Kqzsbi/tRnINL5QWvITrabK1czkgSlLTkFHgCdplEZ/ioqb7
DfQqf4H+2x2B8oZvNMT3jmmrG2/C2Vk+dtWyd1VeWXtIJB8FcWmbI6uA64dOjOnjhFycTXZVa06G
7pVUkYrSeUR8BaJ142t6bzxEgzN/76tYf86FVNqyQgg+vp7azb9qZbvfrTKte3TCp+YLSgZoXsbW
vFR+Nyrz76ZxG+/k5ab7kJhWazzA9VA+3V5NuViXp49pUDJlOYGwXvWjtXgxewMdrMDRmkk924WW
uBj36RVF+RhTPCDX83waCGHZMRuMpAoqahTmTg5/HWkoHNB8pLSBkjKaKpeftNXtTg0NyHt62sJo
tNLkfYf8xs5OvY408mUMxVxC2ShUrEYReEPWinDNQJ0nrfrQjHWuHEzpulwLHtQ7l87maFTBeHZJ
0RZrtU2xHR2yyPbMwKiH2ngobM0s3wgdWaLAsTskA29/yK3hKEKhPYCiqhSBu1xCoc6SbYW5h+gT
97vtpuVxCOPka6XjV317qI2vBWhC2ifDnCaOrkpePXZv0nPC4RXdxr80ZPU+11GykydshBUGYeXQ
befxYqzCClBgF4wjgwi1VgwcEqrsRFEvhmkzt8K+LxB32DHx2IosF2OukkJPBw7ijqWDaQZkplnF
KgntoPnUw33/QGUzehGL5qbYQk7zOZ1j9XHs5unL7dXd+JAXP2K1b6ywFea4cCIXdCOPjsR7T0nc
vncBcLx+i9LRhCgDIp8ts8aGgOTrCmqKbgCRhM7JyKI/KKIhQCmz2CsObCRhIHmoC8mURz4QV6tb
0zasvbx2A00Zc+Ncx7nxzrQ6YZw9rWiyg5foqLzafSamO6ed2s/RknkCR5hougfvGhY7TauthaY2
zC5monSOVjsM90CzpUfNNs46+zdkzOIHD/h59FNDn/YexluDcVZ4hQOmpUayGmykhV/CcWCwHOmY
Nmrcj+QP7Z3uLsMOnXVrKLzwGIaHKZfTap3NKEnSUUudQFscRTsgNeBOfhO30XKIS937enu7/qll
rW4QPiZXCHIeUFjXy1hU1Dtcj4PqRrqJc+k0DX3Q9MmQ+Hqe6y+JSBaq0DZB3YfhUp7H1qACUwKQ
zPsxfu/Fpn6+/Zu2VgBvRrJJyATQrmRs+SslESgYRjGCvBBrzOFTEbVjUNNThzVtaTtDbcVClKVY
ara06a3ZSy6S/klOKTRI0qn9nlJlf6iROYt3orvcHqtFpvgvu6y8I8G6rrZP6Cw4TJYAZGLLwjIb
x2P1N9K7KBH1imH4rVKo31Psunci/UZ2gLQg6AUearK0trpUzMpYCpIBN5hq0y1RcoibU0x2aZ7w
rRORvyx2IY66Wkcf+3bO8eCeekfb+RFbqRYxw4NAB1Va8qQvP6fnukUdGo0XhK7Xuw/LqGji0DpA
eX3Qa8qHWCmKJJhtJ8J1GYBK5FeultB6n7TxrToJ8c+S59U3ILAs4GBrWDmbg+NEPua5Rhe4aoca
q7Ok9b3SxBPoFaPGOdftpz59/dG0SFulLo40rVx3Sco+anVtAM9VewuWTd6ERUSuit8d6e7n154B
HEcYCeQGnU6yqstF6yZjrsawjw90CvonJ0EaBj3D/Ig7XLmzOa+vaoZyCWpw2VFUWb8AtN7J6iVq
44M1Ds05s6WqsmuU52zBaBjAxh4W5vp4Q8uVKTdFU7DfaxyOwsvKAxirBHUIj70v8/5QW7X15A7p
HuDpeihpjSkNZ3kxIokgj/9fkaQRSZl3PewNxdBLysYZlz+VqrdG3Xuv3hsMRUEArrx8Ta3Bat48
upiWzfRIK9AtbT0Mfiqwfuhcozq9dm9IIQApWOKC64H7dDmrcDQaNETwzrVDOzzlFD8CdOzUo14j
OnZ7qOu9gdjcnycwdCR6IsblUOkA3zGNMyXQ9Ryxu9SzlmOihAvoJee5UM1/bw93HScZTm4KeqUu
JEv9criIQtsCUDrkiV+FSDkg4ofdXL78nKvieYm6YqfRfCVQy4tXxfCMPJXaPhyjVWxSUT5GxwyI
ociIYT4tHTRLU6R/i8esVHvZlYwh/8Jfa73B73tL/eYixpr4hZrq/6ROlb7xutZq4EDh2vOWZsak
n9FDw7LHF1WDL87tBdrIcbmPefGBCJDtynVXICSDHWjFKMEcVvaLjdHIS0bj2G8GzAr5eeMh8pzq
zk6NBx3t5DdRgnDp7d9wfatI0gBaRFyZvJ/XWLZ4sSaTshYixZONaWUlMetxo5/Stqiov9X6vVOH
6RFV7hRdIjhVt4ffaBjJlIRbVJqS81habX8n9soJACoC/hn3hO9B0glSJPN/64aCHQTarZ1fwLT8
Fi9a+yE2RXKiljz+xm+gBfduDGcr1rxTlY9jeEw9TPZu/8CtTQzal9o/4VtSKy438Z9aYKo6xLfG
c49mFmY8SLQYG6N4OCM0sRy0rmh3BpV/6WWGQddOQ0Gcz8KBXfcK86RrsRJHKpnnnfUlrKuKK7Ed
D3rt9IeFkuT9kCRLkCpjvAPB34qxUr0C+VpaZFdOrQ2cYJCiOTKymoa2Qao7B68I3QfDKveqNhsr
K3vj5Mbob8ndd7mySqwn5WKysnCdSQ+dKRNAxRTDDDRtDg/45GYH+n97bfmtQ8ewpIfQMh3+vdpx
GDkn/OHGinRncb8lddUfaJUOB3VY1PSY63n0L4o6XniaTNSqoIhbnh/P5Z6c08ZS8zsQH+PQUSlY
U1AFAjfQRiGeLvglRoHljuD20Xkczpk27mGtNkI/SAAUuWjw0A5cX2hV52jhMBTRwcsHB90HvYo/
RJFaLb7I5/DB7Cxr5y2yNT0Z1zjYEia7buqMla42VUv0b7wJQI6SV18LFWQwmhX9l9tndHMoaXzC
3SZzrNUZpZA8RB7wm0AxeTnnplPcpV2CV8eMZOh/GIoGpJTCkkDn1Z0WdlONAJYRBtGceiikmqhr
FEVUxr6S2nv39da8aANha48QEqso//tfCQ9M977APjYMTDMah0PpTWp7RnwZG8XCLfpxJxZvDcft
ifYSPQCdvXI5XGY0fLFJCQMdr7c3sT1lQZWjRE5qbkQ767h1V2PSyLfirQ8sdn3vJDryPEOXkByY
Y90+hlbSvZhJln4xaq38V4RZ06Hd05hvEzVx1BMvmvTdbJYWHmWTmH8NmB2ExMNoRladRAY7GdvI
ngfk6H/f/uKanPYqGNMWQvgeIS7uAHNVYYNissQoksijU9SIG+QuBG0lrPtj2jjmB7LHQfMjEdfP
daPGy2FBm/GoDGgaJ2E3vLUS9C7BlAAVVYbGmHY+2sb9LV/88kEGNpSE//KjRR3aZ+VikT5GjgLK
KHOeYF94fqtOxpHaq3kwqhn/52bsLD/voKzcXp6NwAIVFzk2zjnrsyYhREkxeWYKmhAP0eHUDsoI
7p6rMZznt5BW9qpkm8NJrQ4YgDAO18+b1looGnsETSyMH3QrLwNMw0mTunw6a7N6vD25jTIZxTg5
EFYeYHDXF3EhVL2bVCwS075PTi3FuyOMi/jemzEvaIysLrFBsIaPYszrL5HjlfdxN9r37SicnRfJ
xi4E0YlAMLV54IZXqO5OHwfEqJXAGHXxIA1xUas1u7vbE97YTdQWCNckzxzPtVwB+Y/iRaEeHwb8
He8yEUfvlHTyHnjU10EBXvHUc3T8pUdHLNGG15o2kMAjyUnWI28pevOrzVwayuAaC5Afo9a1U4Ff
B5bTGjpzbWwerMZSfRf1kZ0TtBH24JDRbP8DkmPalyeo12ap7cOLudFC5wg0NTtgpOccw2k/6l0j
E7k54O9L8j6nZV2hagndHicxPmiiFUkA6MT+bDbT/NCaanzUvWx+MudE+EgWU42YMkgVfZTsST9s
zJhCA/r1YPOB6K+Lv0nnNej42dEhEZN27iuSSuo1+c+BZG0vzss35Sp6mlJgA+wMQAN1rWydYBHl
ACeIkZnIq/uaJvbH1lb6c5lk+d1YdM3XPOs9eZ+WWJdD67032xqeSm6FP4YGovTcQ3bZefRsRBGY
NBJkIX8SNbzLT96CsDCNFPSG4iX/Gh2wFiOK3aNdjOm58rp5J0ZurTdvHN6mVILhpKzKP6IxwV/W
Op4tc0nfecKWhPgsk76Yvux/mBuVViBflJvpDK0Go5TboSQ/MFjVqbxeZ+/Jy1P3viotDf8Zoxc7
A25dkNRjgLdbNNiITav0y5n0PBGIexxErernsTecswOx9hBa4RlfomeguDDfPa31O81czjWupM9d
O2qHDnG2h9RAwXKM6vB4O5RtLTrvGOhSNFPJQlfXdorD6uJmRnKo1AqdzEL5MJhwxrshjHY+r5zf
eoujW0x+huMMyHl5BP5K0yhkqsKxCCCUwZ/tuC9+9jgA+4ZT9U9eqdnvLQf+v+co+U7BY2OKtEso
ukEw4ouvz3Go2GYYhmV0UEqE8eZZkJB2CTx8Y/wPuSEQF9AxlHIkN3u1muCdvKGvm+hQjaU4Wzi3
P9oxlKmsK/fkBDZuOqphBsfyT79x3TBYQlT5CzkrN9LCN0YcGW+qSsTnV28PdLulaCLlFyC5qwnB
1orzxlqiQ5mMEV5V7eA1x3TCm75L1L3GxEa84Ujy+VlBGhPrZNcYe+BBCVkLxXLryStGbrOlnBM/
abyxPYSK2X+7Pb2tEckXwNtzqok8q+ll5VzopUGIX5oqPLs98u6ucIUf20b0CGJpj3CyNR4PPZQ2
pAUNvsaXZ6CNVDE2jhUduqZBfNexxsBANDWIRex+yjo3+Q+fTz4cEEKAiQXd4nI8gahP2FVmdLAn
UtwspARjLxjaYwW2RyfYOmVsFKk34SDXut4pZYPB4WhKG6+mFockrNrAKRLrfcjN9PpUhE3yx3CX
mAWb+HJWjuhhe5VGjqKxLvwoHJQ7NcIIIsbT5/WFHupLDCbtZUB5rIZqksRzSsRdD8vUdM+GXtgP
WN5OT6lQ9vjsGwtIK8LmHQsTgYtpdT8UjVsA60+ygx7XSBZkPVJMZtOWjZ+N47yzhPJ3r4KxZH1I
71wKHlf4TmMcXOHQjDtkltp8Bk/TPHbRruTJVhEJoTL4hhDMyW/W+x081SD79Nmhg1x6JoP8GFuh
ejcJF2csCO2+02pSqXMZoF6n9V3cOq91NSRZhnwoKXTyAGhrM8WGb1p76cSy2k6NRZD7ewiT4iNC
oP19NafhzobZuuZpqVIsZjiefGvs9Uz/Ize0hlaZhvQHmhll85iDTXgY7HA6zKFXvOmpLN4pfekc
BzNpnoExli8dGMCnqDTNJKiKxvhhWlPy63aw2/jmVPNwfgKrQUFvfQ9qNNJbo6jSg0hGFVikAsUl
zvboNBvXPPuJ1joofiQv1v3CcCGVGjAx4ZMvLvw9RcUvU+dpgq2uyOzzPDn2ozJMqIInSW3vZFkb
h4giGlGBBxJ14XWSAStlAaSR5Yc8X9J/SkeJnqKpsR8St9yppm3Nk349wC/KCXRtVleHPjhjyccG
A1K29gOvk+yerEA9Ur03jhMK/k+IM6dn0gHz7vZ33LhEuInp32iUWmRT7DL8DV2s/g9n59UkNa6G
4V/kKudwa3eaCEOGGxcs4CwHyXL49ecxV0xP13Rxrnar2EUtWeELb+i8kjnSRC1+K8+T+2lxNE7E
Xi9PYzNdA6Fdmiq1Z0o7zABC//bnf0VuKl99uE+ArKvR1AeazjqWZeHG0MbyQ1X24VOq1y623ax9
+j+mCmHOIj4FUXUOuSflKVDpYZFdhCpixKynjzJcvi3mPB9DEQU3rw93afdQPKAFTYa9URnOJrqA
OnLLGYkC7Ykv8+BliTWjcGvmyv79+lCXPuLm6U3QscU657KinUA/UKxmvbMn4cNzE9Z3oermrbbo
3Dp+HV0Bir08/FTYKNJA7qKgz0v2fGrFsA5SVwZmiMVaJXjttI9Sr9fkPl8u4PNRzuINvO4q0dYo
Igx2bX3UQlBhs4R6O0+0DP51AbliANrxsvChSJqfT8gyhkXm9bohV/PgPdKt3/AA9k8RwPm7Wuhr
kOEtH3z+YG5QAVow5HDglM8LiO7kWX1lZmIXbtYZLamqjCuIco/mvA6oz+BuHHsTGVwwYxDJu1YV
w5W77eWW4SdEVAgAEYDt/PPY/nUMuxQTIBN5oh0gu1Cinup2H7xZjrcpQgLHGpWcf1ZsxDRnE+7Y
ei8wTs6fby3cPMUtV+xM+mr7qius4xrmEa0o95ocw6Wdw2C4KtNwB/+xTf6vyUm3G6jy9GKHAI6i
60yz4gH23zDGiNxHV8iOlw4DigtbWoPoNinU88GAoakwiyYUEl3Yt/SDRIwRa3EtFNiegPM9s3lZ
ATeFNvJCaq5CWxH9IJTAil66VKh8Hde+9mlUr/audObosCx2ve9stRzDPAVlkNrpr9ePycu7m1eA
Ph7ACcqVL1WggioP29BudrrVUexM5FQCHMoN1vVlkrrzcsOmX3bm0ugrpdhL23VTxybAIvsAP/R8
kXGXX4O04y5QVbg8euXyu/Zs3QCORCMZU5Rp//pMt9zpfLXRYqDdRLRJanz2IJc1MOnMZDwzWH9O
1uqOcSsmcT/nKkhQZu7iMVf5FbrqpeXdsC9/7O/gUJ8N2iKQ0teqELvIpSMkU8IpVBkQfWm8CiCH
VR2rIio+WcaY/XsVOEC3YBMeRplqK8o+X19RdIr2EEqxRjfmiWMI+bjkuAUp1Kp2tfDaxPfL5UrC
fKHUz2NMz52eCFuKqujzUQ0Rdr6OUM2kRItqk4iM2k2K2ne+cUVkap8pvNFvDKREVTwE6dyAGtED
kGi9qa/Kyf53ZBU/CFAEOCTiE7oPz3+QIAgcSxOdv9UbrLivgvUWiX30s2yV/n59h12cfIRPOQJn
VPFeoMi9LpOei+cJzq3+tOvKpuriHO2ELg76gQfVK/R9O+XrZ0DvRGFkjvpp8bLx2LtllFz5MRdu
l63Dw8sX0YPAlfT5xJthhvLmbOLWsguOkNXrJIu6z3r7JbOVFqcQm2ki77C58VBC2aUqk4d//w24
HvEz/vivInH3/DdwjzVGWpGJZ4Rl5kOfe9ODGy6Rx1kLxl+qSM23HgHicG/4Rf6pc7kTjkSvbX7l
bbzwPNP+3Tw3WBBoEmeLMZfGgvN6Vu1WS3a342SHp8pqplvRAhkznNS5bZWuE+Qgxo8zFOYr18B2
lz2/ezYrgE0hGsE92gVnwy+Fa/WdRupqXRqZ2Jj3JbNj5LEejWH3+pq/vOb+8E3oi+DqhCrd9ud/
P5T12M0F3rQJyL4Igq/VfdJdtezQV29uDJxVPruzb9b/vtsouCCTAT+adJp/fT6sagdrxlghwtNE
2ScJ7WdXuVI8wOuadtigcuWsvv0e6sVpmcL2zpplc+U3vPjGLKy/Nb140QBp/BH++mvmRi1lrRxc
7herAPhVFSBF0Qpoa6hU2ghiK1y9d3m7FAqf7GEWewqk9c0/rj6/gSYyjUXSAxLNsw89GWAe7LlF
vzH1sttqUe0xcPtyn5dG8DSNNXbOy1Xb0xcv6Z9B6ZoijLBJEJ6lJdKSKtNdh8ih0XYIouTjKe3c
cS+X5rORpfr4+hxfkn+38TYRHhiHIB3OQ2uI29pBg3lCebOJPrW1390OUS5vu3Vddg5KUScV+dMt
D3nwdhjL9AnHUu80qmi8b2fT+dZnavGufPwXD+1W8AP6RgN9iyfOQYvVpCqUGIcJqKkRHkTb2XjA
C5W4Qz3HXlRNSRUgWGZrDFNfX44XZ3sbGWmIP3UTguizne/hzxmN9O8TVUfZvh/6YQervkyWYLiG
Mrw4ya2CuvnmbGM+P2QN/VsXQzydBP5gPCLNaMZtUVqnMi/ksUU8bz/Y/RCb9GKvxKoXR2bILc8m
+j5Xp4n8VRhRxyRDT8PoG+beehCguX4sNsTe1gqHJ+wmkRFF3s65Eo1fWuDt24IgoNvKS/J81qnA
uX6TA0z0ioDVsS0c57+Mumt1kFNUX3myXlyf5Iq8D5h7weYBPXh2gBFcmIWcYVcA0G+Oq85BShY4
4L6fJjkdW6dB12IZcbN8fRNdHJaQgRSHHvoLpU203p1omCsNubZZj6kz+SdbzLiulmuxj/4YqjTF
cGXnXvioaD6iEwxUAGTU+YUJHJv8zkffUFZDiS/yMO6wf3fiHsLWjlgl/ekEU3aj1vKaCOyFTwq1
BNHbPyIuMMaff1L615aGVYDYrTDFzWKp6k3oTPUvq7PsKzv3wuVImZXnEEbL1sI5OzPV0juKIFQn
RGbI1mgCD+wwOnlfj477INps+PjvnxJNXeqxhJ0b8vT53Gw7QypH9hoDy9zdZ+VS39ROhMqGKYZ9
MaSICc6F+FfiF9v2DxSByhQXxPmVzHUcWqD6dVK2+XxIUaC7nTqZ3cEFz6+ckEvfjlYpzB3kZ2mu
nBVWTJbT9zQnZEAh9ViUg/kQTkOTFOGYfn19Kf+s1bO4aZsW7DKfAiq9zPNisZIeJgxBphOjtMY3
o1GV827iSfES6K5RHqO5WAyHxbVGP+6NKP0aZbp6V7tROsUYy4yP1tRXOEWnjr3s0N+s3zqGbXiJ
mMw8uFW1DKKdUaful2gNmgdkdbJvPdr8cyIVDYB4oTr7z0gvyqTEoJw4mKC8U2e3mVVJNKV1xE06
lu796Ch5VH2ePQlcFzbc9rW2+guberpTm9rytim2k34Of/StJVudnohzAOoQYuGhgvwXtazai8s6
nbLbVU3V14CVXE9aNE3zVPZLPe2oaaK3OQZp8TbUaRPFni0Q/KAyqpbPcz3PKFx4qBzH67jq97W2
pitB84WTC8hjI1dyfrmJz1aKNmnt56kxJ+RRsNExi8t+DqPXqzeQH8c8znXZeFfyhBeVHxaLfU3p
nBSOkH37TX/FkBaWYMMkLVzNuqV7yqLoh7Jb+8q2vjQI7qsUyjdtAUogzwdp5FpYStpEDHk9xrlw
fbgxotq/fnguPCkUIwGfATUAcXSOAlu7LixMZRCKWno98Un1jbuqTVcgW05r00ZJlUfRlSflwuXg
0FehSrcZ7JINPJ9a6S4qalbCsGoYxG+9rPl6SI3AoQ2AStyVmO/SDEG4oXjDPiH4PSuumHqVTpkR
8HddUfcA69zuSSFO93lAFBK6TDkcwiHzn15f1wuvJmVeoOY0fBETPYdilVDwpha+RzK3plJJJvzi
qVwQhtT46aJ+VnvVvelWxUOtJuPKN720vEDswBayxSm8nW1PoHSFJSIuj61Ztx+HxcyOtCLkupEE
jenKo3Jpn7JBN/498PoX/AlhRjOAonxOAiH8r3xz247N0r9WCLw0qc0sFuoK2Ft428/3zBpF/eDR
L08wrFvwR+7knZ6RF0CGA8XH1z/epbE2RfiA9islx/Mm+szrDDUA5PFI6Wnn5TPhjrTM4b6sBvl/
nIVNeJ6Hi1gnOBf1EMhKAjrEoGCwEBZP2R7JQgP2djGt8spJuPClyMa4tGmqbsDIs2M3TuuEQikn
wTHRJpedm0LVGror++HChUxdDxMP6HUbJm77FX9djo4rlNMsdGatPqfBMHVWQFPPU03s6bztb5fa
96/E/i9LajjqAdYlQkXckBL12SNA5aTnSQo16mtdYew53eYvOE3uAwpPy28898A/WKXsQEFEc2Pu
oNY3R7M3pB33skWC6p/3z5b8wv/YblYCy+dLkDcZSChBLoLcoR+X8xLQsh/b44RSypWpX9iqQKt4
+ci5qFefE5XLabZLyhx6Y5n4R08q/+PYlw5ctqq+MtSFK82jROfScOSwg4Z4Piu/HKZxGF3ARsiJ
nGxtoSJkedOjEdjzG2+tzFPY42mA/K7z9p/Xk87xpiWC99+m9PF85EKxjqnDJD1vyR+zunOIJ4qp
Q/m8cZYr+huXVpSEZlOb59VAtfD5YGNQFM64BBMWoLL6WJUwok3D8e4B0ZY3r8/rwlHZ5O6IWinL
gCA7G8rtPb8ztT3CoTSmx0Va9sHbsJ2SLb5zhukacOzCU8h4wdZIQj0WvObzqVWRLaPO8hDCFaM+
ZFTIYkP3H30rd05BHc03wrxqkLUdvbPgnHuNb0e8BDn1HBrqGybipoUek8VzqybO6N3J2F0i/zFD
7qOLW0c3n2v+Xz/Our79YIdVe81g8cInpdoGpIOjAu0y2Hb2X1fSGKUW5DrWOfOq5r/cNap3ixkt
Dz6G0dci90trTNGL3iM9z5dKtP7ghUXm5iR2mI7fjM7s7Vcn0w8lntk7CEgkJaBKrtzslxb570HP
NpKySmvNfDKgzhc6qdZguanXDNZxXgU4jZfFneGLnw3Z7yYE9388YTQo6YPSUUaz5kUuW5mezLfR
0f1xd+1kdQc4+AaWruJar+DSl4STASaKtHlj9D3/koObZdSSWN0518vJEiReNRyRnSp96/D64fxD
bznfuZvQFr1kEPwvIg78gMSgZndMAu3L/Tp05d1q2OXdYOXVtzZwpI6jsu/f9aOdeOV4GrvG7+PG
HQoYBrV33KJ3QujV/4lLwlqSdI/e93xEb/X1H3rpFoEft/GBNp6lf/b4hfNq+wCtkcVbhPEzmPPZ
jkVl9u9kBz0bQRLr/esDXvgIcBm4svgQLM15HAGqW6iq5DjBFsNTMqzlQ0NN+RAM2fr5/xgK5tEG
GaIlc25u4EzU+wZtjshaD8Y7R1Tgk6ql4d7qtXMlk7zwvvG4gKtnFYmQznNu2gV9IzxAhH2ISLXh
0AiUnPMPoygNhDJFd+pAO8bDjJPe67O8EJgxMmHZpspD/fIsMLMXScHbm8ekdnzjhE+pn0RObl3Z
Jy9xlIAVKCpsMIxoY+NuV9df12DfkWqsLhvaaOzm1h+qt0HQT/spzIy9mxnpu0lHZTybsJGyzkUF
MhDRlRfv4tbZnKw24c2thPr8J0SL40oWgtfA5NS6WejujJAcFzzfsnt9US8OtdX40dmAYn1umCUz
0+u9MmSXRkt4wmigQt6zsg7cKv8MGtgWlvY5HJ9NXPsc4RKaWZ2vNAWTqAvSfaGpF6nczpCyVGOi
SKCRHW+vEV1esjr/jApyGd3DzQrybNesuW82uXDGRCO4fliboNqjSLg+hgjVnWBJBMuha93+UIWl
gyViW7egZVN9n5r1dHDscjpqY0K0L8jGfF+Dr9gJuv7X9GYvvIdbZL51nPgHB+v5F++HMCuz2uJU
yUy/GYul5Jloo1tYe+V7NBqjnU+n8fT6t7/wHtLlI6MiguM8naM4XJQMgDixzYZx1jcwQoavVbku
D+a6lkc9NpUX2+mY3pcDRH8jH+1rht+XZs0p22DlDoXO83dqLhV1nZyoxzHm8FjLcL4bMpK8zEWe
pzfw4Vhto76Clbl0jWz7YNOIBCl9Lg9TKFvaLfX5RHtt+JDhZRKP2XSN3X7pXIEZpVy03SQUKJ9/
0Nm1O0TFuazcvpd7qxPiv76Rv9KyV1cyyZcKWxu6inSDlsem2HKOmx9T9gy0uTHpZBrG6E4abzqh
vvi+Eo+2kQl6l669MzNjQQZWAKo3W4l9e+/ei6rJv76+py7Oe8PubZUyGjBnoUerp1xX9vY8eKk6
OMr4gSCt/kAHpL3SjLiweXiCPLQ6KLUCDj47MhnV56FqDYzp8TL5JMVo3Ai7lG6Msvn6phha58lN
HfXP1AFCZBDuFAHxv0Ec52yCaxmNul17QPTU575ZaR/Gs6f8N3MzX2WkX5oievMgSSk4oyRwFrPk
SP6n3MNkPqPpHrounz8iN0Jlwp78caOgBrugF7jJT0oqTLEQRTxURdDfgAsXx8htlzkORVm64AlH
JI1TnyAsM1pjP3n9/H9seWBvENs2zDup+zabvx7OrraGrpgiXItzqrB1lBe7ukzLe18P/8xe2vIU
7gvKXH+a9GcP5Gws7Wj03YhTuTrVEf7JagaAk49dcecHbXBlq124MrY8d4sK2NgvdLmGojCajCFp
nbBqkfSbvZUq+8PrR+dFZAUlEK4eS0eGsBk7Pl+/wkTlJqJ2kPgTundFN8176CtdsvTBGsPOxTtt
5nlGrfZa8fclCoGhwYMi+QFCGquE87NECN+2Rqo2yXzr+4gUx680nWiiuIt0D70CIAIXxyl+wmpa
P7Hbsmizqoge0xL++76rgQ/HbMTh3etL8uIAbL+LeiZmEVAKwcE9X5IgbKzZUNwmgB5sJ7GD1TkE
ky52mRYDzm2dt9cLglvx68O++N5AX7YKwObbtUnenG2vIK3UGOUsh9+k1WchwtyKJ8Ptrr1/Lx7g
bRzwzdRQaf8hPPN8eqZO+4HNwDizWR5rN8ec3Qrnwkly21Yfizmt1nhucMTMXIG+GKWAKyHAhT3H
zgZqtN2h1FfOnqmKoK/Ril+wZvnEFxwUatStGzeBjHZ92Wf7YfALOhBN/elf15jCyWaoxN0GkMs+
uy362fTcIsipNpTB+GClxvK+L9Q136EXWR+EESJOcOvcFlth7PkKjzmkW55MmcgywxxRavcEcvD7
uip9ymd1Lcl8uV83+gSvPQZeoKfOJwV6OqITnsoE3lrrobahxtvKVtmpdLz0XepN9u1glN2VlOzF
m8skYbpsAQBvBMYyzyfZdHr2pWfIZJWYT2dtM+/aximSAi+/Kyfj4lDcTYSqgCFfpAtr31c2Tn5g
gUSTfs/bOf05l7X1Rhu+8+P1DXJxLUn1uACoLhBLPZ+VYeUTS92qxPBpRJ180WXWrrGzLKdy7Q/h
zZTJZaSTCjnlSg54cZakKXzHrQdwXpmevGHpIBmpJJR+cdS2Xd3QgcT/rSyugf1eHsBNXdshyaMz
hNbY2Q1XzB02y3YrCc3S8Ni5uiqO0bDqo+P04S8kK9sQGU0veHBF7n97fYVfprpsHOSnt51KtZOb
7vkS28605nh9yaRZMSqMdbB0n0TlTf4Oq5z1c+H6U3PIVj188EKx/o5GHKMSow+0d6Vo/vLC5YeQ
a6O0seX2L751mlfTnNoyqRrZgE1Y0jSxahE6Vz7spXE29Chh48YdP8eOZhYl6xHIHACWZrjLbKM/
LHZxrfx26dL5e5TtV/wVCAW1X+quYJRgHiukw0D/hzLt0R1VnTpQZ9W/rnzIbZc8K8LxIelrEHNt
DCcoVc9HbIMqNASJDdlG5aBOV/i9H6e1HTwKFa5fNZfwraoogMZzODk3tr+o+zpyinew2pvbIHfk
tebOxTXYODSUpDZU1NnWamcjLCqnUUlb1fKTb7T1LXbE1leYt8EuhE+jrnzaS2eWcIgEaCPbvpB2
9EbVDGotVJJWRnGa0irapd1S7RXO7jevL/fFobZAEJ4J19M5G2BVwTr54SJxMjTUYQ1EfZMvJiKO
1uT98/u8VQ+JnkBLA9k519jxG2MsVYYd32gGdbDzwhKkd56OSHD37pazQyUxh8I8mKtTHv95msS7
NEDgLm8uBtsn/msbr+WyOCiLqUSTMjyMS28+ZVNQx1LN12zbKXBcOJo2QrSo7yP+iqT7WQjq4sIb
9kOx1ZExLb4z5iqERdL7Gyupctp3Q24wzczP7fU4WCMCR2Bqot0QDoaK3TyoioPVKvXeqHzj+7LM
6ft2SFM/djyCyB0uvP20k2FvRTGQ5mU5LpaX6V1RB4V57Eav+9mjO90dhmFU//lCbCJeKxxxrBYK
+bSY9GeTwu/cn2E/Vz8thRfRCUSGW9Ma7ea3NPfHNm4rd4vXS6f+j/De+iRCoqedj6j5l0kGWh6X
tS2/bCSDNglKV/oxpiPVu8J1CGEHG3QQHDyZl3GgXPNBljrqTsh4aX+LPqchLs11+Kn14NePtR8Y
h8VP6/ZAAAu+CtRVmu7muhj8I+BoL5EOZIFDHq1hcUI6MGqSMhSBRvVmQX96aRdZ7yezEOvOaK1i
PlAVqU9Rh0Qz2aIROojILX32NOis/bL2TvZdDGL8AiAa+Vm7xbmXuv7UbnTR1XuADwCGOZh8/bjW
COLuDLT90CSL7Nm6S0tMOGIuifI/4anceAiD3Ho3gKQCAlUE6XsSRyvajSWuhCiR10YRS1ME5TtN
K77ch7pV1AY9sXxegiBHN9xW48J/0pef1nnVDskR6bG3tl4WOzqXD2JF2w+sjuA3jZ6VzkkUrMUv
+IoZADarsnBWmqtZvunUOgWo2GWiO2RTFw0Jl4f9aNCBL27l6onHIghSZppH1W3mGY13aEK2f8IL
5X5pdZl/x4sQwx0qdFC8aK+YiafL5dgMuIvsC8vrBeaFJYTa1M0wYq9F2RJnAwp9oCi2TPusDXon
dgprxvwvhwV7m/fj0hxV54CZEln6WTer5e2mUObzbpgw8z0EYxvVSVGIrnoIm8py4rRBdrO3zKJL
mIV1yJSXu7cGffUB3XXlVjHslRzBDR2M4uTpwDR2eK/agNtDudwaRAG/imIFa9TlKx/BWlU03dTV
WAJNyMzguztFvXfwERss4xrsShjjVNFG78ZZVMuxiOo5vEHzDSo6OJ/WOzppyl9mGPNyO7mFZ5zs
tGyfQrtv36R12SlkrQd5X6a5826aCpMiN1zqb75feH5iI/8KycYz6yrJSU68WytMUycGJVeC+qR0
Nx5WGa4WUAlPem+XImSadaBn7uF89vq9cjM5HVB5B55I2Vm1h3oZ+gKKSJ/+N/rBUp3cPlX/takt
PpNZrvluMiYXnz/4Hu1hyRbrd4544j3k54JbyM97HbtzMLgxpoVuEIt+iN7LzGCntktfyW15q9PM
Nmxjwx/rpzTDY/A4kw7czlRsgiOMDfJJ0dritywVBNbFR4IlaQD8VzEqfPImCGrHg8Lrm+JQG+m0
wuupm/E01UG6i6xFUMXJw9S+qRbZVtt50P/5i+eMoNCi6l1EazPc6aGZbugeTx8HbbRmvCAP+9Wf
2SU7AZJ+uNHZnP8i6V6+em7v9zvdOBOP5ILn1inlI5u7LoyMBp/WMXqnfD2JvZ3lVXZj5Os0J6ox
LAUdFt2dvRNOJv4B3miusRwmHFKIPcJhr4Yq7eO2hVSfTAulT6R6Mc2iPGWusDfSLgt30myFGQ8i
L/sD9cixfMzzkVq7LMZF7xZ8CfWpSMs5vYtEOw1Yg9qZjPMAYGqSqVnrmzY0auA5SlYyWeaMboyx
YJ4ZB7lpzN/yIpvrD2S37k8rnHKavF0+tA9Wj1t9HldrO6xPkp8z7VF3G9wjdf+5ubd6J5iPagWZ
csfi0yDwl95C4Q7iYaneLMijFnfpaqDr24dB2f70He03X7K8FlyHy9LjKxBrHx8HdfS9IQp++EUm
wx+ZtSi7iFWqEYPepxn1+M925Q3oyk/eOhrve9cro18LoWIH6XkRA5ZfeTpbRuwhPuRE8WzZ8PkO
RhdW3RKLbJgWE72Lyq+OtDBk/p3ylFnHykFR56dhad17NJb9rj+lmWdnwR3a+FxXiVVEyvyg5tGa
P1n0OWihWa01PQIHKNTPasRJ/LPhYox+Z/CgOIns/Cz9PTgw7cZDF6ZlKY6DOyzlkz+TCT7MMw5B
feLhpBsasWwsA82LIR2M9leB9wFKnZGj2vE9leaivavmqQ+QNghX+FMDJlRfWrF6Zsf2McfssQR4
5YKuzOb2PgN55kNtazzpfAhtA5ZAoF2swGIxob//zqh9WWX71q6ckqeqV2nY7XvXzo33rJvp7BAx
tuWbcGUUI15lI1m3dHUzzH9JLb1Wf67xD7f3pSnCpUtmSbZcxEsWTukJwT2VP6om0t2vplhRnYgn
h63/iPTE4h0szobZx6anKsPdm9Rtyl8o8shs2GkHStRNTvac7ezUbx61PSt1GsA3IsBSAeW4C1tj
UwSKmggJncTH5S19s9jtZrJkBevioi3YTZEdt2XuYpLRuW2tHtx16aKHvN5sCZZmlGkU+84S9RhL
DU3kf2hkwUfBNM+YKiwBkQXpjnMVlTg+N6Nrn9rQk+5N1WIrdu+bbVQeOt/iJLgYtsmkNfC6TVZ8
1UyUu/Ioy3+GwaqzR9TTfDtevabRCXqdC3ZyIzrPsTSgQya2syxvJAez3qHEQkza1U4LOMeeOrqI
bWA2h3FuUU/up5RrGRS5KqIdeM6mif2qsMxYO4L+qgBZsz2Qa5rvwH6ZWexZY/0mnYZyBhFtlZ9y
NThZ0mrlGUend5c3kfAzJ7ZbIxp3Wtvqs7laCsp3wTW+M0wsYVLbHk1q5MGM+HpB539XVL7zZqln
+cWZ/WlNRtewhpg0KJ1vRRchbDjW1P0gu6HSjvIeNPHED1Rdx2tq89+bU539aLwWF+cu0pk4Ld5a
34P1hhfqzF17pwzLzB9SKxTLftVp/kZz77Fwsg8+ejaelnm8YigY8laBS02U6GuZAOidEbIsR+KC
oAxskeicympSDmh/Jt3md4z1o5Tmt66S+GXnKhq6mCgRe7ooDTrnAJRRRwhqtaDQJym6cBeolpt5
6PocN3VrlDR+zHFRH7pGTf2xKJp1+kHUaLuxk7l1+Ss3prIDk9H30zGVhh7nxwyf3OqwZuu0GvGE
Inr/JcRJwQwOK/Ql1H6RChj2vfSnet9buEb/sPRgfu0Gk9SMpkO/3JjTMIWxn0ukvZaiLIK9CVPQ
iJfc63HTLUNb3QnplScTqV1xqwHOhbGF0Nr4ZJmTaRJ6ozCzy8xUrHufZG64W9S8zMd57m1FTBuM
DVu9VO4OoCIMBquJKNHiyLSq2Lf0BMzECxEmFzJfd9GmNrjXxUBIFpNJD9kjl7FVPdJLyaunQglL
vFnQ4g/2pdMObaKMcH7f5H1anwBmBjcFGuQdnhJFtx7dggIbIoaBd3RryPeJCSV93A8VactT6y+O
s8+7PryVpbH+CjrbeJr7LSQVdSEeK68ZPtdAo2Qc9CYhSj8DREt6d2r8OHQKrJWoc9c/ODXqh2dN
nBO7Xzv/vltVN+5bs/F/++GYyb3jT31z61Rt8FtrFw3PjMvzvsX7hH/1K4c6LrFtk1heW6O+2EfN
+4lr4p0re4XWIUU03ummEOkj/SIHMcSxatg9vUZuVdSR/W7uirKNiYzbt2vD63Yjc5uXthNYT9zy
Dg9ITefIkaEhkWVcWQE6ITsEUfv5IQLg9YAabSTJqQx8SrlSe5y9DXQnjKFo5Lewa6on7nI04Bwl
mk9zVdXFkZOQv087j7909Eu8gmbRFERm2kAWYyoLSRiXgfPc+2pheBlF1cmwrSmIkfqa6ONX0VYq
lwaZGITsKJG9V1tJPqfmU16UXklYZYEZVKFs77JZm81nKnPye5r2rZPgedwNt5zJ4Ihesud89fM6
y0+V25RlTO82/aR1qTGNn71V7qKsHsyYAK/4pvweg84+EmjzaERrP6x+2Kz3aG0YRUIFWKnbeh67
HxpvEn4w0MUgzhzKxCflcgs0ZRuNhz4YdH3rF8F6Uw18rXdtGub3luZm3C+DvVq3HM1U3FDoaJvY
7enp3k/j2ktENWkkHKpe0GpDQRSElbco7exVANPwC/yISnyxJtMXsch7UX5CfNKPElRcXKR+StE3
eD85aJ52fa++Z0ZtiomkB+EhTBjGLkhmFNNNatc2AW4oOntF3auewtt8cHAZarrcHL6UTr+EcRYU
6RebuzWIfWzkP7qlyr+a1Tp9Dle3/9QvgXhcmm79TpOrrG/QBjHmuNDs5J3doOJ4TNtcfAxylVL9
LFg8YYW5+m6MgTPFzuCnHya/Dz/1uR/pU6Zk9CNM1SqPHuRc912EXIq37xfb/S81rNnfRaXwwhuu
ca5UryBSHdaqtu6x3G3vc5+gKuahCHt2SWe+0w25+qmGQOk85tOg5GmCf8YlE6SteKjlOlanye1K
62Ozjt3wtrKId+87XWD31sxlh+CPNm75kvN/7opUwRES8STeNgSmzr07uuPvvKndYTfU8BZjN1RB
QTDUyjYZ2xIMovJaY3nIi3oI9lbbSutNaodGdQM1JfxpYuH3Ad/fVd1QxyjseCprYT6MAHdupqJC
e9wz3FAftXRSQjHl1cfGEVN2KlqzeGvoZsJbWNhqOmHhnB5yqjHqXkyld+NrCzpvNtmredewOvC9
As8QR0iT4gb0pl/eZMJxPjhZXxNcOKraOkKh89kyVwBtqqVoGxuKImIyuP/j6MyW3NS1MPxEVDEP
t9jY7nnupHNDpXcSJgFCIAR6+vP5XO/U7m4bpLX+MRLAA3Pgd/z0qBc5SnSWihFF+U9tyqlFGMAz
2kq39IvJ9+Srb6ZgOHBnOndXw297NEmgAp5ufnA+mUn9vQYfMLWVCwH6WS0azWi7hF/RtnX9ja+k
AvSL6b/064VaMyqht+CZrJ70pMj3Kc+4in2RK0WkT7EicjX52vMwHTlBOdyY/7b/vLAmV2ScVoc8
5ypt/o6t2mmnj+PttjGpYiUWXhWAG6OZ3+7FSORiHmpIZ1b3htBRd2yH8eTuaP3OLHlLyh/u2Jo2
V29A8YH8IR0f/cjptgu8NSCaG5LY8cn2kKmruUXc+baN7vaWQtjcBaf2XlqMj/YE3uVHpzVW6gch
Nv5+mDAoNycXkKCigWVY7DGNKzHyGDeEsNGDN+bLNDremdfa984rMwo19+E2RTdhZffmrt23q2Ig
bcswF8toHXZAymcPKd/RdJmCOjnrPfCaI6eON+cOzUPRieBHAvZSrg37QFPcuhRDNvr6c3GYEwvL
r1Mwswa0RdQl4NYqg4642avhiHc0o7nTm1xgk5kfPeWNkyRvJKkOCe03VV/n1agBWdK6mlTudENJ
HVDXT0+Ng4kw7xCbqKew3pNL54pWHYGsvGcOcfGTfM2a7jhC+L9rJ+xvU+3PVe70jdvdSMOcmHv/
ZzPazoav7bJ0v/htWzcvOy+bzy3wxJcyMngnqK9bz8KfJlGESxj9GLK9mfIgMOphCbmc/pnFDT+k
4AMp+oltVVdratlIYmAf0LP9F2UaIYrtdfPrg2l9t7l3FB8WxrrR3MgxmMeirH3vRWM0d8heRAJ3
H8EE6GNNRd7doHrbHcehyeQpS8vgNe0dRQBEQ+NpHsdOqVj6/v/dWpM5fwDopHwj2VHOT0mIsriY
iBKmdz6cSR/RypvfIg6Jv3ZlUj2QUNZHN4GY1w9X+c1WyK6yWZFy3Xic/ul6v8l54cnnPTl3W0aL
7Dh0+tv6iRmPi6iD6eSFRiyHWoT2aZnkLG5WVGVLzv0ZfPZeZMnG7XVdXoI9LF+sP268Tq7DjGwc
dyKit67p7mnJL8kpiMumQ7CQApVru0wBX2vF16ZLmzzJZAE25PFZaLGbOpJodxxcF7MiKMx9GQBO
boPrqmPYTZxZstRDcEgIq/u9OpEjD20p6GZskrEBMeyX+nU3136ctWSAvpiW0Sbvorl7WeQahCeA
WvWuog7nIAq1RR3q2oHbpE4z/cNus90kDvtjDpYgz33jgz1kixj195L503wizDqQd0NUKee3RbP5
L1MNjR+zqMP7Ugn5JwUT7op2N+GHJgjzxvplJQpGBvqdIkMcZA5L7P4LOnCzoqbC9OoDns10YCKD
ic/59jv9qghGt6fl2mNwxF4qbkKGaVFYjsD3rBw3PFG1M39mwbC9bjFXj9jBiWgDUt77uNdreNtv
Urxsuynd15ihQJ8c10wlYHSaUt5BX9qT8Hluco7W4cmxLI9FSBjqTQoB6B/IcM6qh2jDS2+CLGFP
sJ7oC79ulx/+MI3zjTBCPEoxl9TzVNGynj1nFpd0G/3mtr/KSFhyon4E7BIjoxN3hMq30vR/MKtv
O2izwgu7LgHjvKE6tc772C4lrRXpRhc7G0reYVt8vsbasA9uKeE3yICXIiEW6TezqaB1bWF1O1In
Te1G6CXbT5mV0bMzTm1/rrok/FBpCFi3EtNEGXqyZyDAY9r+1mtz/ap9GxUxGeVfV8ajPkg7tOFB
Odq+DGHPCkcypbZH65Y1cYy2mp49p0Y13ptE8yLIPjmlJqT3bY2nrEJGYZfCtjqeH3XqMDFRJd49
MNbsmFaaxl+PWxIbL89Azd/HCjHZZzd1PR+TFe785rKAfVU7q8tBBrhfHuXe6PtwdEzE2zDxu3Hk
yTDIu1rZf2KEYTvvu5KPa1rGFiLAT5unoIl54MCZZd767XWYrsxEbfwwk2AZul1Y+EGP8cBvO+9t
IcF0uIuqprzM3Chvox38eyJjkY/5qR5Jd+mz0r44WU0L14hzOd/AMzHIuI70HyrtRN+Ag5G8YY+P
Huw0xhW5s5NLmnRvgl8RtfXfJScWAPYku3sqtJoxZ+CaP0XQCAf6xjEPsRnxJ6+E4K2HhZqVgGCv
tJmPaVm5bU4lO+8nr2pmCpJG2e347ZL7Pa2SsPDmbXpqB3wrT/jswSf2TGNi5QtI3RzEKXRyv07t
u1QRk8VEaNdQlE4AFTM71AFpG1rvUHlSVjmoBy8PmxYYKDPnTtxUMNqU8QEO44ZkNemCoVq/vYBP
r2/c0XSodnsy7kVc27W5j72Ze2djbpseQSj39n4dM9YfnGm+vOm9qg6OUevvT2Vr+1/tlCyncI2Q
sdO7ZNxHIq/42Abfb5xDJxdhH7Y+6H+sERPYp+jj5bdYmyh6FUEwI+pcIu3dpyjyb/ctbNbCUFfA
G1UGTQiWOsR/REc3WA5fNtYPtXTNwzLPUCgzdXM/sVQmZP+DsL1gw7NJrig/uJMxcO2x72vaUsp2
1W9qpTK6iHahhjwMKglpU1btbbWRzviR7Zmvr19r3B5XY8avIJn6+ob4y80pgjXq3qdtW3liG6KB
vwMFGFdtADSfxoj0x7Zff+mmr/A1ZTENIkc9bnpE7ByUkma+LdnuRNoNLzsP6H4bSFl+pOgMw/dh
7JPpUMM+b1+xbNXVTIL4xboB1Si98jfwuZVQwFxz5i/MS/wpnChCrjR6xU52KYGJncswO4HzIBr0
B0QgBu3vuA3i7VypmLFklbNvj/tAFM7RrNG6F47TBr8CvcxO7jnZMOfltk7NaTIQaUcbBuoTSCdz
Lgvdlt/4ik34KINe/YkXt31axBp0By53DtXF393u1HmbkYekyQhC4dURh6Sqs5udSlz/vYsaeCSS
I3Z9RCufZD82CLTuAqK8rfdpE89vlP+U2/ccat0epLeMHPRxvx8phF+p2NxZwPPVbnF052e8T5dq
xXJ131h5rVGekGfekB+8i/e5rlWTM8RMNdyOBU6dWfCulvY1aPgUkx0wO+4eTWTC4SUzy/gP91Yo
cYm6JEqXfeWoywJFKC+oxfmDuPdnPpqaZPkLypNkP4xodC+7U4bjkTogYB7fK8s72J6IfaAZsgeK
QXD09U3W4k7NpukfBtkAEHeYUd3HVsf2EGR6fCmDbXuaWqG2g8TVXXKDyqw5xrBToN8cqvpYEXZ9
uaq+MIrIRDfPsK0dCsIpLP9z2djng9cn5IVhAlX2kMaeemyQSqu89hr7G+YXdhDhdlTmM/Ai2DY0
8hVJira7MV7H4DJLOqHIguHk6Ftb/Tf3Y9kX7Nz8YxPGaLCRaxOWLjXo+ant0/KPjXv1l/xphm3T
eQ1z+hC9kATeTY8kDQGtzzJwCsZJpz5NzTQsL9Fq5MVjvrOgjyIaCQBmYzqBvUeSkj/UqkBf/f4W
EB/lvU7s39N53YzzmYll9/J9nTLv3PjMajedszCadm69PaewLm2xkDPUndjTd3OYrGVlAU1a3CKw
HuegnWdv/xns2wSPmA0by2kqhvmwYe3aCJPc3FddbwlVKDXea/v/52NARi+Om7sM0N/WeN1xRZb3
01W29mAyZvHf4JWxKUZnXBA39m58XlNyjcn129q3anIm7y0b1mHNjT+L+ZSpKZjP/pLsIDw6uBZ+
DVsUn6DLwhaY38XhZEKFOjIaSzncQj/1Mi9VtBFTIJsQ73I1kjxXhn76ZOnvYQTkHf03zIm4FxNY
3Vm4rT6WtNHGRcuRcoUi+0kgV+E1rzN5nQKU8Vt8iAEQltRLet9FqXRuAumNbSFBBOQDq2elc/Z9
Fvmgp6YHNm+Tt1mXwjz7rKbQ1Km/jsXKJQCAXDkAc2u//FZB0EH4psMiC1q3JzYV7cs+H1a5fa1G
zdx7WyDODmGWlBlPfdhcyOxoZ0TcQ8Dn4F0fWCE36gYqRi9iB4XbHMgYAh+bx3KujuAoFc6KoBzC
vB39eDyVdZ2R5TbWmX+LdxDdhBNYXnpnMMItxKTl49Q18JHISuo0ZzGRX8zP7Z6zqIs49xJGMiJN
x/F1aPAa3LUmYQty5mgz1LOjzZWR6tXRDolp76Nokn1Bd1MKgBJt1V2WOd1+76xVcz/OxqLfXXwo
vHCryfedq0mPF64p92P0e/dv5O/4QuqrOhUkZ+xxYgmPel3rlERhJiw0siBFfyafpxuGr20QDPEr
CfuPBLhdqxe2QSGH8glqOUzOPqs8HWu+DhLknJtGW5gFcoZFmKPXrN+6JhTeadElXBbjjb6DxTb1
efZCaDvrVfzrakaCc7Mh5aXYbA8XmVs1CAXDua+vFWTUfKDBlgZQU67Q8IHd9e3eJ21zYmamrZVw
JpY49ixzk+0d7ZLQbN1Expe1r2sXJ+Gxoh4ovYi6b7ybZquizwl+8tZYmpcOIzR9xcikjTjtcnCc
XLBMxKzVnvzowVU+B7vb6OCYqzphTWNKj8tmTtinoeynWweC+m1ibAo/2AZn+RwG25T8BXevUQgk
DeRNDyC0HYWpPTAeZIhMvZUZvyk1neW5ymaf0T1wy5uyb6skn/cubG4CogepG0WQFhxhzcv9X+xY
/uHKEvSGSIO8OBvMNsjR/ZATOk9ZdmrSOko4T/vdvwghu7e2mppflYZHPtQzuZKESGSrxSE/tH/h
NDwIBgsX13Ccb+l82q1c/CNYARoI5nF6bOCq4i2vsyW7G3a1AavX0444qo+QE62jlN9sCowCNk3E
fyO82ZpvDShU4fXEudztXRcUO/669WRrfzpGSN/lDbuGngtRae0cS6CoWz+8Cg8IMYv7A8qLnRuO
zAuYchkNLlF5oVVP4y6mAWxMeFE+So62SaA5uKx65LxOVTw8I+SZwhfX53v6FUsr7EVzlhMl5K51
/Nam0k8KpyLk79cmWJof4T0462CWAeH8mb6TXHalUHkFzMXbGosBmKUnrYL5J/iEOeLq75e2Up+x
4dj/IcJGsIJe73zu92A/6GyZ3/Hsll1B7hP2Qj5m+WMyOtEPzUAb8w0oC6x///8/xbqpCPmCmXVe
sM0hNtikbX/scq9Jieg3RQehrNrpvm0a8hQGbeXNRselusqsSYvyp9LjqlVO8jMEyuDJQhfSH7aO
UeLk9SFXVcJ//D2ZKDKg6qn7Ho9b88fd67bK0Zu43xSFxvVdqaakP0LexcvJ26V8N2rv/6ZSKFtg
/WvNvdS9zg5NkE5TYYJ6X3HNmCa49by5+tc7c1qTE1qPS96mvfvKDoT2nP4gZJkoiSKI2hQRVht5
C/f3zJGOt6SUphBGVf9pVFHvCyp6+sTL1ouPaUjdRq7C0PGPKhsq80sm8/iGVTBDn2TnSpzwB/no
CuompjN2XohhBV/a3aPrKfQDdsqW5oibp27uZ0E2RN526QJtWs2A9xPQ5L1FCICoaN+if0huTXda
Gjl9LIFSSd6qdH/rY+l5OXdPAHPdpZV/byVH4vFa2mJvF+Dh8mFSMxD/PG1OUkgqY8wvvQ5ueFhb
pd0H6HdqmsJBkoznO6V4SufB30CqBLcYVZF2fYmNE6MHVpSy3LYYb3jSOhU+xCXxDwWxPgSDWopH
3YLjTbp5nWKGOk7QNcWYSmWxeKJuu+Kz+/2Qzl58WvfVI8Z4nOReDFSUxvB8u/h0VpSBQASaz7wz
iP9eyibJOLC1jO9K5oS3MgjRegUZitUVnAbbSTnF5pRlKnliDBm/ILwC9ZjOXXtZXH8zl3Hif13s
negevZCaqKKapHxyhi75F1vBlADhmg4nePjwSTH6fkEWINvHJYPAJhK+Px0muSVpHtUIIG7KEITJ
qfzU/O2C2u55izoEdtTQ8n1kykT6MlsoENnPYVNM00D1Rx3p5lfkVm0K4eGyMuXobphBXYnqu9CQ
gE1elrQXHlIBWVMMUV8h/oLOf538EYhrMcH8p9w5xu7aBXnGsfSEtx7ldZNklW01g3VZNU963nr1
3nRI/e6dQLrvVz2pzdNwt5cYVHn+Yp2dv6Fq++BxESWRPahmyqhwmFzvLfUsy8HD+XzfzNsW5ugh
SBauwff1/bZt6q2OItrGeZI5gvYl4vhL10g+jjbeyZ2ell3kq9n7X3Gvo+6W+yz6NqVuHvc42t6z
eYo7rsoIoTtyie6jrsuVElkXxBUlk5s+g/GHCw2vXDy5VHUW51rH6x/bhEDyxgkqexF+3T3Qh9yg
koLLB9hQM3II4lTSW4b0oD7WHgzIcY+r/t2sBO+c6t5X7lNbr5w87JLqz7BvLe1vJQHisMo1i1gp
upO3yLaFQASJ/bEP/TLnq0M8RM4wvz+OBAKp/6LRbk84YNf0zHBfesVSLmuGfNHJflnZRSyEwk1B
lVAVef8lATLBoluD8eyGCwY+3Qc1o5/JsvrAUWTmuzaotgX2wEA1r3ETPEkn0r+5ds1OvCoNqYW/
eOOPqiX15JDNGZDKkLlbdSs7PcN4Tn326Ekdh4e9TKGWV1qi/UuVLcMHu3cPJb011ROHwJQca+S9
33JP2i+qSwDjr+DYj7Cf6ve2HIOELGvr8zdjROdh7Lr0VNK80BSJdasP4dajd4kXJEeoh0RZIZIb
OVCrbZ5eoT6yvDTjCKc7zgHg04yglfEhrX8K3Yi56NJMvpcYYeIjioHoGV0sQi6Pv++ln6Ms4qio
2j7XagrnB9071RcAa1PnbtOMZU4JNsdsXHXzbRDabScnrDH6ZOZ1+wuq1zFSLNqKg24huIuuh8sv
vCnO1HUXSdzXTovRR662UY+Olbh/tFkX/NRYK/zbNfXMLUubz53GrbKe/dAG9qUD/PrdpvtGv7pO
2CpYM6v41Og1+bREA7aPtGH6FRusGL7ofk10scV8JJyxjWUraebRLZI9WQB+akHgRauzsUZJEVQ3
YNHtcKJ/r72LA0THcOKCK1XsOyi/tcL/7Wwh/RKVEBT2Qsf4Dy0gs8NTapQ8UlwW8HN23/+5z4GI
z0j6zcVnCbiu+2p6To3j18UcRTyZKSKsr6XrgUVNFQyoxkX92qikqg6T1tF//dUneej1EH14/eC9
NZ2zOqjk4g5RWrYm4jAljB4np1+ir2RdxH9N462fJI3G8SEmro0Z0HMsCFabrbmOEvtvRWqiz348
0deFHze4x+9vfjao+KaTgcYhNtq70s6QchpH44SjDm03U1tDvcZ+QJxVMRYPUtwtZWKGg5r99gMP
r7cfzJJsztn2V8o/g9l+6dFGwZ2UifhEwROOqBE8Pii/iSMoY/aI54aYdpPLJjO/V7fltHGQA2Dr
R2F5MrtJTQ5WW32VnXYR0DqR1xOBKfqd2myYd4bHDLVH1ci2ACPtf/YIGZFmLZ7Yj1s4StTks02W
CwDpzCnvzT6oYVu9lDzW6MobB6BiVkOKpCWMB3vYdOBfau25w2Xyou0phtJoDwtinySfUB+2uePN
Sl22gcueAKAd0gXrc589J13pvCKXQpRRzUv7sa5wdEO+srXeliN8Gfoq06B3Xlzm3ZpREeLIkeHZ
qiWkrVUl2cT/sEJOh/5htPmIfnjJa1VK8jtmBWGY7TUd99Narb8Iipz+a8My+YseKLkLVASQ7Bnm
enQ6RLAdU/Ii6R4INt+nVHO270nW+GGBCE7faBd56OMM3vmfmZzafUSMEa2387gJ/VR7Mn2B7xwH
0umU/9ySJypv19Hrfw3ovZFche6y5b1j9KOPWdLknQ6ae0Qmy5SzRTqfMIQ1kmM06gdfxtwUvunF
yyid5NuMzZL9h9gwWE6YjvsQPtO0D2jlAR+lDrM/45oCKwUoywqFsbTO0Q6OzSFdl9C5dPvaWvSr
ux1uo6Wk8qifvZ5uHdSF4T1kSPmsU/j/06YGCQwfVKV72uYWct/BE3fCo05xeM/W+uaifxUnFov4
pPbapQAwDivMIVamK4o1DbHYQboNxZYiBXldJ719VfO4Puk4reRJl3qCIIjVVBID68Kmd1EYggSs
ZK2cWMOiu8og/cvdORv1qROcPp9mCDv1nTgz99zeT61ztMjauocg3YfpNeobs+WuZFhAs792Xq67
TR/jiSU3j1C8e3m8wGifdIvu4iRLL4GJkZF4JLXGMiUjdzz5/upjgdDLflcNK0e9qFekYWrsqz/N
Iv2YoRt45o7nIijoAuEshICVPrrjiSt8Uura0pxE07fxU+xG5WhUeIhd0wL6pEQJc2tM3fThLT6w
Dosq7KK52gxQkU9LfybNeuwupaiG16pryIVUhEQMzNStuUPjIj93J5rudlEFHoBVw7HmTtghoaR2
s3nHMDCpVziSwPmHVBt3OC+eNsNFjo27E+nBJAzSBBCce3GccGFjnLtMETJubMZBhzBr9LpvlqIQ
X5HyDJkODdoXVPj1ihoia+u7SDhwQnVStzwJabA99IMKRIEQbSjcJh5H1t1U8quITX2FeBdP9Bj0
403mS1hlngj4cMO3Mb/MskKIqUQoHzLJbZFXzl7HOcJRVT6lq9cgGKL8LXuus7BKik7XUfOQrOxC
B29XWXCziKofGDdisR7rjdAxaN5puYduHsczG6x+iXSIPq0KsV3nXpn66oZja15Y1cbxb5oAbKG3
X0hPmG2WDocINVN5itIRXhawaPRuNOjEidGDk2SttX1Xjej+JAk8WSE3kNg8mWb90wFmDzgNWfjI
otPVfhqRmq3nVLYzWi1vFR9+U5v61HeB6+W+w+VaOLWMIKan1XDTDBWhUHEr00+LcoKBnCAr0I92
Q9pv0A2wT4wIcxvkuUBmJX1QiBnc7riTsxsdTLSvTwt/z1bgUW/UwVpNSwWo0iAeBsgjmTeZT8tI
Z2PGW8vnvvFed/t2hHxFi7E4sXNeOdXW02wCvz7VNrxqDDZTPobbKkGnHUnf3uSa9UcbDerFjGph
bRyWujlIpPcRlCUemTzqu2Y7BJ3u7Y3haQbM7ffyZ8SPfA6CZHnr57VsioEPAsYwWREaK5EoeUtO
pP8AkqX1AQyCMGyfq+NJGdu1p7SWSZJ3e7PhvkH9qGitdt32eHXzQ5tyan4nmAaCIpYkEx8UxBXr
uN48vK1jhXy4CUfEs1nIoYDIcCpZsVdEURMaHH2q4759c9YmUTe6jNz7wdcp0JqHi3FG9wh2EI1B
fOcm+K/wNpj2VTfBDMOWDPMdCewJLzUo1XdXumN8AoDmv5Udl+oBcGJ5W5g7ypwM7OYJQCFKi2aL
gu4piaR+M0Pgbj9aunb9m0V3yLyGNd5uxBwoB7K+rN0/O0yZehzURgkF6vdQHhavE8u59Lfu7CPW
b/966WTif650tzFHGFA7d60/e9MB4aP7HKgUoE7aOXqzKuj7z5g1WQHHEizOo26vj4zce6B3R6Vn
fstgv+CE0Lci6CuapQLhI7JNLGEQIGJbgUG3F3BPZu1uKhxOG3+Pgm0vAe1+VtXA2eKgrP83VKH7
pzQT4iPfqeOnEvsSUPteYV5sgZqyszbA2gfdOM4CTSs0MnK3DX+AnnmqkIkcN2jYNfqTLRI7CbJJ
1NMeguivRUr3V6lUFj8osVr9w3DR/eQasdkxjDfkQ6g5Kgmp08ffOGOAaRVu5+ZxZWOtitabCN0L
6shJ+Vo6cwkldBGKqLqLj8M0gXtQ5u2+qRqO88wvgxKShUX+EEiCaUlDMjoXfhMgZ2AREH9nnIrt
Pycuhz/dgILj3M5JsBxHwppeowa2rVWW/T8ANokWqOZ6/3R5rEmyaaKKrSez9qlF5rvf8nZP8rPZ
EkRcuVnH9RcwybScQwjyjQU1JJ0UJ+O+fAhintrXRUaRZiqN0daHNut/l33o3RMWCUTUJQyuxz5N
AfYqA5rs7a633yFBFPbQWqFfl2TA6MHdSalNuA46350eiSSMIe+qykJO5EALzh6ll/i5jsWGlN2p
0oc5GJf0+sAsMD1ubNvuUAUqq3/27V61OSNkh6ppCr0Dyka+DUqgq7sGSaG6WdZkQss+xywEZTow
h4ZhqRiTCfg3RyfEoZKn2lM7E0vAbMEv4T9vsEvLeW3c7Z2XS62Xtl1a91xx8V1gyhBSLdPiP1C3
4e3fK/RBWfAhIxQN59BB66S1vM+6uVuOXsI+dLPhMqQ9jcOryrdx81GLkZlofy8hadRPPvFu5XmF
pQvv5danJ9Guvnfy57b+YzCqPwA1IcbeQICKqL0yPXy8LqRxYv5/FLdrDdY86n+Lm9qPTiFlzT2l
m7ewi/kbXTGrJ2cP9/E8xAL4b3BM39OSUYHRBZYX/aQX9AJ0qrbkhHVeGA3fxI9SAZ55U/kPkIWi
zs6f1u40zThGDh0hpS0TTlf9rIULicbMarJDP1jwljYBdz5UI4KVW7ODE+l+BqWlTtWFZpDg8uyF
bS8uLVxW8Kwcc00V2ocgN0u83wl2dK5kd6m5tWdaK3OLwZppLezxUTagifHjtmLywGjHgZBOvvuK
MILCS4/bOXlYpRqmGwqimQrDkEeyYL/anphJ2y4nZ2DlMTAYEcF+BYvCtY1NUwSGa/AYLUDGx46i
mve0ZWS+9bqaRSkwTnknuS8JK4j1D9Kg4OQCmnDx8Lc9ArQl5aQgQtx3fxjFiJb37aTfIgx5z7jg
wU+GtRRfzrKW7y4QMjjcThPMYZoUYfGS04J91dGIyJgJ/nMD0FWgOyZ5KFexP092X3noO8wx59Ql
gv/YcTe9ALtEwNsa5+45TcvoYw/awfnI2qBkHO6T9Mc4SvtzZG5EZWEbpq6VpsUDG8EUHpzVRVqo
vH5+FDyookgq3I/sZSZu7isCIOCM+J0AJWqHPYMoF/cU6tTVHyLqk+rGFUt1/X76GstIvQUMsEx2
kCJRIPJ4Spo3wEj6uwa3q7+wx7gbONyg4A8jLEsnzohheBp6N6IhxjToR8dtf++7wfnJVzPsB2Ry
/cd45XQPY1Alf9dVd/9G5TLe60AG0XGxqRJ/9LC00fUE9c0IaSzdD+WvfXSLttkOb/DvtJ+2dknB
blrHXf4o3kyYujKeGH/b2mNQ61z/0FC+hCBrd9oWjqfr7spkDbZXpLfBrVZEjB+6GGXBZRikM138
GSCe6TXV4QkUoUExblAMQaW2GYy0Cr8XNxDcM4kfN5euNsszJaAYPFsc6e90zrv/BXO1386V1wFq
0sjDCdTb7RnXr3xBrlaNwBpky7yEdTh9NKPvfOpeqIBA8LR/8mbXKS9ydpwHNJ7l8uEP+O4oKRbr
hRYWQGynX9tXpsSAiOS6okYUb7d7l05jgiw34wnKfdAn0gKizb0kvU7Gc9BU+3QO92ndqAPRyENT
uUTtc0ZUTvMVjJnKngAGtvVBKYbLo9zic0ZGWLxo/1doW/8NWsedmbnnPTrXJY3Zlxljw3glu/x/
S9OUYKiyXV6Ax7r6gqixeep2u9bPgA8pLRk2Nn/F1nE81RjVNycfNtPoU9h4yQhONzSWasKEG3oY
cIcdZNiEyXnfAJouUR8lshCkO577RTohJeppNX2RIh3VJJC2Cs65/R9nZ7YbN7Kt6Vc5ONdFdDAY
JIMH3X2RmcxZ82TrhrAtifM88+n7y9032yrDRm2ggALKLlEcImKt9U9wx5hvMQrY9LNG4A3DgRaR
TPQySg9Z1dfvbN3h44K12uCbWQJUVVktOpkEJ9gPolHTE7T5eTyVLl3vWsWjG/m9uVj+KCs73dS5
TvR2MdMYNcXExD4jzGlngJN2K9smmhKYNzcRupqBaR0QqccvcEh0isiSPIc1BVBQPxqzUXxHswH8
UzEYxRNg7isLoUiDzjMuy/KUhbVpbt2O9Ojd2CLTfp5Nd+yAwphhg92XsUMRbysKZdKj2QiUx6cO
H/RHyPR8omUvUvjl6JUZj2MCuIrQGEDJrU3Jr9JMOt4awVDZMK8HoqKgoqDTohztvwAsZq8Wh4DJ
B0ZDDQk5Cbf4naEzhCHgPgJDRNcTopxoVWS1KnfaJi17MzgLBpBEsKqzSWX+IQt3NrcLCW3NqsYj
5kdLex8dAOfSdxnbsBLDYRi+s4lUExx7ytAtMrnyW2zGrkbnwqazQuMmm9W8IIjdZPSFKHnsIgBY
Vp77ikw2xxMkzrUJkpSX310XuXTDvNVdJxR8pyDsdLTJGtX8oBSAQ1aOyvYwuCjK4mDBlLgv0opx
nSZAxGZOmZYfQy/0V9UjecAUCVBXhhPr3jMUJ2PVtpXekXMApTV0iuk7sHZS7yHP4TINBWi+WTqo
J3uaeQDGrhNLj4qyE2/ozhiOoVMIj7lASwIR0swyzIWtyfQRsCLKdDtHn0ymb9k2WzykhpgPwPFT
ppbv1WK6L31T9dfgtIzIC10MTx3rOGeVO/kJMQxkt6JHJZXkFpiFmNP4Zmxx3NnObajYSsIGpn0E
ufto2Jw4m6qwm5uhHarvOjbVB2496WmZ0QMAl6kSRA/R40feXzQL9KWgpVq1xjZ2O3G/pANTRmkV
CzmtvWoW+Ip4Cfr8gvS2UCaWW1Z18wPGY2AzxgSJIt6wcvYUAHgoFKWBGsloC3iIGfyQTVRb0v6K
1x6D1iS0C4k1khfNe6tb5HAYs7Q4FrbAQDs0Clftwb7LHIftiPasLsXSfrGNWZoH6OTg7hgb5JCX
IMy1UEH48FejW0xnurzYO5q0SO3VAAX5rpxU7mBCkMec55ra1tcCR8ZVkgzzlTVeRjBmMnruZmyV
4ofgUZu+xhiXBDsG43zmOjWN5h47IlWuVZB4p8gwLgO3wElubGMs3gUkEsH/HrsnEenwlU7AW1bu
GGTOAcO2IjtVGdPsezOujfiAXXa8bAIY/RBcyddmRITMxU2SKr1t0jEhLBSviNfcI1dgg5UZKOJo
2pn2u9Acok2K2vwaEShyRdpKhVjbGaczGkuwd5fCQ64qmfdQUnsidu/aNFfTRppTanNozpw3VdsP
Zxm08ZvUnSq/utFkfpvAhYpkI/I6KHy0R9G1ZryV7Qgc8WD1uTWRjh0b9Q1kDEv+YD3lwSmPSnnN
PhmxOZf22J1LNgQEjRn3Z54zRmvWMXXCODnYYII3Y9QN31zYSG+CXvK+a0CE/WlJ2i+6jcPBj1RX
jPcFhO9NhOwW1X6Nl2+hexdrVzmHe1HmI6hn2EQ+AbNluHFhVIdbK1A6PzBzJZEhCzx2X35/chhb
YOCn3mtFd5MRCXhy+XZmcKuaWUMwEMW66xkC4xWVpdnahFGPJk9rpN7jhfgIE917KjQ63pUzuvVr
OETqgkEncbcqncSz1h4ocrxSdhp+KwsgGdgTzD5XngCu2HCoTA9l4rC+4gQ55spgX2sOQRIMX2zq
1dvQzEqqByXHN9tsxscpCRAYIuizth4Srdekidt8A3nM2IuiTb/ppqMhT62iW4FmyWlzoS5bmwgQ
e9gGKo7KjUkB+AXGU/nNsBOyTEIcHBCKJO59TlxScJLpKE84mkzWIdRDDbgCaJsfcQjq7wvlVssG
4R6ClAorkeBE9wTlxs0B/FczwEO7aqTTW/RBpf0VUM6L9iafPUdg6ubPjJHa4RxCz8u2zgw7f4s9
AkE8sIitdRmQF8spJYthg9pBq31DB4SMrq1LJCFyCuU6SS5stUuqYH7GeW4Yt6nXWSC4RVbe5aCQ
jIbMREPrnwJ7uSoSSmjqmd6xDkUtPUKFmYUG29lmUOGPLrkHEZNr+mIwCMhxQV6vU+S+A8Lybkbl
OUvjMI4UKP7YAU+tBPMRGAVzGWE0MYwl3RYmSc2pGy6EcCk5bUjHaV3oVAEyMPiZyc1i22BZVjI1
uNCMg6vOea6WrQqRua5EhuXLCru55nUc2+wxaIs5P2ZzMd+0adBfUwcDVlpKztAmW1WfA3ijSKyN
oKUIt4z+RqL0l+iq7OHUFqW3PKP+X65dQTYYrb+EOU0x2zBwWzRCcpbE/eTigbQ1nCVur3kq2sXd
hV3omGhO+53d5dg0G0CNHLYQ6RIfH4P8JohzFi1Hn7qnV1YFGZ4YmuC/VRdfmixwT4vJdr+isM2f
ayvJrwbDIWc5zPCspQvTCNkY8hwodGEwpWWZaVQFQm8JZ6CvmYifALZ23Xp5q0oFa6Ja7HpDAm9w
jZdJF54ZFdpRsm5y4XFb9fBspKF9rBB581SB0HZTNqvBbyERkpzNuJTBfOzK/E2Oao5OfYLgbVgZ
sZrKlwx3lR95bcEeMzpzwrW+MbObcVD2tCpKq3S3lHQUP+QmscHgS1gDl6UzvEQAejP08yEQp9J0
LlIhhH4JhHrDgoZwYT2u0wnaORo4qZjSklNCJVJNs71xL2MYBjMqQD+HTn1Z1TCRumsDg/flpkpd
53vVVRYcfQqExl8wnBUvnHCVPk5LineJcth8V9FUNsjDJseAD2Eny9FJwWPwTB+HzthWNRXhphM1
O3gBp3Mt0PaHaw/6IvJhzsb1FOvhmnk5SeNRTV23bVJ0qmuvMCfrBJ1Kj9gShKSEMhJo3rC37cIn
mKNRi/lLB+2kK2uMhTToFuL+tG9Q3iIgjG77QFb30IgG9LD0gnqNV4f3Q429Tg9uGQ1v+TRHV70e
HPx8qty+IdrElt/IAaL9R3rv2qsKdKPfXIp2moIoRXjYDLMz4hgwXlRkc+jcOcQjQWeTRsUgVPZt
e5enqOe5WIFsTDtT3Po6rtV9cJHCUnELlfv0sAp1cgs1AwVTVIo7yBVQ4wYRltcX3dFhyqF6MFrJ
mXAQY4q8qfZIvaf1Ltx4R9mErsFy5genwiX1dQ5RgA2Dp/PbuVRRcYiCqCneSdeFqIyEAnC/BKdu
9/Bz3Sv47MSalbVE2+AxVmMMFHis/Bzq4B3oP4VNI3ssfxy8eF4aF/XIyprt+ZFZuLpr+mb6HoOC
fp0MwyyeLa8eDkNpR4ixaIOZ0FRFTingZh8mERXvAiAnWHVL3z6k/FaX0QgQ8CaNkCjSkMXiS1u6
gbRWi2o06zPhlgdws4oEPUbypQ1zn2IJDDck7jPBNwNYgnGGb4YOVCSYu90W+ZA4hotjxuWOjaOJ
juwnwl5HMJkdX0Im5OgU1vIdYtGwbOLa0/qYpswh10o106nOOcT8VKZhjTmVLK0HJ6uj5qiLoP9W
An8giMJV5fkia43xU4ina7ZFii435oTeNlHO7Llpadmx3IBs4UO5ivLXyKjYeHty1bxD0o7mXTT3
9bQ3WTzhKpzT4drovRmvfPwX6DTslvK/rZueCKPioh8FGBjRb5oecvpMlcW7GeE5uMq91O58q5CG
uU5QCjAREGPADEw64bmD+fXVBdUAGYgjs1kr4gu9TYhhSrxOyIO8LYvWejHyeWkfO4vPhE+VZQ81
tMr7J7r4pH9xHfjp6GCX7snAq+eFec9FwF9H5W0QptwNWGl/xp6jFmtk+tB0vKKzHzzinvL1GCcL
RwMdPqRI1Ad67SVC33hm16ACn6D8DoAHcdmelWtp6Bpm2N1aARG9WxOjihcXIPobj9uy9ypYBF17
i3h1K5p0cvbwbJOjGURBubZa22RyxoQAY6gOyi/ZQREockjvq6+8bKInHkrNj50d4j5PdTmP5zIM
6/Y4xoELjKbxilkzSdLMRxg/oIPlvzAnAqgvt4gBkAoNLU5ya3QgPVKuVCzjhjIW/45oliy5eQgD
tUnbCJZu34TwAJinUrdWOChDGMAvzfQnREE7KBe14xvo+agMGPWJDSpLma+WQqEot0op7uo2QI7N
Pln6CGAjY933EBXWcbssEjGRTpr9ODpsMklWhsmPnAarw3jHlPZqmMfqazQvXrmH4Keclejq8DF2
hvBpQAkPgGl7nU0kQtF8Y17F89JR2n5tMyGAiFCWkIxjxc0ZbB5ooGtmjLikNUV6h8Cw/pH2OFbj
6KHnYNXHBeKPALnovO0xgr9bFA8T5Dek04sYXL44jmWQlFkWZshaLvRz4PAujhkZq2PGDicgSRKN
TG9ZeYZ91OiEq2OcuZgRFNT17Y7+PXmYWzb6dQibrVvRrwyR7yLqH7dZgf3KSsc4wm2syAse+lwk
5o1Z5s4BXkAfr3HcCbc4MqfZfi6iLj5Bv+Noa+G0iqM3MLNegaF1KDU8TAShJzk7cMmmOZu4rJlr
3QzlYzsq79FETq22DavnIn8vjR3G43W44xu97Pe90bBf91W6Bd/t4RFN0n3BNBzCYTsZUJkGxcL0
eql2Y93D3MhimevdULa9sxkRl24vwC2KF4Sol1mlYiiK1FFU26kb9b3RlNA/YlV0GQmJdf91xsPL
3WSwhu/hpIM7BWiPIaXPCtp7X0k7xxolgs08NQ3qHgPMxINuikCLQiymZZtsuIQIjSbM2S60wqg2
62TV4cn2NnC6Pk3lgusAVCRZ34xc69pcUFL42GgYIdfN2v2MeMo4May1nPWEHn2EpJvahwCpar/J
iojRKdvHSPApONhlI651fJsnkhFoDU61MkEdg9M492TK9BkRNxenHEu9tyQMXOu6a0aAeXx0YM8R
UGeu0DG7Yh2TFn7HyxsyYI2i/O55sf2lgtrjHl0rSMQew+TZo4CWsjhbU784LDlbviL0cp8561PT
7+F+0vfGpvfdbAzzAZsA+uCWeKYLqzHm447zN69uF7nOMZbpj0sQmuGOcbb3XjlY8h9MS4QYoTOO
N9aj1VeLX1uIFM7YT1jxhtKKijgvh+ZlIa84WjWGLpEyG5EJlUXbVO8pbIzhYDp5xxrysnzaWiVy
gk0VMuf3HRt/D0z3Fot6KiT/8wHPBmQYTggPd7swZGS8Z0/qYDIMroBkFBZsNoaKx16HdMg4j+F4
ME3tFKykUJp9BOriXVJPiQKZ7pl4RxCGT5ZG4o4prMQqLgE7wr1PGtM3vFaCJ8sxiniPrkx+BzbC
nZNCbcSLs5fSn5nCmWtHt20J4mUjI06HFOe5CMUMB7og4nxtDxcnaijElH4uzO9ihRFw8aEQepVH
16ZKWyc557+PDbR7sfKLUGyyrjzaf5xI+ifKLt5SOU7TslGzayZfRe20E/S1CmuUMFryW8sLE6Yb
1MN84UwI8nuMOkumlotiqpCyLXwxMtjne4iyLaaSuctoUVOlwsgupBOgOiYsHt6LyaO+yRpAigPV
SSYP9FVTeoS+I1qEgUOK/6idRRqFr8ZCAXk2QOCS1xznbBbLcnKzvkA1ki+ZvkZESwoHo2jnq1sD
zj0a+MFof2aCxwUNCF5YXCwVIikrS5adg1aVqVkfh/V3DwLkMUfGNZ8hvIllZ40oiHeDJo3lBmQ1
uOlLJ/0uiq6N76GDw2DkG5wZVqI5pp+oLTGvRT/Y7qvF8D85op2Lk01LkgFBUbzAEqmnhBR2yXY0
jpEMxHM6R4azT/speRRlh9nBUJYjgoI0RDGkdZydeDDDrdeWZexzBpX596Sl8PFbI17qXW/H8xXM
cgzIZ7NxvkQpRMOJ9c2yDZs2ggzrhtNNceFZMovS9wKjKoS/0kq2NXN/gpwRz9f3BSlt0xZFQdqf
U8+a3K0w8mK3CHoh1LqixpyCt3EyzWqo1zijeY4/JGrQ2wFDVZj7Nu79CDCSvjiMlm6+YgFaAVZY
nEX7YsKL3R9bWpx9gj2EPydeV954dld8seMlfdGYB9INmcH8OC9JUp7lBLHOp7bR0g8lTOZNOC1h
sOn0DB8zwpqJtRHC2mLGbIIZ0RKC9E9aQijMCaGOMBJaThNWQv2u9MJUrXl+6YDKN5z4WMumuM+M
ZDSeIBq3HEGJs7hnN05k4MNDpnhGekS7ZI5jke3p5tLmqjXq9lZMVjX4QzcOMXyFJLJ9Ew/MLykc
rXjrtl7X74BZoiMOdrReUyXhewCX5ByEi5EMfu/V1dmyykrhKOMu2a4NJskqtuHz0oEYef+t8yZ4
WJWNGyBidE/vFoiN0YrOQtJZLmZuYQOZduXLxJkE8cM0SDBFKlSAozGdn9BbqSTHAMPtqxXkVmu6
pSiU1Rp3SEa6pBjaR5lA9T4MTTnGh4p3wcAAEmx1hhM6jiTKedZVqofQvhm71EuvximegKXTdtpB
JI3fRsNwxTYLEl6aKRd5YI6G7ZN0issCbw37o4iGeroGBXabbZvlrXecDDSBwAgjcnBAti70TYw/
scRqlXg2SrtnJrI4Hce/OzP2wUEnQUDqxBrdgp1f1GqGFmvdFQLnwAVckhmcDM2btvLCEccyx7X9
CrdvtoSO0mtrVkyP8C7Com+xjPEN3ob9kZYNSmydJwiQrbKcr1DARW9UIVV+EcB3G2+cYAJe9vIN
/c8EPhtN4X3ZJEx6oXEwGxSNsEiKCormHeey+HuyFEBJAUXfzmUaEJ3RjRHkUMJD60np6LL+IR5L
OrwusoK7tDbLN3Q6+NfUaOQnPzVbFaD7WxhvmNokjcFl7unh6iAx3NJsGhxECB2eo7wu9TEIy/55
KZblATsNnBgoyd+RTZVsPq7XVtgxtN7eauFxYduzzI8ire0LrWGGG+jwdd21VpTsY8MJb+mdgKKc
Dgn9MbNbmqWL/1i5xigMQwXVmEay0t1guoeKmKq3vh4RS8oGgT2mtDUqJs0cYt4LdAnVc5XhRLvN
rSX4ZqdT1x8L1u4O3XLQnaauSD+YLbYCmlmnTjaEjQ4jUtQoH96AboqZHpxf1m9I9T3o3Kp97OlK
b9VYQb7zEi9s1ujt6+w4JUlmAv8tkgmujWYB/kyVXuNaFmbX2NWwFZdDigGDYzH83dQZfeOlkx2C
oxZAjL6Qi1v6ovEwriV4ek5XCmNZmJro3LvrkpX2qhqve6vdMjhjAUQQN7oxmCFtVZsXN3naGwp8
J138RUfmHWbQkKAaL6vu4EkAdre85n2LKRhQPo3iq4AJn24g9OLujIcsHuxLUJmpb6SW88HLasx1
gRF3dFDxJJnbVBgirgM7S+0TR10f7nAmUtEOPSWvgL857HVSZJxMtuW2Z/IOOTFcRCV8gm2hXyJq
lGYfCryszaIw3m1Bnsl+KfpYbqekX8qLria/g/vKVJZnlL8XjWIyaafd8pHnGO5dYeTSWNtoEN0P
3Oyjd5qa6TqG5HinxhIBYJGZ1XOqTeuJTc+7jvu8++KhmOz90PA0Yvlcodsa5UtIIflsL8s4rkIc
ETp6tSUxfMbnxSGF3wQ3LhaK41zMXbtJ6TPQt2sN/7+reryZAxXYN8S/dQZbaNL/oGkGx8zG2PwW
w9Z8HXrL/SqqgdCIS4qqS8cd2g+Z7KFIlVaGrnROnfGEU5ZjrTOmE6X4CjiWB4eyDPXo5wzA1DpB
xtxsmXcZD0sQL69SNE2zsYLO/srAnM/c8S6dEha0ze2MowFmBli3AIJDTLpRISPxFUWMpFQqzPja
qGFmrrwuLEffM5yMGRqo0KZtYt0DrYNFQFyV47uak+yW9M0AvjNHGJ5VgWqh0AUOcRe2O07JGVdO
8dQN1AXGkAXZGgEGQ0yhQdxG2y2MdeCR8HatF8/Ef7O1xVcHxcMdPJ4oWqcQUzVMTg3VV6O93oON
IOgvakO/EH3lmhuDGnDLWBNXoj4bsB0xPWTB24ITDwYBrLw1Oqkm8VGHMdG0c0zZ7iHeC1Rz+Iqg
Q6vIjTamCyhRAPciushQGo2LNLtdBMHg4g3QZvRcMWjwqrVBCXGk6PLuCBFqfCJ8QnWvnTVj7QhR
x5C7zJzIWwoYRVrwxCsnf+4dTLRgN3Ptu8ZpLya6Ob/RXDfdG/FrWgPhkel6pJYqz8nYmVhtTGP1
PpPte5YMahjqA5VfWams+q2ePTjWKQvWOjMwXJKNbVUeu67FiX1tzpAn/CUndmpbZb1+oTfI8rVo
MF5cATFxlsbzgplfnTQdtjFUgOM21wtld2DpsrmgzGG8sUe0DRuVyAvga9jB0+zM2UdXUKV/kI8H
gx1PUrM/5TVWNyvs/jDKH2rwxJVKltLxi4JbAm1gfrKKYmU/jVFVgjxoyZQ/qWPE5CBD1dvsLKTA
4wTejpsY2euwwpesttdUMM57Dtvv1Myt+LhQjMKVOdATsPswglj1+Axe1EeQ9zGHnb0HMw+H9HY0
dB+d4rZykPQh52c5Nshf67JMEEg1YbfLS4HOzlFeRv9pLMv3mLkONnhlY27L0OkUcx2tYAp2WCpf
BTWOOit7wodgP7o2Yy2UaaJZBZ1hP8QYB791Du7ImLl4403qNUG4tq2WHTaIWb9bO4K0sM0ae7ZX
s1WV1/juguQbOLXgJDuJF6e12u8dXuRwayRl6E47g3hPyDTKrjlty2tkTRFlUSDM3jeaQECZzpAq
cgNhwhAUv+6jHrvkESMUkCnM85qnStUdLv1zMvzAq6suV4NyxXujShFsMKAA0sD7TN92mRNRHbDb
4mpXq+TDYwniAyyHBPxJjc55pABGrRT17o8cM9sB5ylcdFYZraC7wo+JTaDIxDiivW9Q1nkAsMeF
PMqJ1msS6QqXHufNaSF7t0nTBGuZBZwepdW4V/DQkbrASfJeYJdHe9nE+PI0+YgoObGx5vZ5H5BD
sC7voO5M2r0AbhG8C9Oq0+JG5JX8UcIOqA4e1pE5buWteCPew7DWc1hYiEcLp0t2At76tdJT3u08
GSzDOmtAOf2ZOB2xg383Xzt66hGwTKE5bYitrL5lYRh/DaA0PinHm7B8mxoW05uXRiLf4QLVtysn
F6GAdtP3dzGhEcE+adI0PsB6oKaGbtcdtCpN7KQgkr9MRaxfNP761C/DMEGAyQf8ps1l+BbnFtX6
0hF0rDJFywk10n5ctHKZaGLQhSDRJm8FNIaM0xvm4vaT4WWogo1UZVgwawbdPV4GDqyJvHFgFjNy
upQBJbz0B7tb2BSrCs0duGc7tFtnKOyvfUiG9TqVi/XoLFALiU0IhZ+AWMPZwGVDgkIrulPWUGTj
PIrkYgMx2UV+WaEUZLTh1QZIq4DDpgbMb1dhzta6iZiB+SNOTQTCNmD268GF/n0NI6TDuQw4CI9r
gRxCxmuu5dW+6Mc0ewzxHAkwvJ6AIWFReoOP8y4KhMBJJ4A5Qr7zPQdyHG4Yh6hsb1nw6vxKDtZ3
G3i9OOPnT3GdN8bF1qorsVxPFHkQfGeG9cVsQueRoEVD+1ZuLhk8JTRuG8uF0LGBukOFioyxPE/E
pTznkCK+92VjFOB/Wj3l7TxglYEAm8lEWJlfMKDP7vXQzAz4oXpdefhR4AJYnNJsPtbCIUXHYwj/
UbCtztDeykjjqDhUzNzxwSZXw9XTUz7005d6gfFu6CSFh9wuw6mJJ2bMlhIxhriQvJ8yyHjyNBFE
gDiM8uriLYDWakcmU3NrDpJvY4RX9zhXVmmewENjmkVkPtc4NY6QqjAYR4fhQOc0trCMMJfqXMt8
wIMulK+20zIzH8n+uo7YwH8oM5Tz1klwqL4ykJgwK549nbCzYvPOHDC39K3KIjQIPSqO2l9khLYy
iWZr3oTwMA8cJn2GK2kJfbo1lH3f53bPIZZxLlUISftVLGsjpZR0mqMzxJ63SYrIpT7BJsby3akb
Xhd3tp7NaC7kpgWadddiqDVfdEi2HXa58cz0uEBZY8E9yk+zLSzBfMULuq/RiIb7TKkyHxExy27b
WMz0Q3YDdPZg+JiCo+ktbyGA0p2C30ZPw+iyk3l9aCUb4CDNYD5g3LGhm0q/GJh+1Gt8K2d3S3JY
+qWIWmfCgcaYjn/V9CQ0QqBMbmZzwIgSt46hqXEy/6uOvHGsi4wkGm3l4tyQI/LdMqOEAXAuwE6G
AIEC/ty19SPsUJ6iRYPDhlnBGN5XNogOqS4Jkz4S0vAHEfTusF16zAFfGY33+rZuoqK/As+WlO9l
EwaPZj+JZSPjRR0QHMU5cps6KlZ/eaNlzQVl3QaCTXICV/AwD+dTT7d/mRXDiorZ4CZyA+cNwK57
KqwkvtROcLEE8uSXv5YFRaMYLCTATisDKloBY9GA4soYpMqd7V8oKDtPuEHml46MrLXg3DyKlBCe
fQKRef5Dftwv4s7kJVeNn+IK3Cou0Ur/linUwnVMRVVfArikeslsiC7baewmaz/1YXZe4Nm9zkE6
HzrVJX8Iyv1FJJVU4N+U8UoJz/yUdThSzbjscly7wGJ+DhzXj7H+Z859YVmnnfb/+7/+1//93z+m
/wnfy9v/H7/1X0Wf35YxM7b/89+/iIniep6C4gjfxNOfEg7DZG7IDqKDMiRQK56MH0bfNdf0GtMf
8kkvYVo/xX+xYcBBV8Ki/7F5sj8/1ZGc2BKHLWcdN0Z8Gpde7jhQx7UySImwc+tb44zYnRO3cWrt
/sfvb/NvOX0gcVzSdJWwKRfFp7SzOhrCFFU+SRJFkxwqEZNhiXHHtg079IJqiHDkSbN/+mz/dVHu
WgjodfJzvPIyV2MX2XDglravnoWFTXZR1cYN5vjxP01X5MY8W1maVFtJkNmn1whqNnWkHSA3q6p2
W7hesUG42m2mgHil3z/Kv30xrjKZq5g2/7ZtR3yKPFSBHCoc8bGedJ2Hxkuyq8mqP1Q+5Nf//EL0
k8qzXRMkVXxKZ8tMx4bmhHcArrntamIqcCPZXreA4Wg1f3+tvy07bkZpx7M9Evc0wt2fP070tsSv
5J5au3iP4iw9y1VqlYAWcIZXxGMMm99f729BYpfreZfXxQYjUc79fL2k6kJsz7heAzd/hwOk4at+
ye9+f5Vf3BUJn9IDqBCMNz7nXOd1uHCsa4pOcsnWQZl4W+Sj+OR2AisUa3Qefn+9X3wa0nVR+nrS
BRX6vMRNA1VsLmDkZaJv19J2QHVrzIrUqJfn31/qF7eG1lLafO8uz1B9emHDZTyQx4RPLEXmPCVV
D+jgVuqjw65wB3s1+sO+/Itbs4SE2ceIgAUmL3/+b2eCQToAJyWcOgNr3v0SllTlEKrWHON/Smb8
1aVMzC4Ehk0cMJ8XGI4H3UXGgP0MrqB74l1YAT0QAkq2/p/mEbok+wp8aS//eHz5P9+VDNCpoCi6
rGVVrwwZi0MAnbAxEvWHDepX74s9g70Q4i27/6f3VUkoh1PErTQQGtDr0mSP4ZTsInvEf22pk+3v
v49fPkSQU+U4hKCLz5nBJH+M2eDxKRYkI++m0Qo3ivCwXdcmH//BlaRnYTyihcvR/fMzRPJPko6L
TDxtgOaXPgz8prQGP5nC5j+5KQtxpeAROrb16VIhtb0y44ldapS45uEbcLADRBjYQLh/iI/8+2nN
l4HJJ9gadEXSbX++K4jlsG8CDIZxximgNo946GxDCnNAeYJDP8amgbzXSQMkZIGlfJw9i6b3P3i0
WhCjbmptafPT51nSwBfNhOuDDIyaRCS05wwsm73QY/KHDflfP+vn8gQ1syDSwhEgwCTZ/3zDIsy7
ElDMWhdLEX0xGlCcVTcRdFTBObsRUZbexk2jTgBk7ZlUPHHDkbv4wO36ACfHfZ/TaniHpF1oenxI
WiD86T6JTQa8BmKYPxxYf6tRWbn//ut+ej+GAWk1dbS1TsEswiIChQ0mghCIvfAxbxfrfO5inIex
Dfn9O/lXBfq7ByV/flD4pCB4Gblyi5UjpAd85nJ94zA8W9emM5y8Cy2AQcFH0FjNWcR5tK/74A+/
xa+WN5s/78u5bFz603aMlEglFjQfdH84TQYxjuMt5P8DluH1Hy51WVR/u1/sFFjhkIId59OiY+yS
9Aj51DroXm0YmzuAmQJoF1fZCkuh3z/dX13MuiSMwvZADCE/1TxelXbq4oYL9FiE5ro0VXU23KTZ
2eOUMY9XaND+cH/mr66pGRlQkUjHlZ9zjT0U11QRhHFi59Li9EsyAXzsoDq4lOuHmewvCCnS2WIe
ON7CLupuZmukF1pSYveYRjorww49f4YIXm+Q1IhtzdR89/sHczkfPr0FdMYmjiqaoR/nyM9fXXF5
ByWuWnDk0FrqGgq+AoPzf3+VX3xWnE0eVS2nlBTi07cdLBMwLE4I63YWuOwqPFNcW66Q48/b31/p
F/sre7jJ6S557Jbz6QPORmuAe0cBCEzUHJaoCA4VMM+aocoFi3CK3dCaEfaQnnEmTKT55zsrVTU7
CLHa7BJ/S2OfEIPGY2SvPaM07jpHILcQc1WeUWFnX35/q7/4vmwCjxXtAl+X+bmdhi+JLLjmWhKi
8L6HpbxqGNgxfk3w/KAs+FNQ7y/eosPxyCskr9sG1vv5WyFXB39Pm9k+7LX2SEY6doBVp8+N1N4f
XuPlR336LLmUZ0pqG9pn89MHQ3BPS1ZQwImcuWBBWRv3uJbGEb7g5Kz5oxLyirAs4w/bxC9WgwOR
STs25BvbNi9//m/VaFZMNWG3GO/ZLmFE2HHFmyCqnPM/fnGgE7iTS4YxLuajP1/FMXCWR2xKkbsE
4kHVVQJ2AAF5j8Yy9eDiDbX8w2b0y1fnOXSVnPmm+/84O48duZUsDT8RAfogt8m0pZL32hBX19B7
z6efLzSYgcgkkigJvWh0AxUZDHfMb5zVxCyj1bgD2StqELTVSUFi7DU6J1Z8jCCavzxd4QOyerZj
6wYR8HJ+LYkTsIIc+UJyCNBGxDkC4+5TXQLxfPwpt+bFpeW4uokvrDBW80oQ1S4AIlse9DMLuyG0
iJUUs9oOAOLx8VBbD7Tc/CQPlHRgfq6mBXNftbuOaWH5JAKvdIreAiogiitSNCo6yymEqHRw84E8
bRr+rWsA8Dj71E9zpxGcP/45WzO3ectooHOfWtbqRWtSPKLEgGom7rvi2sGHOo9u87kboMj+wUiu
izoWGB8eCnkP/XYoyN6wK+UXEC3q2AtAFkP4SAf7ij/ezjfeOvZC5md4rNH7dVbHvhlrYFoNkIoS
yO8NdUY6bXhZHWv6OE/ISCs3iIrO9fH8Nu5RohAiU15jng3dWM4vEKg+TshogypOA3i3QDGy0Na+
T2Z2LWfX38l4N+dIC0mYhFioW64WroDs4OgTKk5+VHTvRWTGHo488xV9jeQZziAGFCgX7qSJ8hys
71PHMiS8Ckt5x17NcUaQDowdQu4peFW0j12kzaBYhdH3x99ya3KOcNiR7EubO275LVFDM/0RLQ/P
nqzm8zi7+lNdAGSNcSX9MoRO+twNyvTP40G3jgJlZVRFXZI405KT/32D1rmozAG1BOgw47GYlMmz
UwV+AH3iy4uHotpJJYZaoCz9rL4jJtuSbUbrAAqwdgypUT5TVk7OaeX3O0/gxqyokkN1UgWZIkHN
clYdFCaIWQ1qsa6qnhMwlbRCUhsJbOe/x5Pa2BxQ/diKBEzUYNTVoo2q7zdJqTWeAaDkTY1x9Qjf
M8en8/E4G7GZjI10G7ocxRFrdYE6osqTGHlbkC61e00VRzkbWat6BOY0POGnvzN60AoljyBGCCL5
+Xj4jXMuhGoDKaFPZlOfWX5Qp847KxAG51y1ho/CV+cP4LmRLXX6/FxNubJTZ904CwK/U+riVLYM
Z31vJp0P5Tiho5hgY3WJdFf81ygQOyMa+4iYYFGZxUPz9sWT5KZGAsYwDFUlfVhOEvljhPtBaXu9
i0BdgVLEW5u+9BlNSHRNyCN31vTXV1vdLDyF7E/HsDiDYnVlu+kw0SVtEFfrkuSnFWbib3mx/1QF
tE6oUzUa7Vo4hjCYZuge4LiCTxl1R/v4eOL3X9sStkscYRBb4S6+Oi7QOJBwiiiPqraiv8c4Mf2P
RgQuqFAPXiGXYInDBL/G3HmG7zeVxaYiW+EFZmAhT/Fvd4+NxnDkYKyEhyGuY2DzpiNmlMkTTJZ/
2YTRziw3h9Mc2VlyNZencjkcsoUazCXgTVIH8BMIHvNWp/ozulcginDoLMXL5ye/KF5fEOE15rgc
0LGlMnExNLB/FLqSMQf249yZ9i22/AETzaLdmeHGOmLqxpiCd4RgdfU8GlUfZTgtQf90s+YaGSUK
9tg7HBXfT65hqPi3WVH0nVMjb57lJqaSz31OTkPaRj61nCVl2YLmEUcVXw9wTfWI0WBCnCO0svzH
Dqvqn7ht8BCAXrRzfu5veTmyTTxAAm4DvFqObKIuNNWVxYOJhumJzrO41YajP6P1U+w0Cjf2DnVb
zaAWRwGXS3A5lOLrcRmaJgiHEt3GepzmE/xqYM5z+bHwcfN+fCA3Z8YKUk0CV2daq1clyUSozBGg
E2jO+bkgbgTg7ytn5HPSnY+4tXwaZR3Xdmk2qWK1SWN9hN2RSQ2ZGf5fXyvByUR7B5Vv4wuNX/2C
qJG0ShiVnVhOXirLfUMyzJCOS/DIF11t1mSYcCfK6hbyB1UlBaeic0SlY+dI3C8cWQdFY/YlV83d
Gew1dEkgf7de08TI6kAHOCJEU55R60R1CHeYnc+pyZ2wnpaQKRn9Jp2YeHUcarVEKLk1WrDOlhQB
VeLLlIXmiUJ5D0kcIs1FLRtoAraaXasqQ640cttT2wcG0h5D9VpFWO3z4+10v8Y2Gn46BTz6zbwg
q+0E5jqAfCfX2FRz9CSzRvkUJO14QSvI/tq2EDGv8WiglA2Cm8vw8egbS+CSXRL18Q/Gxuqad4U9
QssFuqA0848ACWTaLRhNT5CZuALPjwe7j5O4hTSas5wbyyAuWB5U/HZKRBFxqFABdV8x5UJoR8zD
1c+wzaWSJm5FkCEo2bVtfLIAILy8Ciw4RIzPr7ARZV+dJ9Wq8fbK884r0LI4w3jXPqhVahzRHmp2
gqT7E8RQRGRQSHm8mfByrp3kHiQWeBt9zGEcV2F7iehy7uzojVEIwcgrZWxAK2K1fJgKQWdHeNzT
HZi6Ew5AT2gK9qfH6yb/yvLYCFl0lLOB2cJ+Wc6lQLgWOekRjVap6TWFRn+ztfibMczz5Q9Gsgnx
DBI66mSrULZHuQziytB7Q2BP6NPELlo1/k04fb8z0sZepGJOEqKhVE0/fb0+oYM1jS31Y2DuNvAj
OutsjvrwWtOp0h8yo0k+ZROMvUb01ddmsF9eOkaBDsSQDizBpr+5OveI9FLVyUBRSbziM03w+VQM
aFMm6mj+wfr9giq4v1Zv3QZEB6bvRKcjKxHE2nMlEvpzWRe/Q/Fwrx8hP9t6qwhmJOErKqLSqw3p
+BhVaRM8y8qYjY9o3pVfS8XWv+oKyN5D3zruMSvy4sXPFb68ANdIKDUqZuvFRLJnHNPA7L0RJOUr
zJXKoza41s5h2zoGmNxR/ZMoAtq3y2MwTJhDqyYy7XAN0QadDfRajbn28PN7eWmKqZBPcn3QTqUO
uBxK0+EqA68G7CSwLREItZ5ww7MOgYEky8uPnKygSOgAfW9rdeT0usEYqDd6r/Kb6TK7qGOHtIfP
aT/+fDzS1mVF+41nRoKqaEkvJ2W3RubOKY4bVV12t7ZubC93wPg/HmVrlXhQDQtWLcqY1uqyKg2f
gl8M67JysA5BmR856NqqrnNb9DuP591QTIKomkwYoy9wJasoaUZrqbE7/F1VqxcXLFKmazV01Bjg
H50ez+ruXMmh+HI2pVEiXXP1cimYecMoQvIoybPgCvA5QIaoDd/hy9Z8hySPJIGrSVbZi4e1iXKx
GKJtwCuzviVpYLMPSvwweQGIqttvWCdqlzRL9H+RXXUKhKCsauec3e0TEobfB11tfgs5nCwIR4lk
NnWCz6k9T9HQXx9PbWPx6Nq5TM4AM6OusUdd7VpzgVCC7KAZNxyOJiySsHOrK2QHHg91F+LJCYGV
pD/LZwQhsdz4PmiSyBgT6cuZjjizoexqGujvgFdQLmWv2z8IwZKPo2h2TtzdI7caeLVrUHMBS2+G
s9e22nAmBUS8KLLgZ2pzXD4hth4eEfKCdo/38DOd5GznLG7sWlvW3TjztEwoRS8njsbe3NYuTidq
iAfVIVJRtTwGYZo/++gCxPAyKjRBJnQtbn/wxWnAIztFx4xgczkwIVelYdKO7LeP/oAeuc43HRei
C/wXcaxUMV+K2nVO+MiVOwXprSnTGacayPMH/Gv1yYdScbXcL+SUwfB7aNBHwzNy4qry99znyrs+
bGKFCm5R//14yhunhiSKBJiP7RqA6pZTtovZrCYEcLwODYz5FHfIenlxm0fpzp2wNRBBp0G46YIh
XbfceC/0yqmhTtvUoaStzlT7r8IQysrOIm4ORPlNNk5UXBhXM4raWZipn6hSGBkH1wIThrnp9zqy
G/eA4Ab//1FWhzNMEGpH80P1UAJpL8L2kXIPXalCJF5cEwHvRbBOawReJn2Z1XuBmFSV9aEO1sYu
9O+hMmnv9U7Q5AJGdHy8Gza2oSCqxbrelt3mNXwOtxzHzVNf9ZB9Q3IP4UqkwYfpFotmvNXtCLIf
lamdnGfjniNgQe9GxkdgQ1ahhCpCoeC0paEzl9V/U3r5C1nE+c3AzfAK9n1+tGZpMOcKlOUfT3dr
EW1Z4qKcQMF/vVVwvAvaLGGXdJk9XWCk48YYQ/DTkdl5+eskCNslDpL4/Q4j69LsqQP4PfCUmuJS
lLk4Yza5B37fmhDVQpB7AuKis24YhkPtdFONlRtKUtXZnUV1a6vCvOIPbLy0nsWulNUQCecUZMar
S9odsYzD5kv3aivPTkXYTWecv6YLbMa9GujmrAR3h0qobpFJLu8oOjVlMCnMKlS68laEQ3BFAB0h
n7Sad56ezaF4/qgpUhakTbEcKonA52ci1b0GT8wbtAXzVuKe8mSzTfKd3bd12FgpLkSdCI221nIs
XBPitrX5goZR/5tAULxGLTy5BHfcY4tZBMbVc3F5vOPlO7JItFg1Up1f5XJqKWuAQAm8PchHrvvJ
lZ0mrUri41QNWQ5rHg9GBKjzHXTHfUfk15CAfyyNOwWG7HKaFv71+RACFUxQSkaejooDt5lzjkIL
zTkIhdp5jHCUh5XV45xSRhrCCqOr7azs1i3DtMncgXfRm1ndoonQsIgKI8BusaO/U/BiUQFk2MOF
Ktrwd160FoQlFOn7pjb24uH7sTn1XKt4+FHFp4S0/ASlEthjP/k4dRVxdexMc0xQxzvo7hlGUnOs
zHA4tVTwTo8X+/4lZFhLYxubEnu1zm9h6FPO6iC5YatunsQU+68TFO+uj0e5PzJyAKDdJNC8D+p6
cokzT3jIjQBnfetmGAE+Wui7nMey+vrikYTJBSBTaeKzdQiBJTq1uVHocBIN/eQmc3gZHLe6aPNg
70zq/mzSP5coXccGeXEHJgvsyFLyJgKH76KobuQFwuGqgg5V7vhn0K/KQaD+vXMh3B9O2s1gL0hz
yUHpfiy3SSdgb3cWYD0Ym9HVrLC1rXGYu44tVNsmAjT80u8pq0hk8aSHtJjW3zPvk6TBegpdrHDu
IPeONRdDQdLxnAGm2dmM92dgOZjcRr91BsvOD4dBwoVE3aJB7TSIQwSdcVRna8ClF6K+KAy8vzD0
3inzbI1M74xdauNWyxOyHLlQrdYK6Hh6AWJMX5xIQC8t0TlFiRS/2BHN0qrG4tjK9H7n7rtfUJsX
Es6UJJBw7OUu+23O8GyDPGjwVOOGx7kDBOxt1FIY4ygrf0iyat7ZQPdHkfFoOsNUYUDKLcvxUuQa
UfpxJ6xzdPc11eUR97PQOAZmt1dZuP+oQuVq0TXdJhGGa7EcCtGYcUYSYzhaZd1jJtA37efIRaRd
69qkgx48Wj9wWqlfBdiv72yl+8/K2Kwl4GWTMsqaRZVOGtqpY4F6RxmXH3wj9q8zdq1Pg6E3l1DV
up2o+P6zyhiRri/xjgNMcZUWYpEzKnYkhmNtVFzZbjweUM3A2VStvz0+kb/6m8v3WUj4qqvLPpps
cC0/axrWcNHdYDriFYsa45ABHjrUJt6ooPmM7kuPNNY7G0Gdt2BuJ8T9YzohB6kIjSkBjrqHIc3s
nUbp/TMidK5dlQBZPmBroB8aUZ0KSJjP7au4DKLaE3rGkE//PZ67fIBXU4eqZcnohKT/7vaDE47N
lmb2gPp9FKwzULVHED5VdNEwGgV+ZoBmgAzlHJHmbI1DNiGP9/gnbCw0ZRY5OpU5NB/kpv/tvJqu
j05s4rCpLTV5JjBor2ptqU9g4o2dLHVzKJpnsGy46cH1LodqYoPYo9GGoz4rLeZneaiZXtg0SDwL
Y+h2LoaNIIzKMMmVAdhN5narmYU9K6GiTILg0aDkXqdrcKORznkyYKV6favBUTem6AIl2HnTzHXw
Lpi1PUrn1gpDj6Ub5ADShvSznjNSgbpWjBgKadrzpBsYw0R4YefZjCwh9q8IWurKMU3h8hO7dJ8e
r+7m8JwrLg8Y1fBKl8ObaeOHCRfHMc9yehnEpbTwejjQTmyNyCKCfk+hpVHR5uQVithDU28tOTkZ
SHiK82SCqzVobXAc3ViPx6DPyp8lFoWXlKLIuYr1P7gheXjYy9A+qYCseSuB1jmtPg8jaigJihlY
Jl+H0TbOKNpEiNvo7eXxp92aGigj2rR0LTVCpuWnjXHBTEzB9qp6d/xkM8AREmP7Ki6jPdjG1m0k
CyEySALYtd7JbafiFBkBbEyMUi9uYe6gqoTzGU4Dj+ckr9rVfUQ9gncbWisk2jWrVaRTXwYFL1xR
Gc4r3FCtk1+gNlR07fyxtRC4RlXLPT0edOND8nDL2ouEUei/oAi/3UDImYohSNDNs4NywDUMc6Bj
aUhXoLpB42vnWrh7SJEfIDohlKbYahAGLpcNWnxqpp1ovRbbiPiQD5n7nLal+R3XUudNrCT1zh1/
Nz05IIJ/Go0cmIzrW8+crHqYCpAUSTqLq2m2nzRFCa9R1Gh/MjUh0xLBywW5ezk1M0zLqhoYCTeJ
8lpWqFBH6JQh7qeOtw6tjuvjhbuHw8upya4OHXVg4Ws0J7L6gS4qvmWeIS7RhWr4daT9/mSYPTYi
9Sgi+Jrm/CONxvgVYEjljeIE8RW5t+7FZS1+isTEQRQRcKSd1bI21VD3Fq0Xj/9SvU39zDii1wjZ
wO4IXR7Pe2tFySC4zyG2861XAUuvaUYyC75zSfMlg3aLjDEtJ7QkDSUZPzwe7O5IMjEwWygQUHHi
Gl8FYiM+hspsMxiVz/l7hFjwt6pr3fdFGCFCMNgzABRIVO73x8PeXTlyWMQIoK1JvNF6aU3R8Jct
FAKz0Z/OCNH4uGwU6vnxKHfPkxyFWFpmuOCP17BjI+qQk68ZBdnP4egPCDX5uFYcsF1FbwHVlme/
TaNnfDi6o2+huPQnw8v6BGE1ddjVgVGCEUhhYXMXoOF0yUcLzb9+QtJ0btvbLNr5qeVGv7jo8R1w
q/d3zs/90lKa4dRIDhBkB3NVBK6HsYpbU+2xspzn72OPH5LfCqpTeCSXGOf4YlAOfSHUnaDgfv/S
aOI/srfMBrb05T2Rg1dCfpiWeZEwON9afdfY9VtUjdVvjz/wr0LX4kGh+mRwKkEcEgaA2loONSFE
ZMRNSLiVo91+GlRHeadFZpkcwqlOvqu1rePXK5QfmCblbzsnRGc4wksbSeL0W6n1ynOPstvHXPWL
na239fHhJ8jGJuBWkKbLX4ZcY24kAjyQFftRfGiw6DrUvcC9FWXhENMCjJsR2N9DRtzveA6zQTjE
d+cGsVcBWUsrTJg1BuMu1dzqUMxIYx2Sxm6+06zSbHyFgvhi9GX/A13hOTijKD02O/eXvAvXiwIA
SpUgYg3s1epKmbOmFKPASDos+urSqGn/Jgra8ouOmNwndDxeHASyCbjAXOQ4iIAJmZafehaYakEH
67whw8s7iarkiA9l55mok+0cqY2tzYwkagJANnDe1dTw1WpELT3rU55jT2rTeD7VyWOOOM3OV9wc
ChigVDVB0HddA1RoGNqVCU5NdcM3uGx1mpfR0Hxlo/+/hz3cHEuWUUkiILo5qy+o9wLf+9LoPCXT
tRpFsaF0r0XSDGfVzacvjw/txvaQfEtiaPQ47nWLwtCV3WcGKyta4ZRR38RI6WIUNojsSK8YK/fH
A96/NZDpoJ6A8KLCwWOw3B+8ApHR1uwPMaXDm9nnBtRKboLHo2wceLnhqTUgyYQ+zGoUs05QGR0r
ZJ9nPRqPQBpjvKzCKqEeJlwsMWr9FJc+5ouPx92cHd0vi/jEIBB0lrPDjtrGmanmovEVKacZFdEF
kiZCj4/H2dojXLGkkVxq9/xOtaMNTb2z81pZeGsoxF2ywQi9yBDm8Q+Gkn/NoIVD/Le6xJISte0h
YocYmPN5REnaU9b3f5td7uxgBO6TeElyIBWB7cBJI2Bffj0FKo8Dp5/LwkHOrTab4p8ipx6CcWdy
K2bFfjZb80PQD9rPGBGSry4vys6H3VpAghTOBNQo7ufVbEdMilpX46UI8UXwUK6dz43T76lkbDwM
iNqSAlF4Al1srI54OYRZQTO493CrmnkGBv/WY8d6MgoHEb4K1DP6yohsodt7qQxYyS9fUhoZQOlc
GBDGOlE3yhrbd7oNyOvjWjQqSXVEjJLCgD3uJepbG5WQVupBEXuwvsslbfD/QxuyALmax8gpVlN8
7C2wCyM6sztnb3soaJbMS95nq6WD5xwblYqSb0C69VPtm/KzlLm9AWn1d3bqxlDsDvCxtIRQfFjT
ctAEMXNlBiXrk4UcTYixJ2UUwyEbGndnQ25c0FQ6gToyJ/mIr7bKgB6qFqZ44GCRNpwjve0jD0Ma
xP0bvYCVnJjj7fHuuK/RklMhSQYRn3IHpSS5e3/L0esMg0dVvqs5jl/pIUvnwnrXKcOgnYpmrP62
WzNqvUnQ7DgYJPTvq0xo+THECvntmPhGcMJxVuv+2vlZWx8d7BCNPnIjTVszhWKMaxRKCjz30PbP
ymAn1blrcfK8cWmU/9oWjm3eFNNH/9KEg/0at/Zo4F3Lkf7QTGxVzLhPjefRCsXZGGlMfmxBn5U7
QcnG0Za9JkrJtNeJSlYvgIZ8DA6wcefhjDsd7Rz37gCW7MmtkrdR1Wc3HisNP6yqO8v29cvPAPRs
amKCRhtNS7mbflu6Qljk5Tb6VmUYRYfetZRXUaD9VDuIq4+XY2s1DNIZiRG0JHNrOVKMGrNSkaqx
A7GZgZnS4PWKirE1w8l/PNTGYy5TRj4rsAUg6auhULQLQ6gihJRhNb0q62AimK0xn0F7NbhU+mR7
WlXvsXDkX10FziijwWNiGSEZrXtbIsKiCRGi3sPmDU1PfUy/YxuZ76BMNrYLowiiFKCddETWxzvS
tbg3KVFrWod/6dzqr8ImMf5y41icFdQqz6Jo7WOEmxUq8o354fGn/aW3tp4lPCpJ/IC1Cld3uYxR
jwZ0NmCo1/ZubV5130dbDNUafzr49ER8z6+62D/h6KGYJz8sWikDLpp/Y3Oc/kutTv1R5WF1KToj
OuNhHN4GyqSfGyWJ7FNAda8542SjK4coDRuqRAOX6QnLN7sEu9po0dWx0iHFFkjJTynSssXO/O5z
UgIJatGUiSFxUylbvT8Jat2tTXyELqf7JSr7i+vbuLlhpX0IXcU9J06WHIYJZVCsPmjuyQsP7s+3
LLLf521wM632/eNPLi+AxReXO8qGxiErPPeoGLzrK0101CGmtI2/JKQun7AxGm9NgxeYaLGVVaLG
/yyy1Do/HvnuKfk1sgE0W1I7aEQt17rEwtTEfawFqO+6JOluczYbdDtnfxKnvkuanYfk7or4dXZo
RjAWndT1uc2oX5XhZLWeCv/hMo46PoAmWlMtDI+deH9rKBrQslPrEHyvO5hkuTFofZ+W+5jU2NIN
+cU0Z+2UcfZ2HuSt9YP6R1eYTJBnaHViuly3mijrW4LUGvZhIlrzLxzj/K9tnzbHmNY3xjbx+Kab
5j3xv82hqS87xDjIyZirMoYBfAdG88ACznZ4iivdlP4USNCPQ/CMr2Pgoe6PlPRYBpfHW2fr+4Lc
1XQiOZkBr66pRGlCdLhbanflPB/aVJ/RzsN7GNHjPXD01i7VAXGhDQlABajycpeih27Flju1nh4A
o6WiOB1HN5oP+DCmx7m39R30xOZ4UrSU0aR21+rBpiTJItMP8FTk3k5ZnCenyjRLPEPC5tnGpWYn
dtwcj9SQb8lTzZW0nB+hVzwOc9TxZiXDh7ar3GOjNcUNNXisuqAY7oQE97pkHENAIaRWtN2lktNy
QF0pKuriGSrWLdgz3LXirDqHSm9pntEJ620W2xk9Z1d0PD2uErwtVLMd3qlhh/q6G4NqOeAUmjsY
OHUOjUtsoL/yf+of8ZTB6/zlGw1tUK4M6BySh7b8sSSho+aEHOSEF//kjk78xo+kTwKS7t8eD3Wf
bvJhkFEmUwdtQca5OsnBENGYLRVaKIqqfOPMlt8Sczavopu0n22NKRFWinX0ilvA/mAqzvyvptad
s7M+W0eL7JrdQB0G+IWxnDGgXCxZEEX31NSfj53uxH9Neavju+Wo6ZfHU97ae+ChgAmivydpmMux
wsBIMeSAv9x2RveWp6jtDngsYCpDkp9gal3uAa7voii+MZcVfHCDsiv1zuWIVZCUmqgh0pLMK5+A
tGF+G/o7QdTmILJcBoCWUG1d2neRiZwHQaM77ZXxs5Uo9mtcFvXr44+3tVCSmfh/o6y2i6bVTao6
Rev1OI4fQwQ+vNBNMdlrYvv0eKitdeKGoIJF35LO5eqlRpK3F1kroxannp6JI9T3BUH4t5Iorjgo
E7fuzqu2NTkqARKXwh0ILnC5Tr0OclZBJ8DTShQD/EQ0lwi9uSsGZMHOEf/1GK8jIAmIhy2hIka6
hknMgqt8NHhBw340wpPVNsZ7nVKOfXbDqP6oDBgQoOdXjdHJN7G3OxHPBJgs1Xn7WVP6SeClIs06
QlrJFhbX7Zifcl3v8bJOS9uAT5Nq72JcICjDpXpyi4dOMQ+9kcX/DCbiefAt/UbfWbLND8hsSNIh
mdxhNxvWxC4sp/VcIe1DqeKeWyNRMRFTkp0PuLU7KNVKqSCEUyhCLNdKOJhC5xYRJFLe06nuM+sn
dTHMmWxLOYIR20tpt6bG2dVoaHNzkPItxwvV2cAgcWY8nZpmrnSEcCKLibD8P9mGYANAEiKNjmz/
aigNuWZqjXR2RepHXlgN1XM84SPRNHm0k8BuBFPUEkgeUXIBG71uoPeWYvfmBOu+g+nyr69baXEo
zan3bFWpnlDnyk5DqRbHweqqPbz0xhclSQdOjJ49nMy1siJcoQTvJAj3s47pmF1Z7TVRZhit2pCc
H18lm0PBYnUkNNREZWC5eAJdTKPKCS2iKPivbwvjrJcdPrTNsCcVLddmdawB0Ul4L/RStuUqkEJu
sJ1jlec0yJXiFGcoVphWqZ5ePh8kRmgf0ESG3rzaIVy9ro6lA5VvC28e3Ivr4VuF61tPclmmP/9k
MB5KRDelmunq9ZrcRrWUiFjNjuYIyuXQPKVIm78Zi0b7/Hgo+afuvh4gTCnPDEJvzQkcZzwC4pR6
iuZGuOvohXtBCLo7J8mAPCXoXyrSWCo/HnTjJpEsXRl9UIIgcVpujhhlD3z/GBRIi//c+a567IxB
P0++Nno9JtE7adrWJEnQJJL+f7OY5XgYU01CRDzU5L8Vqp7d8AEPV/PKdoKQpE51cYuUIX95xE30
K4uGElpPT3I56jyajUXljUuFePCcAis7I445nUMrqg9BF75YFwJZHxom9J54uakDrnZNAsayiGQR
H2pefgLnp14LZfgbstJeH2Hje0puOkhDgBtUC1czk82FthFKwzvnmEfMjvSv+Ezp6rFQVSyqwO8q
0WFsdfPH432zcXcSaklBeHSiaKiv9g2XqV/VMqoba2M8OjFG73h/Fa+LzJy9EWQcPkRWSN8mq3ay
ta1shnAdCbJfQBImv1zMGr9lt+661rPrtvjQcWJeq93cX6tEC64+Dnc3qqzDW+wnglOT8VSJWM3O
cdcWIFHr9j1Cy1i/mrbydzmpNc6RcdG+/FRxQfEj4b/Lx2X1dUpjNDqsRomlVG04KVal3wLD8A+5
2043O7DUy+PVuIdmkSzBJ+bi5RwjaKkvv4lROyElZ+oCmkKt3muUgnAp0bPIuWKGN3/Qprwxzx12
pk+UZ7G+HZSkjz2znOr/eqcnknj8gzbeHH4PZxyEtwwYVmukVUik6Sq/JxzxXkvxv6XHpZmofAJO
fTzUxg0m8YQ0yiEFgANYfWvYPxOFlphqgZrX4WWuSC0PkzBwBSytLHwTuwZWkI/H3Dp1vKVkGlJb
C4GI1ecWgZrphd2Q01gDqdTcnAx8fo5FWcwfGh1mcWdY+s5ENwflXZU9GZ5yd5UmOllaTXWAmmES
NPHX1O9tTymd6skps9ALlABXaAVr2ccz3VpISCXMlUSZZ2L1pDttWOEKi1pZJvAKNge06Q1KPhe9
VcKdTbw1FLc8tiBcKEC0VleZMos0tCpEKePCoCWK4+TrcXL/MV2Mth5PamvLEDdL6x2NCswaFIqp
YDrU2tTADrTDq9UM+TPOL98UuwmObkuS8Hi4zYlJpCLQSTBYa0jA1PokOSQc3tSjh6JaeeHFuVEf
dY3/7Q+GohUjR4NptZaazYTdwR0JCdQ1tseI1+aJ1PiforPLP9gYEoAJygtEFc/P8gjojt8LvPd4
yMnSgE650Xcsa/l+TZ98fDyprTINwBtIBACLeFjXzXI3wiI6dThuUS9ybhNKgxHyfZhratFxTobu
PLWOchRmFVI+yZpLUAtzJ1nY2jOS3gmzgPYyCL7lfFunrugr8qRrTp541Zxnf+mlqA+Qq+xjVb1c
QJ8bHeF8Dh2fF2LV6lob1MS31ZyVDH0UlswYXwBbGfMD8j35zou6tT8lOg0qoEH9aV06hy02aA5e
xx5azPmJotg/pRNUH0pAHzsfcStqkF1R+Nu/JGhWtwnFxXowEJT0bGlwG7lN9t0f6uKZCkhGGSqa
X7lJHsiYItjZQzIpWAXXJK8EuLSA2Evrpqw9JsIpW0o3YZ9pX/MiKoF2OOPOl5SLcj8KvVAeYQQN
1liHtgf0ZJdUbXRzUK5AAaLvkZGXl9IZxpMxwLwgc9Kvatar9Cm6aCco21xICb373+H1Vem0xkzQ
zlwmmRmlTSN8tN5NroYOk9lE18dncvM4oPhkUMTR6SetVjLrtFqrAo5/lI3YDU6xhgOi0psoadEP
0MZd4cXNAZkaYbVNrLPOYpU46mamjewqSojA1CasjkPVglBEXRtrjT3iwOZWlaOBKpS39uqJjy38
MeteCoRmYfrGDTP/MvV5gi1rlo7JyW9M5UM8d+2HWXOKnQfjF5BhvY+I5PBcoloPGEou9G9NfLuF
oq87AYVG+iwTXiwGKoxzNidfwD+o+o2EVGjSMwido7gLbV7nNMGwNYSdWLVlZXttXKkudAcgkQc/
cZviMOJdjLRjJXR80HHe/Yo/91AfFL9HMvfx5tjahzbVSIlehIy+DhqG1HLmqOZC6bXCPOnBPKJw
pphh6blBpTY7ccPWSv0+2uqmnIpYy2Odm7JWRHC2K9Tc+zjOvtVRFj3BoAv4UELzVCWPd2Q9tvYk
pQFcLMkYEa1bvYEDULhmcKlE4EA3e2Ro2VUdDURs0qk4u00Zvnv8XbeuF5ZXg9ZKNstVsdwWwZzF
2aTQvgUzrbwyzBojG9OeJvWQBlB5vMqckuHYaV34JWYN/h4nExP5x79h6yKVVAGuZFD0qCAvfwNe
VqFiJzUYnGk2PuPc6n4OnGwPNHaPSuD5I8WTmF7cDrC7XA6js5Sx31BMLQrkglCI1ON/gnqAKqpw
DIyDb/ufsjyD6oVkZnaMtDT8V/hOFdE2qjuF6mFAQ2UYx+y1kqN1dNSaEmeWQTHm7uDU2fyj7Mo2
8/B8RUE5bhTfOsQ2puEHXdGy8g12rVrkBSn6vMfBaasXw3TYG3RTqYNQVkIyaHV/iqpM6sznM44I
s7ztHZ+zUarJuW3VnTd34zDytNMtxs6S4vS6oFrNlaiSkopLUlnmoawK60qYhfYTWtI7e2Pr3pL1
FSI06tJkfqvNEWUDEY1DVQCaaZx7oiwn35uDtPyBObzynjZrLA5BnGbuDfp0bKB1Z3afCsco3qCs
YrObrWDAQdqCd32YeVReO5TK6kOslh22zU09vG8mPioWv6Zb7sTO8rSuLl0ZHyBtLltxd2KekH6T
qYkpB6eJGZ1KZZquaWv/pfmR+zn2wyDiXMMU3rkrt1J3VOso+cm2vgSFLHd6KVK7ikIy8NpIzTdK
M1hHmiAYyBfUTjqvxmUNl/WhTzwnqYZTPynuwa4RmOOs6/89Ptwbe4XsUsorUp3jnzz8v707YN+R
lsJ/3oNraPyMwl4/aZVUUW36Ce/lx4NtfG8HgBvZisQVc30uB3MUKhGa0/PC+lX+7CSt4fVNH5xJ
/0pIbHr2w7AokD8edGOGDEohnIuFcHDda60FzhtmPdPgGqr0WHSdfjM7VfVcrf2DfpAj6Zu/HnEq
/Kv5VWo/641TNwjt9NkJO1nj2GPNfvIN6iKPZ7X1KeXx/qWsdg98nR1ntLKUtl2vx8oZKEzqNRCa
LnYJfBg3t/CVMMN2J9jd+pTyE5I6kEtDd1yu3zw4dqBLEw6nqzTPjOP2bEp1nxaFoevj+W0ORdjH
P54F3p3lUOmgRhY+V/h9ZHp4kf7jl9YthyM643ugv61kk64r3BWoMpAU1hD0KFILwACUIfKIk5Yg
uuHRJApPSFtkRzuVehA4qp/iqByPqFMHB3VImp1Pq21NGD1EKakK0uhOg9EUpVr2Pqr/85Q11blg
WT9RtAg+z3Up2oOAwZ8dygRXp6vT9PAeR7Usy0PWtqnj2bMIXgltpCFIBdC+DXltuQgNjNPnx8uy
Ef+giUN4+qvFjzDxcln6sCpSagO154RjTtMnnE9GZ3xuai198l0r2Knib3wUGHTIflHvIzhYA04L
dQLHYlOLArCTvi0rv4CB6QfPZTmrey+Z3Lyrx0BS5pDrRWCINGcVVBL19b4xUnIoq9G3T8YkuqNe
m0bvWX2VX8e8KgbkBfzhohmTcoH2HmQHW7GU84s/sbSdIViAEYFaxuqQlXbYimgkz1L7KTxqQwnK
Wo+mk+V29asir4Ivj8fb/MZA6CQ9B/3sNSKmVEkbxpkM3XA7G5QZMTuFj/appz7w4sCEDMc1uLdQ
bOD+WEXPxThpemsbNTqjqXvFHy39H87OqzluJF3Tf2Wi7zELbzbOzAUKVSxakZIoSrpBSGo1PBJI
ePz6faCe3aNCVRDLExNzoWa3kkj7mddgVxKrh6Jut3CP51+1DMUgtNcgPdirjdoU1YjYmS13nVqO
BwvmsK/2YXfIw02e2PmZoAIPSITWJC8p6LXTMxF7dHYVXZE7tTDtvYoh+jUxM/aHcNx3+hRuSaz9
Koue7lQmkIyA1tWihbVOCuLSdARtNL6NGj+mq71riUOvSNPye87Iu6maatW38WRCzNtqzVt0DLxy
jzhL1PhxNJBDGEOU937olEW2rwrbuEmLsP8zdQv9EIZJmwVyHLU75m7Igko34scoQq1+//rOu3Dx
LlZEi3wgKRU3/bKIvwUfoVAmW82Yucw0h5+U9Ytr4TTZdVnAR0PquW33CHh6V2gVqNeeG6ovVmXJ
LWzKpa0CXewXD5qtsmaWx0K0TZEnmG7rcfLILkkeUsvIfWeo0q0vXiraq6WjZUGDEGekRfN82Uu/
fbEnY8NQlgstsyfrvhwHygtGmyrHKo99N08PsW0Od5bdiH2UeP0BybyDZpVbmrDn0cMiuUkCC/78
l1Lq6a9hTkbodi2vqxGZaFzrTnc15nhaDLIhes/b5JiZ6Va1/8I5IdAEm00hcBGCWK12RXI05o0l
d550IQM5YroLjaR5GLwMcSUUCfMthZjzOgFiE6AtYdYu3urreGVw1FKEI7Lkda6AFajVaZcPutzT
LcTfDh/gwE4GNXB6vf74+tZewub1OtM6QYedFsoC9T+dYMqCYzVUFOKmGEfUqhTpvYs38kaQdAHp
zgdCtVoEF5da7mpK667J5nD0uHrMGrWJ0J7EtdtM01IzJkTQpnzS98riqB1NlF/TREk/DkWiBaqX
xU+t2+fiIMM4Psyx4V6/PgUXjhVvGNBhnEGXZVi9p0qTZKmeZAQ0qdA/muBd904EACbQQup9G6/3
pQ1N73UhimBnYq/BNTWVcypmDKaoCLHhY2Lu4tZ13rVeFu5qhUfbolK2MeilDf37oKuM3qrFXNhq
TCe+y2z6E8ggegrxgmmH+rueFtBGNHS+nTmyC1MSoBRZ6zqvV9UhRUellxjvedM1uDPp16FU9kJm
s98547CngGleReq8peBy9qX0I6DiUASiLkpEvvrSKnEmm94/vBgFt5+jacqogGYrXeyTwnmqjqiJ
RVu2FGcbiGyUMIjUDd4kyLBVdzCc4zSfIljDHXzr4krvjObOkiFCd7YWbt2IFweDDrPofVCH/RWe
/3YxT03WorwjgBiBe7/Nct0KeiVzAq8unY+vH4xfae7J5YDID9UGGmmUabQzmawJ88uiVKc+SHDA
HDR/DEuv86e5VJ3DXPfavB94gwXfXUzf6Z5YzcHKUzPz9bpVk/1Qq9AOWzXtwkOmls0DHqHtdIVD
hxYdBqAtf85x0n3tVKcEtp92iAhx69nzk6JFSgikMurdvV1FY3vDARX3KPNE+S7hqdjYr2e7hu+k
ZMh8/koY1s2JEsJW7ljdEHjhWH1QxXATDUp1l3a5c5Ob1pYM7NkSct0uAJWlumbRCV1+/tsSZh1s
yhgwYSALff5htep0I1AD+mKi+7zxZZeGQjsFaQ9SRlrKq6Eiq8prpezMQO/K6skotOK2pct7xHIj
+vb6bjm72fgqusiUL0DpAoVfRZddE2Od2DFU1XXjLaKPbqC1c3yT5thFUI7X72hRmhvZ6IWVA8WC
NgwzCaBlTUA1Zl06oQiNoCjt8ilxEhSXS1QC5YA7a9tuEQAufePvw61Oegm+bhFFMIK5wEvl2LqR
OvrqHNUUexu01HqAgaPfmG8HFjK5wNyocvF6Ak82TrdMMrp6aHYojg/TqH7J0BD+XKtR/ZxnxbxR
yT+7vAl7kKChdMLrhsfU6hsbzQnzaMHh1NOs7pukVg9jZ/w1m3FyKEZFR6vFKf6qG+Ty37yBGNjB
SJDFJGNYbSALy2LI0I0WZK1T7+dBVz7i4fUXdsb9w9ji8mdPWrl/fcwL+wc+Fudi8Yjljlt97OBW
DnVfxuxDcEq7ssnb+wJLOmRYdFMGJWaZh9dHvHAif9WgqbpRO6HbfLqSTd3GXjdXwJzayPyiqW3z
MJmp973EXWIji72wWxEK+LWaXOLA9U+HUnLcyYvGJW4UrVoVfitpFzw5bekgyt/q+k6Xrvs4VDhW
v/0byR1A7JOnk0Ess/7bBZfUKBIbqBwGqWbM875Ho/iFyFY6fu4VcgO2eWlC2ay/SFl869pNWDp6
myU0FwJrmMdPqF80Dabzrnmw3WTaeBEvzSjNQ1ojC1bmDNIILhqO6WRpgeOFsvFx6OhvO2+WuECB
OdvjvUANdci7jWbeWXONI0mwCJ6LljbjrqIabtU5raWpo4xZKf31RAfp6IQRzsb1FGFXBuXNfF8Q
rX4seqv7q2wQTH59RS9dCsB/FzdXmij8IqcrSpbpWENTG0ijS23w7VnzuitT5Na3PJMqId4g9jH0
sKCZomZL3+bS5xPS4bpF0WeZg9PBDX3sRmEPRmCFcZnvAdBFtZ+Gev0h87B0NEWY3cKHtgMELXqg
KOabkWbMP4wGmkc0jpZn9PQXyLCAkTj9GTgLGmXQu63qJ5VnHpVqfnM5iKEWCYFFNAiZlnVsEGtZ
GjseE10McRTksdtdFcjtXxfg4jdO6aXNzBAg9gCdIHq4elP0qNSiwkkN8LhIK9LgyGSAMa/5nVqK
sH2dcOu2V9pNl9HzOxeJHY4PyteQu2E5nM5mZIkqRLd45loa+seOktgexELh+fzT8VuFovBG+nP+
oS5sDeJlBzodlk+rAb0ok3bTN3OQa3r6ua71W2RjFM3P1MkicLDITqxp3Lh8z5tnLqmAAS4f3Oei
W7c6MqOu5mmPiFuQiAimxtiP2u1gWuG3wcytD3k4xXdt1FTObqpK+wi0b4AX5vZAOTz1z9dP7/kV
CZ6QqGHh/rDca4Jsb0+5O2QKytSQuT+qzhh/L9XavK/Kunx5fajzs0oQCPl4eVFJhtbRg25EvZHK
FK6gyGhMFLq3j71SpXbXWB8TF/YAY/IOJKlyW1Ui3NjTF/YWMeiiSQKayTyrjUeTU9rINc+8rjIp
d1jA65GfYrGT7YzRCq88Lxcb/L4Lu2sB/QBxX0gzRGin29lNTbuHjTAFmodHcJ/bkk6D4u2T3Jm/
awkK+ZnuPL0+y+fXMVRMuJJ0g8lbSLZPx1SMGIhWDflYNknynBf6YxO64j3XoXLUEKLwJeWtAGzA
Fl/30k5acAFcF+T2lKxPB46KPCu9OFODXGrjVTvq0a2SYzSbtVm08a7/un9Os0+AvVxOLsII7KQ1
9g+GnMwHa5wDA4Y+7o5oMtJnRoJgobY/NMU4+PSnnSDVh/Ha0aLpfUIJ96MshuhGafPsXq+d6Pj6
xF/aX0AtAT2CRyQAWB3qZixSgZTxHCQzzrd+bLeO8M2ScBpDb6u8Lj0ryd789i5a5MDHefgxFV8D
6FORRdnCyg6aqhruvFnTP2V9lFM/M4o/Szllt1hLOYGWUZD9H3wtrxEocjJj6L+nq60J1EGQ2FAD
uPftw9hoYodhiPICBbS9kXEUblwel3YX1wfHycITEq7W6XgFyMUBBg4vQ1R0h3HkyYOJ312J0RUb
b8KyUKvNxTXFbC7NK9jNq5BKFEYikN0dgyIb2ye0802WsR2eX5/AC+eUQs2STSGZTCS8Oi61mmST
26RTEFfFWCOAYDjXdakagEmq9KhqscOqJi0StZTAlY19c+FiIlIjAyA6Jqla18JQGq/7BiHlYI7m
yp/Lur62qkF/6OpY3KLk3vmjNor961984YAQTvCsL55ZvHqrJbSQULOSpJyCqGjMoDTN+CbRE+ug
9tYzvEL96vXhLl0S9EGpOVARowinrt72AXxWNfcY3XuT6uyQEHD2aLxgqDNY9hM6heKrZiLlPCn8
s1Gto3ovpWpfJXqYfUxQAEGJ3M3ijVfovEeO+RPXBOBMipGIEq92F1EcnhpNi8SScPTHzFPma6fv
6g+Yr5XfI1mGexWt07tskPHnCrbij3QBlvpQicVBH4D40Caf7lpuoKOaIQ64MWnLIqw3P7Wu5U5l
Y1JTOD1nkzJVqAb3I/RR0dSBUQ1DHiR2q39pVENxDo4CRPLGVqPox1BEdbTDSUO9ayI72xJLPmdM
MVPUjZBp4ilbvKxOf5UiRbKcxhbS+H0TN35B1HlAfLW5XVxfSB2T0riZ1Hw62uU0XBXCK39IvGnF
3hjDfFc7SnmPP6N5lThVcZeBRXpBl1ixNnb1haiGC5DwaVEeWyLz098y6WsnLSd1DNJQjBXcRzO5
1SdR3PJCel+FqaIIKNKyZSpL1HrUdgo/vb5mFw4zMDmk6xdBiAVhcPobWLWTq1GFmUmUcHXcRHGY
39R93D/buYulQN+2Tb8Pndl9+xNACZghobUucnyrJyBta73HPWYMKty/8oOUIPZ+xtJQxKHUseI5
JsIp9Os3fyzkAkD/sNVdyvir40MP3CzLpeE1qomsvkbKFB9TvDjqKzfLReJHYNDUG63Q39z3Z3rB
ufEu8MwiCLE6GNjgmSPILspBMqvqYEplHKI+oQ6hH6ehIbbuiQsHcRFiIxHCNIY4Rz9d1SzNddho
mRaYAoEVQBtDdmebXXXr9dN3A6rBIVW7Rz2KnGszFPg2Fmr34fW5Xg7Y6V1AUQIOMa877GgkLE9/
BdNIZzSwvCbA70x/oThk4eVuCeWpKed+o1p73kcHdE0Rc9Gfh+rK83A6WIxkSq/OnJNZHxpxW3A3
lYGRx84XswNCeV/M0+QePFNOoPWtwfR2Tdgo5u3YFmLLruc8AgAfBRMJIC8BLf2i098FJv/shY3d
BU7a0Yhsag2GHv38jYN7/iCeDrP8/LdaWDtUOBu7Rgc2xnUjjFXc7rap0KKrR9mgpNabh9cX9NKA
nFXqRSjqULdY7ak2tTtrLLI+UO1cHF2hOddKMWHhrRWxH+L6dHx9vEvziGnrspyUEeDInX6gW/Ya
DjlNHxi9jO7F3JQfdWvcfOiXi2a1TzXksenPUhVhvVbzSFWmw4Kh64PalMVfaYXVu4elwGNfeMi0
14U73c5xZ/iZk4ZPdaYY96KKiqDtBvfx9Q9eTsT6NzER2LK4I4hn1mTACAVdHa2yPghrGx/ErEqV
l7TQnZtI07DOaWaZEuTp4U/i9WyrFnYhtKASRsEGmXb6R2fl+VoxFCNCaBONlwRXLdF44a0zNNlt
qbZ2jZCCIpXd1Ora51jE+S40q+5TW3c/irg1PjbJnO+zKh53QuudO3o27fvXJ+f8pVx+vcVkdmmI
2muWnwBFkOsoxOB90lVUmFFEfa/YIr6alMowfNg6DqCqfsj8IjUQueS+2AgJL+1HnmigeFwyJC+r
lzJ0SzOUHr/BYEWd48dhAfAzdZuNmuylY4ZWAL6wwEEAQq6uj6x1p16voj5QFLV/roWa6fsJqbXp
ypvn+tDDC954FS9+GJUs+5eBL4IBpwctTRpzcDJQpaXSiB9GV4gH15veXrsnQl8o7IA0HDAbq+Nc
9UoJr4H7qsxbdd8qoRMgKKcGtQD+9PpeufD0LKLvzN0CPTlr1oe84p4bg15Ueje9EsPgBTYKofsw
8qqNMObiUMs6LSVkBl1tig7huzwBNxiA0AeIBkV/r8d6Cjo03iqRXNoYMKPYF+i9UhFaT2DbSrey
uH9NTte7xM7NY6t3KhxwYXzA4/7NHd5FspxXFXYeWIv1M0a3oaw6xcWVAofpXSgKeSXHOgo02YeH
19frwsX3SzECRNSClFnX4THMMhCptfugReWHgGT2FjWVFLOhvjnqkUf4rpjjnvJxuHGmz/FDDLg8
00A/l3qQvYpSYh0/LLoyXWAqcfNcZpOTBLoBY0NLKJ4c68rTvoxxpTa+as0zEqwD5c1mIkL149wo
8TRt1e7r0gM0jtFilhK8PjUX9hetS2qOi4PDQrw/PZticquG3tYQ4IRnQ/TPv1SlMR/nyN64Xy9c
AicDra6dJiSvHmLc92ba+GMwhyJGHq+1mo3q23m+QXIITolXHe8y2gSnH9SpbY0wFbtYn2d0ovpe
kpNqyl6aivRdtVQfFBlbG4NeetxgmdhU6sl08GNfPfI6ZXrAM3UfdKkdi92sTO0Tkv81hb+h1L8r
VaGWjN4aQTpVyeAnqAM8lUZVva/qCZQRF0eXEeSE0W1KQnjFiRlfXl/pSxMDB2VphQFrNdcg2qzS
MtusgCCmmmJ/zC1QXNgGKOjJetQ7UhinI++i//qgl7YX7O7Fy3eRF1kXxtSuyZXUCfvAZTMf01h8
BfxJgWCMtlj6l874gs+zFj4W9/Jqf4VpMzcgiwgvvKj8Yov+cyYrcYUsTnmntH14TYUF+9za3DKy
vdAvIVzlAOKQB2kDV5DTHQcPOWw1e3lQEX9vgqKR4iGZnMjzJzFZV7Dq811BKoZfsVYNR7RWhmBo
0NXA9sjdMr2+cIkvSREdE1DLZCHLLvgtak9Qq4j6XGOViya/7tOGgkSsvrSOnG7ssd7iiV6ImhiO
9Otv9sCauajQROhTgKWBrsX9+zqGOYgTUGXtraEecRCOx+Q2KjvrwVVM8U5xsSh6+wZbCjG0l+nb
EJucfq/OsYNU7LWB4mgPuZIZn6ZoqOjLDePV/2AkGql0shd3lDVYLiuqmN4xIxGKjnvkneejYktx
yCyne3ugDv2Vjj/YNSLSdRkhLecpK1r2RuLoQ7JvXAu5c0qSPla3zRFIW/sTvypV2eHjqb/9mqBZ
jBIYbSFggWszWF2PRFZEjN2Vin3olNbrcdedhnuXf1rvzDJtb0a7dvevz+6FjQR4hq4jt8WS0a/W
EZES7GZ02QYiSuzymKnwqlNTIadPQmV8PzrGUF/1umJ8mDA7zRDHMLcylAs3CGgMSrH20hWD13C6
lezBwpNaCZuAbZodvCn/4MAX2g+z3h3UyquuXWHGQcNr/fadBTph8UDkWofhsBRbfjuzYeJIb2hz
9nCauF+lqphXoIorukRlt/EK6xc/0gY4tBwZoNOreKRUZzec1cX2bHSs71K08Q2tIf1K9nl/Pbdd
HMSRHe8cLSk/dW1u2+hQAZaYVXPCih2BkshH/2q47sfRCHApzhFGnkoH2FFqNJ/ryoivAHTa7waU
J4wAk7f+K5wNb2A+5+Gmy5MaSyG80nyKROUuS+36GE/YZby+my5+5UJ/pA4Ht2mNi3TdeBBeM7SB
tBTxURmHm9wp7Gkn2WI+ze1J2Q3A1u8pf9Ybyc6yS1ZJNughUh0uJbwt1xtZLxM3lk7TBq0eul+4
OD/UhoAVArM7DaxYf379Sy+EVVSkaLNRxoC3u/a26+rUjQkc28CGGp/voDN2ul+U4/fXh1nesLOv
IkhHBnbRwlg34p26CfsyVtpArbsRDYSsSCLfqprppnK1LR3HS3cBkNblEXPhnunLz387D60iUrwy
ZjI5xZyepWvK8mluw1DdIRVo3NM6ySe/p5Rg7Cay6f2QWWIjOTl368APg+YhYtKIcxIXr86Jgphy
3xtaDfPfqscd9PhQT32vasI7ey6NaIdqlPykG8Is7p0YDkCVtzhl1Xqr/ehby7kTaTFs7Orl7V4t
AkEtnRkidbCG6wsKpZe8zg0pUbZ2hrtFtwDNVas9FFE57RPZoG7s9Siivb70F0aFSrxgiDzCKlpD
p6sR6xni/plSB33V2C+L5Zrhx1k2fdSwHYTk4VTebRZ34sfbh0XwdRHzpF19ptwoXdmDG40ZNnVV
2DzYSd9lgl7KzlOjArZFBlaCl2rj+F76WkAvNHSoa0OOXQVzhpposR3OVdCXlvdi1fpI5mCGKb6x
MqoOalt2B3uMNt1hLlwbwD6IkJeOJ3yaVdqilprMXETFgyrjbN0bWlPWiOt6+feJmvb71JNG5udG
lx+7ySxtLBUyuNbYPdY6SPN4vuFeT+mlz8iS+ga+ttLP2t42/Vko0c/Xl+bCZfArWVxa0CzNOhLS
rCweKm+oSNVLXe19M/eS6RHWoTfD1ww71EHePiDXOB2/BcFBIel0C4Ijqyhy51WgOhVYe6Lo/Fbm
VXJTtDLaqiNd2AEcLgoTyxZgy692QDe6jRvz3AdhmFovjbSfRTUX925SRMFY99UhqaOtCODC6mPE
QqT3qxrNhj/9wImeoZnhJBFMQgmBCOaNs8s8NY/8xK6Hl9obtsrSF+7YxSYO7hZ5wpL7n45YRKo5
t20hKVzFQwZ/IZ3bY4zlAYTRxPNif9aU+N6BvFbcDHNtKvj8Sl3/9uaFRVsbSiwt5yWmXs11Qjcg
LGRdB1oBwHdypOErkcM9Futjv3F7Xppjh9422fmvEG+1ibycCgDHuQ7iVPbvIy2fnjO1LxCjd92r
cq7ijcrdhX2E7Bc2dBY3Nqxz/XSGHZPaBkgQEsJcq5/sqh8VGOVpPPqu3abv6iokwnP7fksC4kJE
ACcO2AYQCuha64YrWvSppTe0qhIwMPvYTvRAc8mL37xyEGQpV9NLMLAhW9V0E9VLHC+rmgCpULET
0pxu0sZJ0W7P6rdPJJ0omgbEVMuYq3BgFlNb9EbXBl5p1bUfZSCrMhG575mBn3B6nAMMg2j/+vdd
2C2euRBn7UXa9gwwnaSiFwW29oFhJ+U9AiHjzWza5a6YJv0wIK6xUVK+sFs8uCQEWH+/76v5dLMM
m+ea8eyujf8q1QKkbgtaoFKN6aFO1eypFLr8/PaPpM9AorfEE9TMT7dol5dSdppog3o0nXbPE5vO
R2bbu1WTIfrUFrq+VTA4FyGi7QBZ1FoqZYu46OpDtcxK8n7qqRjoeaX4gzMN02GgAl6kfoK2VRrU
jWo8a4kzZ9daT3n1EE11exX1KiGnWauh4XumsPTvhVUW+WNWcwyuvbjRNGT2ZFo8zRzKwbdGI3yM
mjL6M26r1vNTxRN3fT+7L7lwC7h1jTE6BxrI+ZakwtlSchx4xgH1APmmk7S6Wsnfxg4NZL4QHMpT
yjsVjIZET6oy52Nq9T+YgufXF/J8SGSRqU1w4OGrn+kRxTM4xKwUVlCn+Cre4mmHMZvVk6/6FArk
fFAyYp2bDmjNVnh4dt3Q0aThQv7KM0L3bHWFN6nqYvQUWUGTCpiSkXTHIAlZ+40Dufw9J8HvMg63
KUkB3W9sh0/3auMCI9DrzEKhbhgmf5Kj3IkRhxcbQFy8EXCcnX4Gg3cCOpBnich3NRi+WeXizWUB
0SyNp6yprTspDdz64nAvio7H8PX1uzDeEm8CxSVrRL9h9f7rTiEVPVkmUQ11SNpzbE0PczMPMyB6
9vAHzyhhcL8+6IVNQ5+MYJMIAJDdOp2QdaV6UyStYB7n6iWatNGv6D7Qg631XSPb7LbCRmtj0AvL
SIxDH5jyA8X5dSgnDDfumiS1gyaulec+AjR2TEvFwpeoiuTh9S+8cNnQFuO2IXshpKPtvNo0eper
Ve4ZAbDgvPKbNjbv6hwwoU/YkT6pbh0BLdAjnfy81mVFgp4q7zQcJ94nZlr8pdeF5+F/MRVGAFUF
LwFbbfrxSk8wQ98Bc1GOZp+0lY9H23jTpbCWfL1VQS06YStSX1UQWtuxdOlXW2TTl9c/77zyTItD
XXR9KZwtMK9VkmrGFhGbtyQNUaLeAdbXB99DtWhB9spU+sPodtae3K667Sxp1TtnsmTqK2PiIEYi
DKc4vv4bnZeXlt8I6jQdBsoEVEBOJxwrvRg/EVMEHkizAZnCKmsO+AnOyt7TJp0WxzyTlJQNUAS/
l3X+EyPzbN61kUgTeOwq6jDSrmPpq6DQSyQ2okKwQVVTPSQQAbJd0qTpY1mrOb53hj19od5tVagR
4re60LS9j5PuJPqiNxaTMGl2e53Mg5f4c2JpcGzirPrx+jef72gHbXAuChTnqBuuqxVTXkN8msoq
gH6HQKjQ86MsWgAOM74Grw91fk1ABKKBQy5E7/6MNFpLmBmYWKO57sruS9ybNjwqW9vZmN7Gvko2
uHFaL+4w+lokCUuEYOirtFQimFksYNRAb9Nhz8Oe7cxcZnsMeyBV9iXEm9pVwZjN1n4GsXEsMTnE
QkYkfyOw/teP8X9HP8Xj3zd98+//4s8/BArpSRS3qz/++131s/zQyp8/2/tv1X8t/+n/+1f/ffpH
/sv//M3Bt/bbyR/2ZZu001P3U07vfzbobP8ak99h+Tf/f3/4j5+//paPU/XzX3/8EF3ZLn9blIjy
j//86PrPf/3BdPy2vsvf/58fPnwr+O/46G/ln2f/wc9vTfuvP3Tzn/To/jZe+tsW749/DD+Xn2j8
BH9QrrVFUIWsmEutFLKN//WHZf4TITbUrcAm8FiSLP/xj0YQMP7rD9P7p6ouWuMoP5JH8y/98X8/
/GTy/3sx/lF2xaOAIN8w5lL0+e/XGEz20ucEIozF1oJ+XWO1VGfWpEpItsOvF6KkwcltD6kWlejx
R4rj+IXT4JlXZbb3ONcxYk9ZZnBvdjA335SJ/PpVlkcMQDBtmaWDcHrl9GY91A35/K7L5bSPcifc
d1K+nxDL3zgNpyf9fKRVYOeIGu+OSld3xVhYexl5CGNmMn1HirXlx3Jpgo1FlhsmyUIhWTcVdVHl
jVKik1bObX81982wGzX887xkyPdl3HfBZNatn3qp4Uf6qB+8rp++/rYd/7Pqv6/ype/9/XdYzexs
dnhwUVHmPMfJO8PAUy9EwO39qMVbikunN9vfU0tnDcsB0DQE+6uH2pr6Yggr9hOM2+5Okx6qS+Ck
7REkvqcpfgRpZisVOY1//h6TQupSViLxQsHqdONYypyZVsznpaxi7Cu1woOlKDFCjY3yoGSq7odx
Mm89kReODoeGKp+59PbonZ4OO0X1RECQaIublXhxta67izAFTPdNP9jhQYAPN3bSKWEhI9PpBaYX
5uq1nKTbf4XYXthHKyL3wITTlnUgypKoZAbK96FpZ+WxBPxevatkliU4msWif3TIQJzd23fGovhD
ZRZi4q977vcKPVwq0YPD0naOmemTL6MYC9i8SJC94rHYCHPcX1Oyum3QRGS6oG9xfa3DcSw/vbF0
XW8nlHnu/Qb5bI8bJkmehFvG9JK6uAqD3syVfDdEunPnULjt/bayKipoc2gjkKrgB7+rxoaoAC3/
6k5TTNsJBqd1amDDpdEee1DkZVDL1ox3VMPGj3QaNc1n3sVzPzpj8TwnZhKjt9wVyS4FQOH6FMj6
/oi9b/2XDhsy8YEnlI9lDDknsLSSInLgJNBoJsNVCAoriHGYh4RS0FajlhioXVImj1I45nCsaneA
yS9rTNiUMpu/lkD280ORmrp1L90OwIDTRsoHafXm966w4uoQGuVM0pCFib0z6mEI1LBKaFPMivtD
i9SyJGHWpOI3bu2+1xaSpnQ6q/ZbjfDb5/9tF9hK3HZ7Xce9JBg7LfvcqrX32BlF2PqYF1fP5HKq
cz/0vXiy0LstribRCW74fHaevRaVkx0pvf7OkU39hWmykPMe9O5PquvOdOjMKJE4MId56DdOZP0c
TOz9/AEpQFQn8rz5YZuT85IUnf2ZYsyo+aJK7RtE1eYfjZ7OEzGcMD7jQj4/SMR5fhJFDk+9gD3v
z3WYfc0MV7iBLOfZ9ZsI2E2bjXocFKKyPk1gTPGlE/b0IZUlVOFqFuqHWVGiaE8+2X9ws8p9Pzs9
E5X3+jT4Y+q2JhIK+XysLJGXvp4XXecPqjsD53Cb1qUM6tSer3hILflMivPDLscwvZozJfmrTU3c
E+hbZ3dmWBetz2ZOBtqg5dC/s6JGv6nTZEBTksf2PW+mk+9tcgmn8wUKV/OnMYzU/gpPAtO+iakJ
mzeJ2+thg0750KdXcJLT5zKUurNzI3CqfpkOWe8L4cjnBiltAxFLz6xQD6I6gQZrYYuD0zd27Js0
JVu/60PKIj5q/Xh00F5vEv1hwK2TuorWRFiRSOLAvSzq8SlS1ZIskJem9isuM2O3iErBOhtF/sOI
s2TcAxcmxZExMjm+N/XtV6TyOyzkFWVWd23vWNNxamaLo2I6KQWY1mmfMd9qph3us4mx42FrBXH5
nDl7Qp3mW16HkXZXA4vwhyorMRec0yHf9Z6uPERFHFpHHe+6Eo5oZMM5nitpB6Ve6cOViR/PeHCp
1+EbYYRsBVCuQDh4Hx2sHazBstJnURNO+S3ePeCd7Ln2riZ4y9N9SAlKudclYPqXER+yfl9WtVUf
qrIdx59hE6fjdTTE/M93sOdFGV93xvy7ziEzdx7y2Q/CLIvuU2OHcf9Ob/UsfkeL3EJPhYNya0ZT
3FASiTr1qQIF/WKpbej6M0pi8goUpLJTW3ZnvEM3pEy5osopAnPpyfaBLeC9qNVU2ddpPTiej0Eh
tXodcab5ehxli3uak7KD7XDMA8OJzQ+lpsemD2rEiHGy8dR75PaViIadSl+oTRBjRgPZU7qjHeXW
tO81lRuES1NY2osFPffRqaLhO5j1uf8cFshStX5WhmH9Vdi2xKxQDF1Wqvex3tckzbomreI2NMLa
OQo7sXtn1/etXeL5J2u90nz6Wo75rsiUDsa6pzZ5lBM4JZTor0OlUBFoAu7xMe8szPPQyHR4BUvL
rHwjtvXhXu8yZKkGs2ITdjqt/CBMI6xiB21sP9YIzsTHItXGysdBtMc1hb8MhqIzZi+TpaJvqE2V
K3ZK29n2gQpydIVWXVbcm02V6cdmahvxobMm0uUyLe1PWWf3H20MvO8UTcb3SEvPMA3xoHb82TKj
W+Dz4yHOUH+3IyPbjSo6tfHcV8+NMMIPZjz2wo/q3goGLHA6Px+L8lsY5+FhHGrNn4Zyet/EVfOM
XRuVSLyYA3tw+0+hMnUc5ygMQsfeS71p94My3udxPT6kaf5NmCEgC/TXJABVKKZNKxGdanJwQTH6
haY+OBgORHoQtwqqVVhF5MDl+171rU5Tb5G12NeZm+3VqvbnIf0SpTjKmEZO2tb9H+rOa0lSJG3T
V0Qv0oFTCJkZqWXlCZZZAhyt3eHq94nqGfs7a3q7bPZo16ytWlhXBkWAu3+vzEbvAJ4ld0Yfhq/F
FBoRBr67HlpZHmTrnYA/kiu56mRLgMTOm7MUUMEUl0aPJUQ367xjAcJxNyUpsbrrA53nm6D29Tnp
d1G07Zpim4dEYDoEXMz+sF9CX1aRS01yZAZpGbnZDEBQlNmOpJdD4ncv3Zo1LEWtDt4HQmB2flNW
Byaw6Vj0Sfkl1LY+qMad99XIwqW1F+xDEkUWNCvrsm1d/bUOm5eiSJjDm2y7OB1bgN0WP9Ur7c4n
I/0q13UbSd8hh2xoHRNJZPLmKtfCp4dwJJoCP/mwQnWsycI9FLX9NVAoo2Ojst66YjVi6lPZzYe8
2E9Vb9KQmiszapPmJdFKvCTD2j46rHoxZ8zgzkD6sa3I+YCXnX7kWSu2BunRw9B91X7Sb+auvGtq
7xiCgewNO39BcHerwlzvy4pdujjfq6IsR5SaJKms/TKFcWL2fWSV9XxMsh5oxMsuBmk92qXjxnVj
EXyPa3anoGQOuZt4F0sBqVbLziGUEQnPxNmgYnNyzddEOmO/Sfp02Vu17Vzn2BCaiAilfNPbCtCx
n+0ymovuza277KFGcSfPStbO2/SJDmwiB9vbUixiN3aoLDnJPp71+ddKeuw4dlffBMK66GV4qFq7
jYOh+cjw8tLNfGH3q0F8mjUcg7FZL6hXu5FuA8E/DacMi0Kc+KERe/V5WSFUZMnRDlenFiHKD06K
wYe/rgaoywrgIEJNGYW7XuarGAQ/wV5I9w1yVgM/RbRmVIgx1RjxwtmnbJmTaCndZOv22bGV6/rg
Kedmyv3v5sTvoYvbPlCPFM+N+UPVqOCYkm9agg/juQ5QodEX1hrV1yTI+427BqQWOO5NptL5VXuD
cXTX7K5g6i2iLp/SyLalsTFbo7lbTVtGVq/rjVjLnTP4/a6q/c0UoPb2h247Ce1F9UTZnxrsSBrj
ltMgylVP2ZumDOYt/uS7hmjAXeZXb+kwBw9ObV0UQauIZSRwJUPiGibBVeKV0ei37244M8QYw4Mx
58cxXOIhzV5HJ3lcJlKw5q6/bDGTb9osfa+oJI/AI6hA6ZLrqjS2Qrbdth66DByY8Sjh1DOhbhk6
juCdaoLY7yxznwG0nevLgk2bNybzqWvE4WDzP8+pm+zTPKeGaGmkeG0WH/3QsvwAu5ObDKv1MFUr
wdMfbeV4kZ3YpPAIGTctxTPSX96IF54gMKftaoTjyQkW1tuluXI5EKuIxT6IyjVVT4GWUmzHxej3
de9gDjaFUrEi13rmuNIbNY97OHJKDUc0IyNnx9fUSx1+mJstH/bUAdfqcWHZ65I8IKmhlwcw/vVO
iiR9WKSuXzIlbOJyPdlx16qUyBcSewM6UZRtfvfHzFopupjQtkFY5V1cSmGcoc5qrCO2Um59TSDE
hvOJqI9WNthB5JHUP72Gnb/KPUHsXXjE2Txe5/OSuDsrcZvbwuxbkjWT0DlU5pBd0I13lnMk4ox8
9rY+mgURz4b2iQhZ1ynnyRnqwo/cMHM+UotU9djDeiq3ueP0P7iNJZ1CY22CvNMA1y+BRWBrMpFO
WxA3AUAK15/tEM35b+GkXTsa6sWbjy2q2+sBrIfbaJjJIxj3fM738e37YJFlQ2CllV+bI/mOm54c
m3dL1RYbAViUzUPtDTJGOl0AT0ovT7Ztb3fo/kMTJTCSFU6+trdikUxc2xo2M30dz4y+D23VpkEc
AuLIyKRVgGTGOsvniOGWf57dObQiHD/ZjzaxQJWnwU1x+g5GC1HYdJQ7iMmQR8uZm7fUcZat8hL7
eQy90aa00hheVOijo9JLzV3ybXztERm5/hpT0iVOsnRGE6fn3POfs7rnSWfroirbmqpn4S/yWaYV
D6plk1xpBZptDMVoIEnVQHuNtSHp34Z2yLlXS7WeBaxTF7ckvNxmSxe623RKMvYGiGw+3B/LNz/v
AhHNtdUeLLtcpiPdoh3lyb58q1Q936GJUW+oT7tjObWLw7Ndd87WL0PvZewTToFl3a37gpiLkcP2
6uu4VUBm1JGEdGDIdbI+5kyGL24Ssh6VXpqz7hZGSkLJ0ounoTUEB3kezBmJUanuXb9rvhVzVbEs
pR129Ul3y2kiDojc/rWfGVcm1+u2RPW79d7Ao/S9Dxb3zawS79ERVTtEDfK+hm45r02iIqBbdONP
hmLh0kvZ8irW6puYKOyL1/psnx/FbN27pT/epYlHxdDAh9yXNC1hzVGJMe9dbyzYLpUo4zEbJhwU
TrB+JJXX3C0Gxpi489LyOWns7utcmutNAaXfnN+y1uNZSLtHRK4jg6/IPLXpxjBEjGmo0t6k07Dm
HGUEZ5ZxXVOHLE3PfRN1Eiz8uW351RgIJ2fHTSoXhtobYHuyUf6opXbuJgdBUuSO/jBsOCKsr8Ha
dAPbjI98axjnpd4Pdls+6SGx8PzUVf3NmCZkc0Pad/dUVzCf4itu2ihgpU23ZVmb37oEpjhOFlP5
8WCnwt0q8tvWrV4WTqTrqujqW71lOUk6ttWm9bTxpZyD3oqs1WibuC+TZI3mQA/FTheGbqKqKINz
6tvCUOURaFtsMzVBoNJs4OyYfNkuMpWnfuzYpXfvVGseRAYn/KdygfmNrCGYmNRGFPB0A9E1d8jo
0eu2BpTZcQZ4TCkLTIlXy0dhHStvSa1dkeWj3q1IXcZ9MdvhcuWVINURacb5s9GElR/5uZvd+Rxb
rcjwqKzbelAmLcV/QV8gda/qFADiPBkZxO9+D5xhQlzcJDVn/Hk27qln1UFkkhQCy53QQrIjnEs9
CYPK+Picc2dwwK67O2uVKYJxtRTD4Zw2Wu3N1Cnv+lGHbrxqKNdtX2Sz5MGyQZDnYhzzCGcqy3nC
Fs64Nu/WKtRprFoRvCTSa+YYhgN0Iy0TxOGDlRTv/wyw/RIPAjhJdEEApYcUGkAUDPgzSki0vCBQ
rKLtt9bm/Up0wrECFKp4dRrab51p8aPRCdGkjoGZDxvm5+a61Ua6s0RrPNpD0V0NVA1Yu3++sP8A
arkurNlEg4D6nRn/z9clQ28oigIbmu0sX2aZT5zPCTZoplRuOY+Zt//1x5EdAShs2z9TLs8Q9V+k
wEXa9WLSQm5Cryo2drKQcAD4cMAJ9IP2H2f/zx93vqufgEakvgKIjjhGKEwCFT5/nGvXqY0oTW7I
f02G964hXPMZeW2zdanoWt58ZVjFezeTPrN6o/gN0Pk3eDvADKdjUBbXR4X6+dMR/TSgjPALC2t4
FLCNRMsozD1qhN/ZZv7ja0T3h7aZmEuCLgny/YXKmEVerNP5o3S/rLuucoqNk08OwbdCHejn+p2c
6m/+aOc/FGw1iU5C/JqW4uMDM70zvm/7PTs6bPkl7z0rsWH8dz4d3hzUb2flLnIm24f3/+WRcRzl
91lW8lFpIGLf5FCDlFfHzmp5/xek5JX82jdD82P8zEB+ZjL/P6QuYWD+178Zwr+hLvtxSt/Lz+Ql
v+VP8tIQf5AehIceN49/lrWcl4k/2UvDsf5A9wVvgBqDl8zkyfsXe+naZ8qTB+RcIAyTfo5s+Rd7
6Zh/nPUbVH/AdxIbR9jHv6/tXzzWn1zx37OX5/fof95yPgHuHJXCORrMwaJh/qJo5/RUrq6Z+3E6
FP413LW8m4ek2wVziqS4luSVtGi+o64uJDXoInv4y7361/X8lVf7aT/5dAEo/SBiQ2h8xBcsb59f
dIVco85Au2Ou1HgyBgLZxsmmSM6t9XEGf43aZuF47o6DvPYqw2dAAaHZrsHMKbMBYL3Unmifq0V8
SWTLiaTTjnq003xe90aLrXnX1/621uJ3nNkvvOT5HWY3gqPjvsGcgRN/vvQO1BJqmOFRiEVXhwW9
vNgNsmWMQBnpvyKjmcpdqA1IuzFZbXmE0LKKy0XbFF/88338vFpzLZj+sNr+TO8m+OZXq41BBWeJ
olfH2vMY8PEZWuIgmlIEcUshSwNymWKVt+j5UJsiMzka/fMF/Ex2/vxFnpVF6MPOcX94Tn9ZRrtl
GbBkO4poaXLutuE8ccxyl6kgetrK8g/YBG+HXTMPNgmB10QPDfOcHEh5GM29biuZXTScJpadbXgJ
1RmGmZdbKqnApl05yOHSNpXqfkOY/+JJP9831nxeS1IAsSyzVn7+DkHVC2Gh5+DMTMhElM0r/cCV
DnVUOOUMWtw1YZ5dmIk7G7eVu4QuANDU6BQGoRHJfWGXatiO0G3w+lbJHGxQLD4+/+bmnjfbTzf3
fKFn5wdJinBFv2YaBaEU0kzWKeZNKjTTbTA9mH1T7NrJNNPYtLsRDZY9NfYhXw07u27pRM33Om2Z
OWxz7fSWSBML8VfdBSOOQUfZv8kF+tmS/fkaz4p9fErkacBR/BpCxGNuL31jN3HYeGl/U3ZO28d5
Np5BxEWJdeO11JZWc0g0GtXeGChFUALaGnhaD/XUMkqlKg8u1iaZPgbM/3Qa6UJddl75kXe50US0
LPf3jTd2dJDhSTKIITUMEvgNlZjbpQ9TF9gor+YbGIfE26PRF8kTsnP15IMCeZE5nWcTMVVB+rvn
yP71CwKI5ICK5ItZHt3XL6clfy3tepl8GJo0b/OYPMF0iirT5NSszCqFaUioHIyVcvOtWmzzJQtm
59Tj2YCsbZiwsEvltv+by4LC/+W6SMkgxo+jhov0nhPdL2fnLhwVkBqVtW7flP7RalR3VOOi800I
KlR/5HbFZO8nsp4uy2o81pIGh22usE7ReX5L6msCTDdrdfTbUsNoGLuB3o/nyZzU4+KErwjRnWOZ
SAXfS2tzdrY8+9uh7/UpHGtm0xqRv2/XN9JCQ4HZf6wvegpd947Z52inAvOxmetvdZ3UseOXT2W6
iuul7yUoybLkWwOtK+CNquKEdsqFfMDGcseHFhPsri+XH3MnIETa+k2bpGhubMjOS2XQLIRTF3+7
3WflhoNWdYmLiisxTHNXdyNKRB6X7FvRw6JHc8f18qj6wXYwKVyPDNl5V7heh92ynhkof5ouFq3v
V3SV+xTHwWFtdfuA0/0BfNuK8GmYh1Ln65WrS3T5QVIXWNE6mrm1CN4NDL1xnjrZVXKuw7H7RLyx
lF4MTu+SQi7Cw9KY6cGr7fpCd4Djc0qPJEAcUSgxEMVcbcrU9l46AcFc+MYDSeIhLtOxPpbWku6t
0ax2lfR74v5JEvdHpe7bxn4Kk664sfHSkLDBRLwYQHY92SKGrE8L0qTXni6AN8xlKD8rM4cVM/Nx
NS88hQH4IhTF9J2E2u5bRZGtp4ctY2exH0pd3mIL1luaO6uHNhvfpB3qnTnV3x1td8M27DS9EboY
QDIXU5yrQPr8w+wJeYw1TKcHJJPkP4Zx8L91zAC3oTuJl14nwXcSpWu66ISaIzFmxrWbC7lvhyvO
HbZbTUeBEPJA1CCadrO+NL0BrBDoiRmU72F7NvmAi5P7sMl1Bi0vUnmnxlEd07VPjg4uhmav0GZf
zzjpItKWe1DEEJZ5Vs3RGSisJVWx3tuzyJ6dBcS2Xp3LPE0U8I5yL9IiMwLy20p3P81ZfcTlWB4o
pJlZ9VGYP7Xd/HUu0nN5sVf374Sa9B+2cmweUOWuu0Da9YM3AreMQAsCYrdBxLmS1PMe1nAOU2Zg
8R4RLQSEi70gHbNhTc5KkrPMHWDNNswmZl5Rt0E4gcCjHQqibiqpBRCFO+W8SUU97Aot/P6YDVru
pxynPBKN19TwnAc6fJKtMS/dBwtrcVCu3b3hDi5vuxmUODAZsqwlJy9BSMowqHak09cwHrsc+Zhe
fAFUEmD7NlcbQa1hF/aTJ2cVZX3KWi40r2wIRXikVrY4LUW3XqUAaShKTIoiM3lVegbseOaGh9oT
5qUz+3UskbPuSSn5aM11erJsntgoHWx9oaTodzO5q3FVueVFmahbeP8v4+TOO20G/RFANPNi5kfU
lralvjRrIe/CGcllqArrLkBccQ8tYBztWdWbRQA/9ZUfHkhe6R81UAZuJL9wDxxqbvk3+ZybdX4o
/Nmbo3o2/CMEavpY+r7+mMEEX8cFgINyCbwZFda764XqnINVjPyiM/R9fbL036ymGCRgTl5/GYtl
PtCmXUbcpOWQINIvorFMAK6dui+filXfOWVe3WhDLB/hShs78Scflet9D7uObK3WMbJLzBLlA7aw
4nqy8/mHpsmDs6+TNyfDTcN9khvZYQhWcbBXh6/PKVSgNjBvdZywzz1Vw/qtp8391TXG5p70OIVD
0QkuCBjTcbaeb4LmPn4luJx006rK4gLJZLjxa6va6hxwLfWS4bx7uMs+tbJ0SwihAzJrSB2ts1Td
ljKM+tkuAuem8LI18vxKnxyC/A+WmRUXdtK+W2My3yEgyC8ADPUextnfCc8ornstCBVXPeBi3Q/P
Sd0mp1L19nEJ8gUByDzeduVQ3Awjn6b4v9Pt7MioOCt8+1kvW1pOyn06IBLiBKZeZFGP1/Rez95e
kPDm7ZJyINd6KWR3EyDWiGSvCJipvDT9bpKGMsPJsu5jMr0WA4OEEmO4NThD8fdwp9fyO2rE+aoK
6norK9HfTvlcxRlyr3gQeQ7DvTyjjKg3XjMmUTNo8YpkOdyBLYPXFR1ilYkKzyYezNwxooLSCQar
+S7t7eIKAjm7t5TdH3O6Dxq8dyVYHSyVPCIcMp87BrMTpYXiBIjvx1lCLydAZmDvSxRC296T/sFq
tPG19+fvMmzsYyLt4IIT/6IjMfOLT8G5IEhH9djFZA7LzxzQd22zLSDOd7oP7MdWW8YKz+Z+MwYn
PAVZNaGQGaf5Rk727kzt5kY7PQ1Vbe292RSPLXaj3ajb6bgWjf3mh9VuCIjpibNxtb57LfJyf7Hr
28RN+z2HUP1FT+16DTcxXUsvRcOUyuEoWuj7iJJyRJ1lqy8duS43CIu7wzx2Z0mKZUesAM4lsWUp
irP2ZV7D8ILUPKRj+KSaU5u45kQuFCxPIItLWTJ1rTwne5RR9YVbO/Oh0pRqxUmJ/xePwvdWuAry
T5U797y2BHNFdFing0eiiQUmdlKx9krb1q4K3OaBN7u8XFHAIcLvizQOOIFHbuIsUWes7nZpPON5
9BbzWlKl80U7lX+AHrDk1kmSMF4SDVY8FwxCHTzYI+UM/XOXms6roTSrvO/k6juWYf9W1Cs061Dh
2nP12KQxb/O7PbsPVUBJJP3me+2P4UNS6P5tmsv0YQYe/KHWpvhOUFJ2J2VS7MRoCIp6YR4jNDrY
nVu43RiwVx+FwJIh2+zbKFaqQguPZPvExF8msfU2fVZcjefvzHYJaIV2Ya8qZCsPOflOUZHzijiL
2T00shmYLFxOF5qI832uVyuGX7SQp8wyvbNt4jN4sQr5zQK7uMQsB+jfYmb52poSCsyZR3c7qmR5
VnNr3KH9yNTGQMoFd0X+3StqDA9DYVU8zI6H8KGRi8ddCb5lNv6ZDeJLVgAXtiPSlJndUj8xMGqj
x79YkG/cGMgmEDrVGcg0L1a5CUPe+t2kKWio5qK5JwaLdpnQXL5NjVfLSFdLb+8gMf0vdqqkH5kW
KHbE8S94cpG5YDl0wjwhqZePdHCKjLvQqLS+gBvIg2cPrenOKqeQHRN4kbddAWeSxdL2lauwmIWU
nCeoW9Oo14iM7mbZLovDE4pB/dCl6DOjBFWQOMBhLrc8HUV6wjmeql3eCRFuFI1t3s5GRlTFqR00
h2kYwycrm6pvtjO2h5lh70fa4VjmbFGNV3pa09tqtQpstNMEC49ckFp1M5zOFgQBMTPV9VXmT00d
k93zjaDJYI5yZ+bIk/rdF3be7NSCAx9MmYdpnGuJrGQy3WTZmMPIvgGJJfaJIVt2MQeHcB5anRH3
+eTGxcj5ZsPO03yputTXW8uvkydK5AfSYoJ1bePaLok7m1fL59k3RIeRMZzLb6NygqeyQ2KsVc8P
ns5ENT+zMd4Tti2yoZEmFgQ/+uljod3kncgWgiAXx6j2CGB0E5eoOZ+ULFS9B1f1v9RFTy+jNpxx
3FvhEvYbybGcykqZ+QS1Iu9AEsSJULwJ1B+oD/3RzGKzGYprY8ogwhfDq6GP0U0GOwERc685bHMm
IWUNlYiRmfVGdVAnUSvt7FQ2s3E9Nx5xI+ftuowXJZW6KJI6eLI62irQQoaedQnR1RoxqdZh/lYj
0T3xKtfGhWka07jneDCtVDx7DfkFfAxdQFnfl5cqW8c8RspKqdXUJ+ZzMBRoEiDioJPLlHJEmGB0
yZzdO6+JMZgS60acM3pGqn58eemYlf+MAGXMN4bmG6UkfvLUzu8IbIxqVWU9WYNjyKkch9Gd21ry
eiFFfCtCIg43ZWkiVWwLb4k8tCtXBnEAX7JeG3qTTIGzpaxN3DervkhFJm4xo9oXLT3i73ZmYf0a
3ZUblpf5QL5MK4yoQTW4nyF6H2Dd2BoqQViK1bvhS3sm7INGdNWW0ub+cppS512zeF83ZTv/CMEi
XV4jo0Hz6I4seVnvUg9VVcycE8Kcdl+IcRppP10hc8nEX4iqz0Gqdtqd2zo2cA8YCDu8atj+My7z
Mzn7r5iHT5w2QwUGXtzYILm/0BQdXNkwJ9YQ+V2LPmfNmH5kitinyMN2H1Y5rFyJZMNhi83F+5yv
DnpQhTuDLdoOx9gvx3S8aZLVcLf4Ein5dizoFEh6Gw3KKsfpy2TrUsRGoapLc0nRr4/ZrGCVefzx
4BmILOPZ7MoLVZaugTfYDRcmtYnABDNbwzHqRlQs5/NC4cUSC+VvjVG/glP4eoG2AR157ryzRfwz
htbV0m9MZmjyNfL0K03jFVnmydB8XxQCOi5FxabTWndI+znws6EXUUH51BiPXmFdoZfKb6xS4s91
pKt/k/D6HyAtF0fy4TnkL8CG5/56cSZC8rHtOPUNVZc/pQk5zlFPZykq5aqr5pNKiS0tXULKt+Oa
UxPplzQuxIbbMZv989PymWg6w4vQTPgAz45AUO9fU1nTlsrnfD7HLCwL1O7cX1aoS7apcMbdWuS/
y7v/zDP9+XEO/kNBthUM0K/RJG5N6pOUZhUli/s+Grp9HsWwxs0owt8wtH/7SZR4kMqKj5Wx9PMD
UKWNkTfpUoGbhFksl9C86KpMxeSlucef9/C/8r49NhV//SPH9H9koj455f7fsMYB6v7lOfoPfumB
PeR7LflK/jTand10P3/Ln/ySJf4AceWlgkiCJyUd99/0kuX88dPRQwYokPw5vuF/6CXxB2lCPJAu
v0AhnTnIf5vjvD+QF7kWQOY5bgjA+b+hl4jA//xw+Bjt8BMhn8SRDzWAXfPzw7FyBTNp5pKKLLN6
dtg6PpygpyG7g5CqozA1XBUv6bwESPrCvN2UllM1sbe6DgpeWauvA6pQ0MWwb8hHm2xr69S+fU0K
WzVsRtTIX4e0zlBG+KtxjTyPYdsszyLgqR06e49LkO1oAQFD/EihVFQ5KQrR/Dyc2c7ebVHo7WuI
9CeS/ixSJlyC4Haq6ghX6Nw2ebfbnAyYuXdKpNyrCwE1r7Dem7U+575J4Yuco17jjtFAIhUSH12p
gYykpLiZ0sEgFM5zBguZSAIc6tQOl17nttgQptUhDwzW8sJpvP6ySB3YLtWp8I38I4EOzMupv5qb
8qxwL3Rax6Cly7feGjRSVEo233P0Bld5Miqc3Ho++VZDCP44Twz3JNFVaQR3b53lTJbhb9tlSo1L
x0BPv/enucJX3HqDvdW4lF/zNIWl8hh300MXtj4R7WuuX8lI7+6dWg+ormEazhnc9vTqta5XbQek
TK9V6rlf6G3ynv1UqzcSKLqbRMh53FhaANp6vZMZuxaMiyIvnV87bYgSCiDYbuYI6f6h5STMBII2
fWyC5zAdLpssj8hHr6Lakhy6TcZE48ZPXit927vlZUIiebKkZJu6B7fa1h3GX1ceQaXllvTWRdo7
Wer3IKvvTOvUIJenuvJlRax+sJt1vF5zFBRph9YO7bJd+VvTqT7gTJ4C5ucYDDture4GKTxwzHRl
eeNeVOuNniaGuPAiM6zncviet+q2S59LIb+7HUKz1HyVU82oISPmuZtpHCGwNEqb5GjNhhkr19kn
GaGARQm6lF93atn3LnocG0mWgihzwnrfVQs6umar/ItGF6S7TDrSwt5VPYLlIMn2Y9Ge1gAA10aj
kPvVaTSDaJH+A4f5Y56EqMnT0X6EOXYeRLk2X3NzODqaRzBQWm8ynwBaxETWYzL7JW5Cazsr038g
g6OdY+oMENMbbCg4IRbjlZwkBt5u+mEX/ZUI8lsy99rL+qcWWA3qcViC+Cw0mpLpIkvn/tqfYWlT
7GVzh7721NtyE7jTrRjQZDvrBuPaS2i9mwtVqQGJThvLbWNlvkBKb61kecGlvq16vlP/rH+9XQDO
1hITXRCuW1iDB1GxK08VoiswCbPh0X4T7nyXrOOD4zNy5SImNYGHxdkwqG1Ufl0Kbxcwh5l+ejNw
OoPE3eCeo+es28lAXCKawo8wplB2l6lETVYbuy73ToCOm3DI4tKsD55TTFuXa3Hb/tCMmCSMp6z8
ak/JpUPET7q82iJfo7D76ufMEfJSJuWOVzYO9UFa6ddMUGiUZhBeI+JbOcxfMhe0Nk1iP3tQofXY
6brZg4l+GEb4zlN3ORNlZzfZHOHbqzZGcaeAx1EGd49+V86xCUTBWcaJ/aC9q4htSUSdRZ1QTuTV
r2IcTzPd3cEiwrjQ+a6iaPzI0EmG27oHBOTsPpMjx59MoAzNaiuecjsWifruTVgkI3ey7TvZIwxE
1EQfTlrcSjc496GedNUhseVnlyrZJ15RbnhKq50lveJSlxPBpHyM6uYvPirIKMjnqyUX185avEAb
7htMJ8hLjf1QTEdvDR6oCaGuUu0owEDHd2NKeRGW667BBNS4PMnzUF6jjv4IMTUOFmK/tpCejJyu
xKHGIh/uOl9cUFAvdmvCWzy8OjOWhEof/LrKH2oyUqFrN27l3LW+vEEt752DIYpg387lo278a7/u
XQ9Uzp/buO36Bz+f721DHd1g3FrDrYFjK5bpvRLzCQD2oh7f57nGCDhM/QOJDFez8QOL1NPi9Pe2
uggVeHXvP41tsaEoLKoSpt5xr1XhgL8ofZmuJ/9sEjNYl61c3jBXnvC9nfAe4VLjxVTQTR3QiI4a
YZw8mpPC8rq0D5XTn1RG50LRYLYccCu4EERUnthnvsbfNr65FphqkKASegiskXctuuJ2YamB0yNK
wtlNdvJj0N4xD4qDVH5yWddh/155otjgDTj4bXfDNl1EK07guJjnJ8LOwijrSJnG8ZOSJ1GIKh7U
XufMbnhGR0gQD6qCfXYlIX/0TkPytS/NE3BjHNTNbpyrLfl9sZcTGzhV5B/bDMPTRye9k7mIWwtY
znbWHenEiBVL1uOP1T6Ga33j65sA5n0dbs3KBgm5dIEqhDNsLLCTsKngVOmHzd6ddSQI0GBIj6di
uCkSHeF7j33Eou8oQU79Yny4efsDzu1yWgoROe4KEeDCbModUxGrre53fnXESLedUvFIqaf9Eijr
zPidjJqa+qK9qRgxcbU41dPUe1+Ctbd52752vrHB5/+x9tNODUbzUSyJvPBgW4gKiChyhEpc3J1T
hmmExfU1M3q1GaR5uxAnv1nW2xBx6ASJZ+a8XM3GaLK4ZQdbHH1Ac8oqKN9BKd9pDOdbHm7WwL6y
R33oWMwtq0G7L1wyTNJTGhqbKVXhIfVNuJ0QrlS+9obPl1ScUtxWd0bJj1+eTXNkFNeQ2Ne4Fdn8
Ow92ddx5fUhSmasPdeDxdv5v8s5sOXIj27K/0h9wIYMDcAyvgUAMDM7MJJN8gTFFJuYZjunre4FS
tUQqb9LU/dJt/VJVVlViBAKA+/Fz9l5bIilf8sNsfgNT757ahRbiKC8mp/0h2eEysWCNbQzO94kv
5xGrG9tqhhLIvRLtg1UUGxamr8tknCICjBd39m768NqNnIcpzY4AqnZFmGNV+u6KBH1INZ0avQ5S
qXwtiveNmZzRfvqSqjrdGNPgI7/dKQtZt4rx/8zlGLSp/oCY6fcC4/Cgz4e27S7xYmAR4fWp+mM2
I8JYTLkzPfUSkTHqS5lcIJg4w0h5beOma3D/AP2dxRdpN7yQ4TgfzRXU4nbyPDIZFDrsB4VvL+1B
IykTH9CVsPVtn3l7JQb9mgO+n5pqk4hgSV8qvPns2/Y2Wvv3KZPYfnoubBsb7SqAuYNTsgPW5DfZ
k5mSgeiWjzUDNVxvty5hL+b8ZPYJ1my69stwA9MlSJGLl9mjLIfNtBgbOjeXjUslSL+pZysAvaa7
B1uKF2VHB0yfx2wQtKKoauEyJmnKTid910Cr35n0ODGrFSIQtU0vf7r2wOCQCOKb+BB6Jp6LVd3b
VblJk0fQR3HazXQPk+Iq0bC0x7ThbQvq2Azeodrk+cwpX6sux0I5rj9YvcEts8/cmAmyVXTRITGa
Y2roBFFxofMpcRkyN/IOb0j4gP5858YpKWDdocXIFcINym0tiPGqReHvyupmknyHXR29DIa1pYHJ
lAebDBHZ6+Y6mcDR+CLTUgVliP/Btnk8e/Y6ffnKuYixWGTt3PZmpAy/wWlub4eEY8aC7B09OsVw
Y17gdrwfmleGZ1i3rwb9hE828MJy6+VI1VNrl9ff3WkCjnPuDM9oW2cPvVInebxwxKHxKV9DnCBZ
cQVj+Ez21akDTfkNH9a+w26Tz02ACWhDJztkpTdQBll3uUex1UdHu+/2Ih/VK70KFpyeHgBOtkqm
JrcZeUpURYEZcdbIFFTTclj70fk3E8OkqZXXCRGCJUzde4ZuhEDqWEIMfGl8BZxAOjMTgS7d6c27
srCpnLZl1hxG2EaM+P244ftBEn7GdSg1b5OkfjnhPR6dl85uCVbUv0jFzrYQJrxp4p6dG2eC4fQ1
kzlOT4vTfU+E50+G+cJsaLwpizU/gE0Hh84chWeW82q581PTnpkz5Xmmb4rhBI75YhbykMxK3pQT
4qXllGjGKxGh2IG17dQyLwwphUqP0wR+MF/xBqHXP4CXQq3aBA0SkbXeMWhprpM8FQMcbNIvycSN
ksUxnr6P+XTIU/Mijdu9U3vIE+R+aF8x9QUS6rYd/h7G41WPWiRCm5bmlp+q3I+q8hQ5+c5uMWPH
tPKHW+yBRXHLd/U2lMl+Ect7m50Gq9CN4RVbQwm/MsoLQqJWT+TBirLdMvwwE84Xxvyl7eyLIdLP
XRbLS5QKexSfWzW21yKt/LRI0YSYaZDHpgmxWLuZ7fhZKG3T6GsieisyY52j9GC0kGl4tHGXULsz
F7mpHXnOOPBpggpyiFLnMAHLPGZ2BI1x0a48R1Hu6BtHpN9y5xZfHHYk3YcsuHU0rdnoMm+fTQye
gJmuyyjxi+xMpO01AGknGBaHvMocTfdZmbdbNyovkGzRqFWRL+x5x//xxxJhSKCzg7ACL0O6mqcv
w+h+LvF4JBhhV5JYk14AtfLNqQiaxur2AzZ4Jm4OlnM1PsUu67lRtoeF8rDglBzpz1mWsgyYuR60
BvZgUgknTsZfDN70gvPH3AomIILDTZwMZzldM5LivXOj5R3sE9y4UnUH1PeYtiTT8TkNGxLjeYFd
zqu+NYntUrT5Dp1Q4sN1e3EyRtgElrdnYlz6E3Ie089pWr1qntsGidDOIQj/Dtd7byI+5PZPe280
4wBT9YwFgxwSc42WRak2+wyv0Z4207nmNoHT5uV+UPgMEKyoyTzJRT9ayttmnXuhrPahnOdDkZXg
EjAGYIOM2OU0n6S+5yIa9k5j0JdGDhqM6eDPqW+O3kJxvxwRCw23jZmS4G5sJ0JSHOeAzGNbtvZ+
ds975IgbB/s9oLxbq9TtY1Lf1B0KEgy1Az4aDxbgrH4syXG9f2q3uDV/JLUSqhejTecFH6A93cdY
mrH6YIh5TBpEIJtEhf2P0LBC48AkgBE3HPQ23GF/cGnmo5N3MR7UoAPgOmqUXYhnELuOZHtsSM2y
rlRVcJ7KDbiZ2wwNwRax3xJelvBuESc0YrroZ5uXWTP17gxbW2T4BXXrtzAUU3SI5BTqe7uyBQaU
pqmvhmKqtW215OI8xHFL1cHLm0DMELUWTGJ2rgFecjSwUoXz2FC98ZQKJ7KPHX6QliOEacX7ELmQ
CYwlFTcUTZyD52Xg6Jl5S/wtLRL+nhvhKMrs2mvP/2spKh3FgxZRKk3tEpRGxL8Wb//qjUOzBP++
ofnfdivfYb3+X0N+0UX8ZV/zufwfF88EuFfvO5v8Q392No3fJH4f+uV0EE2bIIz/1dk0fgP6RX4e
qY82qsYVtPkf4bz528oNR1NumGS5v0Vh/qezaf5Gz51mJIYdg/Afcr//hXD+TTn51+jH4erwJAFp
si0Qf6bzMRykT5Hr2SMHSMfhdSqRP+29VXohEeduK3AreyM2A+YNw5WGIEU0ydFKe7DpRvYlT41A
leMdtRnn/CluzttK3ptFIjdmMatAc7s8iD0SwNrBbI826qcNHu182zVDBXcBa66jha+5McK3GExI
GTaT+El3fjg1peTgFQfXKx+cCE74MLlUlkrcDbZ+0HCobxq8aoBP+P/IjlJUHcvmCUPjuMHxQsfB
Cr8Ug3H17x/z/5O+/bs3Yf9ardi47uMI4P/K5j79+P/ePHJXPyfvOHnkgv3n+bd+A/3B4489gpQq
lPVod/80jgj3tzX/jrb6GgtO2Dojt79egPXZhgvLRABfmsX/9OcLYDi/kVmhr+1+mmrkntj/5gVY
AXrvNOkOQz+TOhPyvUvY1z9Su6EwRXGTlBuZr81kWHfEAJHlbJu+qgsC1KKs06kxZ9FunIENYzvZ
a5JFxFG5DXoV5uSPTAX/jRHS3A8sKpEuQKy47skydiy/mtsQkQo2RWBvBS2Q27/91j8xnwiu/eNF
mAwmHIuR3DqaY515P52oZ71DOjL8UCxFww0fSi+oI4GG2OKe+dnGQVMRb2zcpoHQzOUcx+Oyh+lk
vYaekUePYRkqc2+3Bd2tCmBb9oCaYhHbzigxLGYz3RQxAAJ7VqxanGca/N9UeXNl+7J26NMPuVQ2
TbTFaO9qLaQcRaBXXfOiCnM/ocEcAhzosoN7t3KjpqXRB+phoJ/g8Ap6Ml6uOTJIbcIyk4LKxE9E
3VzjAfBcPzY0XIJ6k7bDhqJs6jdLis19i6uWNqY9g+6OiiRs970ryx8m9mOz32BKbS4TkTSProE5
4tRPM0JDBv+dj4fU44Df5zQ4hzCtEZ8oLNVB0jlGvq0rTTegJMTnIDQsI8jLcb4d9ZqjkDnV86Nm
oHLeTt2gUDA3ZCvtIEB7NspqKMZBnqXJFxw0dRBh6x/3MZJYc1O5Lb8jLt2SuKF+aqYn/mmNuX89
DeOX2KNTdoPeuFa7NqTz4etxpd+mRSPkBbqkYt6ZfTdmKE+81cuBs+mx14VBs2HoMLrH89C+MKoM
nbu4LBk56FLWy8FV+jD56TiNnMGTPN/F7kxTqJ6ieIEGJpps5zYM5GnRiohGFUcjnP294EA4Dr1C
auM4l4i9GvPWWZohAdWTcBV9atSPlSLz55iNoXEzMvCHFw/986xe7dYBVt542s3e3Fo+GqGpuexj
cvE24dhZM/W5h0IC34OO9922q2qDvmM5c4wG0k+h5+431WEY2w7DulOYUsUPcelA7MnhylqBDMey
O2pRN42bIS2L5nFMivRHRVROtKlKKxIvTKGmaxAOS+qroQKNi77EehYNDqgzdtUx3IVIgVy/h3Yw
B12n0mbb8k7FgY7lI/4KF2b8blQpPNvK0Dk8dvmiL9skC+vel2GojCtMKPyxaBL8MQtR2QxUDpUU
XB4kqYWitQYcGG0eGKdTRUabznBndMWu9LzpuvQaRFyNMw7aXW71rnV0NcHL1gsXDgfqbv6omkUe
k8YxTdeToWdkUP/xKpLoOSBQTtOBP1GzSU9PU4W7/YCXdaHQJS51Qn3Xm1VcvFiYf5Zx0zOe5yym
ZVjO000tKZfvCbq3J4uxHwq47eJN9SOqnN64ylGlQix8e1wXownlNwUiAfgaOWwIet4eunaMC2/n
4v0EiN4tZXkeZ6vTwrTzjI5S5z47xOqC9U60hod+iOQ3o0UYcyytkWZvNDumX8u0u+E3QQebxLP1
qPVhdi6hBVzZYuTEl6ex9X3SRg5aZVi9pFmuHyiV0lMcseoOnSGPqqt4lcu6z7eRawyHqCh/MGtq
mWgadrSztSK7dHKD8YaVoZvaIZhXaAPD3qQToMsxKNNQf5gGoVj6ScxNlxT2cO06l3Siy6/eADaE
7SCqnsZc9075nEA4m7USRYDKlEFLISy2bVXl9yD6vGMjx+qC6cM8boqoTq9NBBuAxcjbPkScAZ1V
eh5/zSd558YTNoaK0GRGufrQ9zeuMSqFIXqsbMiLdMT5fTpn1ROvVElExvzQzE+jbRcayULNHyXG
Zmbwuq2FM99mYNqxbyO1u7ZFUZ0Lt+YemJr6QrJTs+aWgwtyJnSiMAeZ/vaQSyLZJrdzHWcTv6E7
Xy2lami0VoCApaCnkvdfM6dPL2cDuks6tg+uqCo06jKkq0Aqa6kdh6IKH6YsvVNLGx37RrXnXH2+
HVylHicwapRwTA4zhOx+natqz+iDCXRf0wMHoVgSv8ALnQxxP3IQc2lMkNEClY6zUOqnYsAos2Rx
vp7+4x/QbYo7VmymDnW4TtzTumv2uhfhMKmdIr4avcbLAppK7Q4sH13/3IIIh57XlYafNkV6vng4
RHwX9eXvbpzT9F+chHOZB+TouVpWPXhRGk+KjixdQM1pvhNgjbKbJsN8B5HWhuoSNdomx6GUbZmE
9fSuLErgivbs5ZLn2VFH6rlnJVHnxZg5qOyt6Myw3OaQl87yNMyYQiJlqGLXcMKF8qqn1Xe2RtrY
WdOjVq3S/oDzp92uNn8GyoCbjLOE8oVjc7FaxwbFHcNRkw0vWjVZr3Y8/Aj1pb2I8ira9lRTX2fo
oo+unjlPGtkvyRY02nccTDRP0jkJ/VYPOQNHziAA2HWSj8o855Ti9vJOej40t5Y1h1vOM1OyJcOu
fp1puP9w0665ZoVfTUG8e5dgBPrfheidOxUDrm1HQUMf+Rc53qVF1FKbGzkIIcO9qY3ZeS6QRN+k
mp2gFA9pkiXR8pCJUZ56F5xB5dbhhZtn4CH1RTwgAc12Rtf1N2QUeGiHiXpALFttC7uOsE5g8mL9
cDwa5oURL18W5LMcHUiyoxzr2no4ZKaU3iMGK6R5Bl2wOEgzUUIJTXBPMWwa5guAZPYjmHJedmMZ
vLXTTlNes4TRrjTQ/Ifbj0xB0rHu7t3WZu9nOXAZpYCWYj8JF9qVCegZuKAD/YveYjPGfLAq5OzS
dHZjkk7Tjt0ge0DVN4DSIjfvZNELd7a17uX7ru/QQzb4NNBDNFWv38yV2x0I8JGvRRpVZ0vM4r4B
UT7ZPtDzfNnH+KhifzHmpAgIHFAWKmLugfsVdA4NbRf6Mx2r3KlY5qJUut+Mhi+NKlKmkrbXZFsH
eiJRvtW6AYUfRVC2rSxerq0QZe1t4XBor3SVmCePUHpQDeezN+DdMRi1elO/G4FZLn5cD4nHdlez
diPI8GhhK4Nwk6Yjz6uWlUq2Wdh2ilOeYWu3o5OAAaoG6JoBYydEhkgmc/FUJZZ4UqYzT9fKI4mw
mC2rZhZHKcQeoAO7g7DZxEELj09d21RKybkIMR7z/s9GfxZJ5U3cCYZn517qdd+S2apv2JHd4QxQ
/arLoOoAjU/YNutwW9cvau5lvtcrWBF7dLgKlOZksn3kHlHMSNmLaJ8OvQ7BznNqn2ARWuDjKFF9
diZaHHTzqS1u8sbKmdN4w3AtRwetSxaLeq/MzKMLrzw3MCjwOsI2R/0wr+cOFpPEPs1hLXVGcVN6
MMMovTXUxL5q1Zb8QXF0aYM9pGkNZss5E2Y34WYklQ6EIsKeiUcy0YqdFk7pacwq8wRFr7b2OqKF
jBZgl1mnqph4/jWoifDCGCaCLqLOeIT9CJnSWsbmMmMPlT6SnxsrjIt0qyudJr2JY4n5zGBO/Tak
n4VehYg+E2bWzMuec3QLOM9QrAOXiJ/bMuqZBC1sy0vXZhetUPZrJBxmVlo8+6Gk2sJwY2uXWV7U
T56I6F+loBu4G42yYc1Y9VjgDhtS1JNziYKmgx0P0WxJ7HkTd5KHtITrOgBihQeEGXNcPYj60jR7
w4kMc6MWqZ0jPXKb7aKkJs44+PSIJkyV3Huk40o/8kr321i0DJGkNZOZECfufWPqMYO8jrXHRzpY
H9MhNs+MGjWID7mG17e1S75mbFbGvVun5blXTvz+s4m803cgyZ3bw3q+i3RlfTX7rHq0kPXuM4xw
T1ZiUsyLvJpejF40N25DNARXHIfWUWm2eQTD141HHSlG5kul9KewA3C4Gd8OAXEuJgOnWXZPv9RF
4+otzbIbFoBshx5MIXAc5sQaR5VwZAYkwh+mHBMCffQJ26DjAsVy+3OvKwlSY7Cq6E/H5mJuYT8S
UU311+GRYkb9EJMbc6/ErBDp2mq5cxj0dzRoCvOUr54Hw0RHDXhgcq8R87g1c3dLAN1jsZCiNQ0U
DaSrtzQR7yi/hw1EAGwraMUP+GI4EMYVDmF++OyC2Kfq2DEtDmrHiY8xxg25Ojj01cvBSzcyMnOj
YZO1esFNXn0f8eoA0Vy8IBZYsdfWKqwfapDabeEl7ZM3xd5dNIdRsEr1sMJqhQZHcDWd6G/+E17f
1/DNlFKv/hRYF2XtV/ESk2kKYL3ZN+3sPIq2MoctWp55A9SWlukoQMrZldvMV4OB6tOIq37nZg5U
JW913KBHw3yD3G04MMwrz5i5T3s2S9rFnCld9Om9H77ZeWx9utapPPYE+z0kMAq/Cs2wT0aLgyYB
2XJY0HRQvc1Xa2gZ4rPVOlQ0Y3wSVbeYiL5wGtmr54hIXFCQPO1ZtJ+sSR0BbHW7GHzE1ykXzp4c
au++0c1dVcgBV5mB1ylcbU9L7rxUk8AJlYWxzitKet/JXT1T/YBlwwdYC2vWW/1VSTUZR3afVxiH
0YutNZj8YmEGLosqU8TVrwVOozW3SCETRG0Sn4RPoG18yyqZ4yVTRTDWiccSUfN0stevXjFztY2N
6GW+VQnuC9VFKQIOQWkLhtAvOPj5TTq010WSlAGQheFixJ2Gl9TbDSiLjq1t5icr1YzDENo+Zu7C
ChqhFa9uWptB4nTNFQNOJmjyzReXvnnk4tUuZ1VddwPVNmN6JrSzFh50TvoVDUdNObHDBDbS5abt
G/DhCBFBZGnI1FTY5ZDB3So901d3H3af5yWqpzPKi/6QzXZ7nitMEq7pWlfoL/P7oQCfHExum6wt
UtN5GNNp3sdv7kJhoJdrgRyMCCagihs8n8cQOYR5mMrR+27BIbktO73n5ptMfmtM3f1JjHlIaNab
I7JfzZH5apN0BFUN66THeLutk2w/rvZKB2kHE9u6VmfSlsN152i8RLGxsNxrS9q+YPvGw0kYMHbO
ojcf2n4dfrRKlPtstYCGWYn1IqXq4O2dmR1tCo0DCo/xQk3eWpEODDZRd5ZbaEeKcXyrsS6ZstcR
FM+BY1NQm2VsBd1qYG1C49FqGnEq04qZXCmQYTRjimFB0550+rhYkDHHijSFDRRq0XHi/EGIpVYH
1CjsrfiRho27mm2bOeZsIOB0HkAOiq9T7+CbYV2QWWD3fOfJFuKhdssQvT1cC9pRXnYdYUp6klFp
55zOu+rLPIWMMHEi5G/e4bFlmrbDHYunuC2Hgib3m+EYusKIHmzQwqtZDggA2sG7L/W8BVqtj/u5
i7JlN0WjBcGv15mdTWl+Sz247MSbDdoRsv2erd5o9WaTrjBMo8DL2q0yl2BOtHw/rO5qKk+M1u7q
uZ6GhgjzAjMIG2DzXQktu44lhuM2HCqOYMuIMObN2K3RLTxighiPFYekm2IYdo6Tu8vWieb8O1aK
GuYnqThQJ4sTqPR5I9owPojVV459Kj5A12X7o1hXfmkr97XFhNX5EoeB3PYOQ2x/AKiGpGv1tDvL
oL41kOcOlYJTfD232byrVjO8zXkLcuwUuBmZbMUcHxVXu1ea4kV3V1O9NTIlPlvevPaR43ZjgGxN
e1pa2XwDjXBZpwZWGPq3aB6c5FsSlfpt26ZoqZaMcWCnJ48esN6DFjGsTuEBVCH2uJTew3ygZoZt
2psa1Tbn5Ap9lF2cwwTPjhwnyz0KZfsJU7nYojeOL8AybvsKTzmConCYgDjL8kivB31MZ8xHFVva
LcnqXMOKPsgc81Y4wBBo+kV+zDa1ayFwXIRWP5/jn9PiwFh6NARkVoBfXVyBicKRKrnUW088horK
buwqXOgq06qTVw0TvTngDU5sUsOBcxCEW+waI0/uDRJeKaxCAGSeTM8mL24vshUOYUCJWHBp+UQK
vDgrQEJ2HW8QhOTyKvdwOI9Td99bZZwwpC37+86S2llTuv2j+4azQNNZGdcpdcT0VEoXpsLgKD3f
9qFK1ZbzkE27a0wiSKZ1YXGNtPrK5jpZCpqp2ENGgsH1pvviFAh2CO/m+MLQnk5QaCV6s4/NgcZl
Y0ZUqV5f6domAWbzdW4shekjRuoWEVd00mCc0SFOYvt6Rmz3hR23HXZ2mVBLQV6OJA6fiPbAwGGk
QPrWNvWp76sw3jKgT50NzFUm8HISEwEOqBYIC+xblpnJcjh0cU9dmk+ELwybXzfNf9Yxl9BEKCh1
phX2Shz5/fk2oUlHOM5/IXQPR8P0XvEEzWduoXR5IJQC8OpcYWG3KhWSkBS286WTafW3X3/2P0YO
jAGxM9gQ99Yc5nUi+PfPdu2haxC/PbtVV14knqn20SxAIdN03SaiUYfKzNWtFmZWgcxD03e//vh/
jjxc7HR8A6J+2LhQQL///NiRsTbZqzZRF3FM7Ejp0ED0kmT+PcS4P3ypiQghIwYLFK16WCPf05Ro
gV3r0N0MxpZoE5+av0m3s0ym7Bgqbc5PzN5CY08eeqFtLQL2putqETi3YTGY2icBov8AHjEW4ntL
pkqe5N/WxKS//4RabAua2YjuIedn9j5uY/rgUPXg3w0D3bmgz4TIKZUyZjoxSSMU7rlYRzXaNN5b
3UqhX1ptGrbibWqjNZqdf0I6/NmXxK2lS6oenjG+5/svCaVWkYbb5Bu7btNhH5qaXZ0wjvG92Lhv
+nhMXr2sZ1aDJoEf+W2K5FVwLgOjiQw7iNMood0D/W6mfSgX75OX4B+0KyhMEleNi6vMsGxcT++/
IY3tuIZVkQAry73h9o+XrjM6SOWoVGv7knVDdjs7oV+/dap2to/R1C35pYdHecJNMff4Lbopo3zI
m5LHpZtMnpSwQdZwKqCTjwjWxt52P0lzf0vt/mtuLZmjA7wyJW8RzmkohB+Ib3Uql9yL0W4ZVs7T
a2Zz7j7lsGqGQJt5sZ8LaDX5dtRiK7uIDAMBCctlnF5Gs13FJ+mYkTzkeU1mCcLYJN8xAuui7Sg7
C/rDKumq03UaRCcAPgesIeNeSoj98EtzG7YrpHhr11A3E6BRcNSglm7cveZWmH5aXoEfnJjSWyxt
9FqThpkJgj9Xe65j/MU3YxfbX7zJBNKKw7euPnk7jHUBef/jWA4vwGqnwqYHzer9bV0YTBQOQx2c
8PEUX2qJy9FG9WhYUIJPFcJDWVnmBYmQHKhwKBvzafHsKDsDR8N/tji0XdH979ACEFhFI1NIMkhY
RLP0pNuza+0KW5ca0HjL6LYN2Ufmxi0i/lFjQiLUkGqhA2hzW5W6z7VdZMuRrkv6jQa/Pn/59Wr2
fjGFSIRfk2UEZ5aEVyU+IqviERuilYXgTFz0z1TQkU+USX4s9KI+s/EA+KQo2tQSqDyDWfPQAf76
C7whRP/6tfkG/Mi25DHE6SVtfGgffu14knOZYkhd4qSrdnYkLIpIpM4MTN5GOvzMjnX0Qiv+lmhV
P23yuF1XVhEZv8tY4u3Na5lYEJV0uC9GTq9yV5ijeipxx1B8c645QnxAHkZkLHp1lSGIaDjsYtOR
i1YMm8IItUBaNCr3n1zcx5+XCbuJ/EQI3DaOi5fu/cVJANh6aPcvnEyaCzotyMkNlfPt6RB4F5wi
VYiA2DHPQieLn2u9pJ3oOG0WBuDVQjMYvRJVc6Xb3tVMZ3Q7zGl6Z0zQ2ZkpCXnnqTk9wY1mTdFD
SVoK0xsyCHV9FBfJhFuAljBtc3c2UwwJJYA1enmyC4hmbG+tkMPQJ/bWDwGJKGI4i+oriNDiP+MG
+rCy5Frl5AQFvQDVZ65mMvXgDFF1a+8MVULpu7Sehh3PWHWRDxF6GVnRd6Um51iDNjee/pBWIQX5
Odvyw3B//UIgCaVACOQIXLDOh3KhsKyEIgJU/soZsI4VHvy7NPVKPEpKhA1RxPb8dWgGaM0SMk8S
jHJ2w3MPWgridtV3pB0xqE43+Nu8H6RrpX2QkjV26ZiZKXaqzoofbSIZVcq6KS7UUDb5nT66E+er
dcDJQlM/GnUnUdfSrweGpdO9e/tvkQTVNOt1QEOr+TEZtpHmZvmuIwoGlEzf4N4eOo5vsqsyrD01
bJ7tXIgOzxRjbPIgFjNJyOiYVkr0UNKtyynKY/7kaM1+wSrSw2bDLIGccZ1AGoVlRgeifJuDaVtw
aBj7c5CUoSLGlzgBDgpZWE2BmeZNtS2dwrOO5Zyuo3ZIT+eQysXXzpv5S7Li7IPBvXVAIRbeBbGy
5G6S0ZZ7gdkTZMNUEJQN/CJ71jBeKsZNb+/W/9cmYAOdzi90QuPry+t7odD6D/whlFvzMW12LTDU
pmNI6fKc/5mPqf8GoFogkHOJiTZWydt/dEI2IZgserazLv2sUQY11p86ISl/M02YfB7VjUlpg/Do
Xwjl3p8XyKnjC7Cn2qwI5KaCJH6/DqrcpJ+Oh40IJohNjHadG6A93Xat4U8ZZK2XtMFwyzKRfpbH
vZaJf+0vf3w01brA6mDxHVYp1N9rXQMCn9dlNZSwljepMKz6Ihk6bIm1KD+Jo/35R6GrYsWXNj/o
+4/SDSsWxlJiuxitZkvkHdaxpm62GlT6T7bNtbT8eFXQAdeFVqBa+phUL6I8a82OqxJJbJ2NpDZt
rcaaPwEn/Oy2MQuzBMxxl436QyWkiihKw7qC1bfAJ+yh4dFp1OszpcrmyHySgKepa6GAqHQSn1zh
+rf/cYUO5ysblSV4jQ/FtWL8ladpg2VG6zuyNqy2pCrJq91QmLgDwfX44eiqT/avn91CSBGr5pTP
Zd94fwu9fARFZvOpSZ/P1D7z5DcqKQ8ESHbHv728139cyt+px+9rg7cH0+B0Y5Nmi3jPfEOp/u0M
7fYimUVho/IxZoYrdmHH+3TJmhu7JSzRMtgOYjcPA+Tp00VYd2bw68//ySPEg7OuBwaXK40PN7dM
4lS4OTd3mNr0ZFQePW5uZv8ZguJ9Of3Hda4o4BV8sSJIP3zOoCOjiFLITuaSL8e6x26guXZ3Xpdx
iwIkdg+/vq6f3EKD4xgFklgPZfJDBeJiT6WHg3IQ2JNJrBujlnlmjydB8TPqyU8/auUaALq1bfoB
75+WnJOVWbuF9Kex+T1va2cfuXl/E8vss6jdnz0sIEUtEhB0g2r5w3MZDsxoobfwI85uHUAOQx1v
F5G4cD29+1JMIKv8UdbxvZ6FRAYOerH99a/6k9fRgL6NCBVIN3yXD3cRSadgssBhLq4N7YsXqoSo
lng+tktDeTB75kpYLfVPXsefLEA8ogI+BYQi9qEPiwAkIPR2Bj9whShwg1ww9gvcqDswA9pZVmtq
r1pP7mqVtD9+fb0/u7Wmw2d7zABR16435G9v52yljTJQl/m2yh5yoYA45Rhq1sbg/841MsKhzWG5
EKg/PK+io3xrSThaB6vVFpHIcBx6UqHqbrAvCjUn10OuQRWDKQ7e7l9fJauPyXETubBOQO37q0wS
C2pBLclIi9P80BlJuu0EQqBEVPEnr+WHk8HbOgBNZD1PE7XAWejDdTJiczKh81lRS1fSa3I8P+WC
b0aCudDn/Jzi29iPXWPfwf6AB5A6LxpSzk+W3Q8woD+/B78zHRBWB4Da76+ZlJFhWGK+B2I/Hucw
/sqYxQuSeFVx1g3hd0CifIvBNJoG4juV/vrrH/0nCyIlGl/EcAnYXOEq7x6tnuNapMcWosSy5/yh
YZ0HMBDv8KWUu8wk1vbXn/eTR9l0cB27mCHXl+jDBdclBh1LjjxgiCl3MC/NLaPWhFm89ln2+E+W
KcKreF0dSFgUfB8ubRk0us90Qf08zCO/cgbX2FhiHu/sUbVH0onsQ4PT/tWpx/yqXWdK//pSLdJK
LLZTODO68+F5ti1yBAQILN+O1gBk6uSNXOz2THpx+smC+JNLdd21LiZsyuS5/bBA1JBDS1BwFgwG
qV/N5NpunRCYXDrG3S5H+swEU48wgvYu1IK4CX59pT/Zvf/+8faHtwlGshZVs2ayZa+PbKRnu6ZD
5vXrT3n/qL5V6vRmSDVY8Wa6Lj88OnSrxjqezToocwF2wSjsB2bz5rbyCAmidZx9wo9//6j++Xm4
GdhhHLYb/cPnEZ0mIhTRNZP0DMIJ5P9DFuPCzp30s63l/f17+yiCUWjK4FsQq3vh/VuoGxEETEf1
5IB2+iY1smi3LMZzVlvhrkMffLK8uoITr6DMUGN/shq+307//HQ2NmHwtkC3+PCgakr8T87Oa0du
K1jXT0SAOdw2ye6JyrJk3RCybDPnzKc/3xof7D1kczcxAgxbgGFXL65Uq+oPcA6AL/uBgQZapNEs
SlWzfaCTAvEhGxWfMo324fZs7gUVD0RWLbQoxOrXQ1aQ/plVCJ3+qCT5Pcj8zJdbtOgdpCP+tewk
paHZjwdTur7CX0ZKEV/mflOoNl71GgLU/+w0rUBX1QbQiriEC1zNpivXAEhPnVVOyD9hGhUulXbw
kXdWr8PORBebpIkykPhpr+7wPoi7Gf3XxoePiCY9NtdPqAw5YHIshR4BNM3b33dvqApsHXJBBkxV
dR3PisALqOrY+IpMoW2KQ+vBMkas7ibThJqf1YnoyTafKrDiB2f87lBhoPFWIxelorsOnUVSbgUR
UztbY/JoFbVxirpu+gNXSMtP5uno0wp5slfPs/+mVcFkBFMpCHCWszn+5EE1iyLUgShVmnOGbg62
wYwWZPCNpfpaWib+DBVG6TBeMWD8hyaS8yEJuM015HN9ZRit7GC2NwnGfz9J5aFPpZVL9YUQ+Hq6
MXaj+rW0jW/l41f2l312QmoMgDlBPTgqraBGNZ9AiQHUkfEBSMZRO4NS7A8OzZ1DDJMFFLToU5oi
cV3PhaohQtbkVFkLw5o/IF6mudOQ/AyS1vqPUPd/FjfXl8B/I8Yyh6IOfVjyic2sSzgzRPigd4AM
LedZH9XyMkCz+H57We+tLYMitCYqROIFsh6PwiUX0fZBIqGBzKvGTnbO5Fn5ihMQdC7AhG/LSv//
sBDTpF6uv2gXrgN2QVRbsVx3qJJlxblf5OnBsbXxftSS6PL2sZnkRSYKkSqc0M0ypkFPfRPRCYwG
69qvZKu4w3xgRsMKAnc4IxJ1O97e2gB/q8BApUJEA3Y9tLaZ87HUTKguzTCee8vo7irwlG6g0kq7
HWrvNCLhM3Uew6yPLasNNUsKJ1HU+V1pql5rLMWXsrXT95mO8EhKqg5LIEOyo5tQOLgd+qWe97/F
m/9mkF6OzJOfv+wXPcBXJ+8CDwQH5Bi3iNy071sHsewppqODzFJ3ViW4FTivB7/mOGrvomxx5LuO
Xu0ZfXq0gSM4bu+7SEYHYAIZ82hmGHqA4oyCe13pGtfMrNk+uKV2sgHeX4bhmKwGdtTm6A4wY6pV
sJ7gupEjdezpaUJME+uTIno/hVOPNJWk/YwR1DujhOccHV3Xp6kj4wpGiwJIOviGzbLIjGSmhknn
GvNaOBJRH0DhR4YMEK4EEx4EKr6XWA63zs+qkUyv7WlMnGx8lC5OVjRf6edqfxzMocgg13PI5cmT
W2TzgkW9Ocb0qqqHzkorP7CD7mxFPUoMidU90GWLEaVuBOwOOKOL+5H9MW/a+eNcxUcWgNeLWNzg
GPkiU0kJ++Ux92ohDXqFHELZUvIwrNo16tRxBTjkorY9cJ4SjO+SYTuvzE1xsFM370SxhgGuc4Yj
VS4M2LZuWguVFEvvaUvxfcw7KEXLhWtL1i6gIKt/LWlBYcAcw8fJCarI1wZTfa/E8vj19jRcHxgC
5sLxDuDFoLW2OXwjK1CWsphLX5Mqy0ObCj/qSUneI38/H6Qv+6E4SbEc5RtuFyGbucTCgFApCPW/
GrALftA2LbpXVmQe7Le9eTWpJdmseBvXpM1+G9Gg1xAer3xcGVuQUwCSOxcd45GKILpOdtwUPwKr
Rfgc52w8M25/1N255drkJHag/JIaro/hKcnbOXWiShidqo+BGdluLIey22Jg4GOmVT06DQ5O4dyC
MAOSh5eAcgAzuL5VESjg4UHd5eVm3WyvJDBqq1MzZK96u3gXVgNC1ktkqo+LIZd3Cpy6g/tgJyAJ
OE0dvjc9iu2DdZiHjgaolEMTbtBoqqXBBfxmAEy2JjR5QgVf3NufWazNzQlCFgQ7Txyr2B9uJjnQ
KmuMA3R9gA9XoDsTpICS3KJc1waPYJLlEzDU9Df2LcoO3HkC4cT7Tizz10dGWSUQGtPSt7oOMRew
+c+T1obnCf7BR8norYca2XnFw56+9ZKyS9/hMjT+fXvoO3uJaw9xCEq2tBO2NZ7WVlFeDrvSb/RB
+QvweX7RrCk/q0bTfL0damdeuazpBNFjo4T4gqN6NV5QaBRdpKbGqLcP/2lVByWfQEVLp5MbD6XO
pT6Y1r3dIxJO3jii1nPledtmKkLPNn7H1IJhqkp1B5fTDtIvMFiC+SRn+vCj5kSt/JhaEHJyZoBS
URhYmX976DtfWRPVJvxpKWACCFxPNf9mkDL8G3xOcFDNmdPQC5t0xdMC5O2928F2vzPq4dw0wsLT
2tzRi60NNdQatL0gQj33ea59WMzRuOM3/JWqk/Pn7XBic2w2D1rO9E3QfBAIy83BP1lLEA+ggfyy
UOa7cTACL7N16+PtKDvnMJUdYojXOVXuzaASrAtiYzYqv3ca+LnQwR6CFM+RxSItQ4qIf4c+A+5S
lwXVtt9YuaTBHA40oIRl3nr6Cs1sImOyyLu1oH3Kq3hA3m4IJrdAvuliRuViHizdnTkkjRDNTMrt
LN7tcLsBGJ4WUF+y4JlHKJw1IOgXlFAy0/o4YEJ3uf19d1YoOxIAI6R7Svv65qLJBnmRQX8zRAvu
Tp469rtuXIpPENfs77dD7Y1NvHy5UViefNf119SqFkGk1CKH1OBJVXWqQP7OpUclFpRV1P0O0oXr
lBl0nKMYhqKTKsFrXsdjnqzEtrPWV5MIDCYaqx94kM6WGyOvCJK8HJ8aGEPcL10w+cuMUNPtAe//
AJuXDRVD1tBmwMZgRdxf/IB+CYofWIH0T3Du0aaF+fJUITp1MiY7FEIM5fekUb/djr73uW2QDJhq
090kl1gPHw2qRB77tgWppS6nLrBr5OkqutLDgHMZ5/wRmOy65CLamhp7lBoPf7DF93h10Fs5RTbD
yBzPXlLrDllSEpQJnTNZmr4USaHdD1E/ufMiScCO8+SPuZdiPFyw+Kkle3hr6YEfQ0sXNomsgyzZ
1p/ldKxRM+kc4Jlj99xMkGSBTenn2x/56hAkCk9FjkAEWng1b9ZY4KTFnI4mQrYWssBJh8pyPTRH
ramrqcT5mOuTVil9A03eXiOIYcvqAsrVK7sRe0h5+gXA0LoojTEKSYjw7vagrs4E1PBtKincIQJx
ua2nVKHF0WbKKgzxsPhzZHd8tefWAtOF2d6bQ5Ho6bRrSbVlkCLrJeNMeUflbVYRewmX+VRJMQqP
WhKCCcQ4BGfN2+GuPyTTBKqYRARFLFrV63BGY0OZGHXNA+r8Fxi2wTfGuTo3g0UPJB+lgw95dQAQ
iQaaeLVTSuEUWodT0jnUFmtSabxEkRcXZv0O073uvTwawzN2Pu0D2B8gc9hhLZglNZJ+cLpflxzF
WIU1PUB6UNUCWrXaklUpoKe9isiojTR5qARgZS18v75hENcjIKk32jcdxi/NsLweUvBAyUw+DMIY
8nCKHeDBBScusFXWIH4QbypwxaDAqEKuf9BY1UuqZLmGjK2k/7Dx4oG2F9Yf1DD7NEstJlxV2/0T
TYpxsNJ2pp4sVKEQbBr8YwtIyluzlehdy16Gaxc2NJrp1XLYPSamJp2TpTUPzp+duac2QYGC7gka
WMJQ/fWXd/pF66ceQ2GqadRNaq0jUxlbJ0PevSjMZweGfP2E0hk8BicO6K8Mskph7/aC39nK/Arw
Hxr9KqEBt/4V4BrVHJikjHzInNyXNcT3Sp4dn43dHYS6zroFiIbbnZml8M61t46lqoXShLI9exo9
OR9d1cFHcGR4nAe9OOcY2Z4GaSj8ZRlnD+8F/Cjmtn37LJOQOrxrBCbr6qvjYlBYQ6HNXm8p9X0Z
wBFAnDr2KyQ5/BG7oYMDZWeWKSLSqIdoQXK7xQ5VldW1S2nIXs6D42QZUf2sQDZ5aG3EFqa0yEc/
zZ3iM+iQaUQ1NrStg8++s66BKogsh2I0lTlt/dWTIKaQit6WRzUMJ0u5wwU1aJevmIMt/4wly+zg
E+8NmQcGZQlqMIq53UghoDcn4dSjR5/bySdB0HvQEBAyXOicNcrmpH+IV5c5vJN2UZQPEBD6H7eX
9c5v4MXBxSGT3jBsccq8yjSixAAfgDOCJyEmc5azpaNEA3PjUqEkYeBJYiF+X6nBpVaHxc3m6Deu
SHILnY9uqwAKth9Bz5IGTGKzeOOIjlTSo1tRKiFsSg3HwNtj3UmrEB6lBgRajExS26aRUzhkqQNn
y5swIA29tIJOjimDjg8mRi5hklp/toWGNC501LsUHWed9Eox8KfGa3k0uuiAnHN9hHOTadQbwc+T
JLycA68+/kx5TwFEbni42lTPISJTdySzzalHkv2hKAB/91EzwC0pjj7FdbZFLUq4lwNH5IDZ1hpT
hDMM2MEG7FI9vgPHPzxIbMsDlOz1jiLzeeGasLoM2dicY3g6tloV64bH1lI/2yH2PEkd6V6iYfqZ
psKz7PYMXx/ShBPwf4G4MdRtW1aK8CZVNRT3hyVFPTeYFl/TcOhlpqvzb4SiT0ZpD1FSErz1xhmz
3pbsrMDXJ8sV1+5t9k0bWa49od9yO9TuZxQETOovGniJTeqxhA1q5FFgeFADnqYefXmEmDV/sANs
XOIkPgi3typJ6QAB0ysTxYL1yGQVYUdT4WGnznX1BShwdmbrVrjntMmnasHONFe04IKLfXJwIO4O
1KK6xdZUebRvvumi45KoDSPfNFYad6g0RHnGSH4uuja7o11y1IzZjUc7RhaqkNetdMUucRai8oVf
bjJC24KW64QGT7osKO7NuGr+vj2R14ctpTSx2cHzwMR70Zh9td+TPIwzJSXeaPIB1RBhoGg2cPtY
ckT3HSwrkMY2UR9z0vsOKtnBkt0bLn1PCluCCGqom+2Ii2+upRmfV61m5y4IDO0CmCl0tc7RH5Yp
POqOi+laZ6jwfGTTxu9FQLW2lf9qHlP07RoTmaOkec5oYX+WWlMjZewCT2s76xya4VFavBuUV5xJ
IZCG/LbMpSEtlRmI6HlgLfUHJ9RKN0pIoCp7DvDnHurLWKFH9faJtXhR8lznwQfPbr1llCnRHFxF
DK/FwLRxewS0zi2IFP2EP5n5byqHOVY+SpwCjYnRb9cbK/py+yfsTS7QP4qj3KLc5WLtvVpbXTSj
dR6phicHnYGhlDb4iyIFXiUtndf33dGDaC8eJSgeY1wjlL83p4Qz2VmWU1H0JFWbf8moMp3BeZYo
x5i1dmrTMv3r9gB3znYqXhQJRHnABDe2HiCiTFWZ9wjqj62C5Gw0x2eDtNcPrf7X7Ug7Q6NKoFFh
p+LDRbI5b5MOIQdo5wiQAbBOkDopFwPx+xhFhqRGvufN0UBbg7UmKwGypWjrcZUp+vNLLFvoTOFH
2yNZdEKwHt1LLKDRQI2Gg6TjenScQJBjQOiLcsHWlrKpEbUypTj0J6QzzxYXtDsmkuTmSTK6mLAP
B0nACxJ0fQyYYHXo7JLf85zZCgdXGYZsyIJBoC1m9dekx/Yve2nzj/k4yO/kRdN/5AhEfYggcaNr
39fpJbCc6Czn8fjEW0CmtVC0yCAF9jcSWJ65t7+/mM3tz+OFg6ciTEb4m5u962gSHfEiCjxTzcw7
diZOGDOqIrej7H11dorO2c9FTs6/nuUW6QtYGCgG4uuBwGNbYvueW19yy2nvO6k7WMHXhyBNOC4Y
B8iQAmRos1c0un1kjm3gpcjvQpSVHNcJSu0kh8V0jgwLXdmoOEKQXm9QKkHkDcwyFxy7Zz1EXYPa
G5lC1xb9LtzIcxSDUixaSDOOGjQ748PKUhCKwcGJ+to6FCJ5KCbgKe4nWTQ9dKFlnXSzLv0lw1U6
HeX6cSkRVLs9hTvjM3gfcvxAixBQ4HXQBHN7+mxmDMjOANoiYx0Yjlb/Oe9wYbsd6jpRAAJAK4hX
KAVXoOvrUMIC2ehDNfIHE0+LbOgNKPRj/qeSB054ooGrnecx6HCkWLr2uTHwyLv9A/Y2rcGtDT6F
1yF/2OwKXoPmOI5F7FvFVP5TmUPzfhwXrFQGA9sofgyey70OCHCy1eaX3Bel3xbYrHhjicZv13H9
IOfTf8XiPHoWQswHSepLFrrZtgZFEmC17FyZquf6E5VZhjrghALNNMw4dTYKVlKxinVkEhuCZTxi
VRJPufoBxaDqHbyL+TkokshDArz6Vmvl/B4xRAx4JFCqE6YXOEwXTf9elaLiT7wiNVzqgP5d2lqa
jr6tmL3NTxd9MKgRouatbnnK6ICVCGV2kd/LxeeykrN7JKYjQZqK3AIZlVOUt90l7SvcmKy0u0hc
tFAVevtdhj2FD36kOviaV6cT5x/MQtqC9NP5+6YKIGBjBfbjmOWMaP+ERdqiK6hTTExR9vlkyEF+
vr2+9gKyhbgU6GOJgs969oKuKPEXRw+NiryOz3erPVS9OiG3U5T31RCll9vxrvYuzDfCgNilqGZy
Bq/jodHe6wZi7i6KlwgOQV4BpAAqYYG97d0OtTM0smuiQE7QAMVtviWJsJQgVqq7w1gb+FBTPfrX
Wcrss5NLo1eUTnsQcGdstOd4T/D0BRi6zcQknmVtXtW6O0m97UPVQg2cnrWr633/6fbYrs4lIrDr
KApaoje+beNqXdJQmIJ0IecNsIqFV7UyF5lf5daC0AE+uFk+l5/QoR/QL8+PAObXRXjiY4TAxoE1
QLNos2wiKaD6ayaQPqD1eIbah4/O0jVnzejaT5UkaZPP3gnac6yMyhcE/efnFK/DuzANRvf2pxCh
VptY/BTgPJAqqU3T1V6vqAr8A9Yz8F9C7KLcGn1Jr2iLI8f5vcVEB1DoEAmK2pa1JdfRoAZWqbsg
+odz76BOLIFdPCEqjuNOqR09EXdHxZtNFXxR8S5ej2qGImJNU49OIQ2F+7EIi6e+HrKDb3d1fYtv
x+NBgNw4BbcpqDLSc8sQuUcyVwv+tnMAUGPRFdRpaJpILph5/QOKsNYBx3nvYwoej0KJAZq6vnki
JWSBii5E1WOcT74LnXi0Cc1KPi96rSR+pzVHRaL9iOwVinxUtrc4u0atB1OxoO7UqJSe0Do13Tka
YTZqC0B1nJwPPuz19GnchTzKqCjD/ti2N3PVShe1IJ7aY71qJHZ3T7vRON9e+tfTRxR6jCBVcF60
tnwadLPDiFo1fCgUqN8jWZ/4WuPM78aqz0Buoh2Dvr7cGgdAwuuPSfaFjYnOVuD8MTc3Ps8hNnXP
XtBhFN71QZPc6ahv+LEdyI+GnU0Hw7yqg3GKKzqlGku1uK2NzZ1B5x3tlNYBPI24nK9bU3Hf4zTk
OwravXT+qMcZWDmXKIEdZQhiKOvDhdBwS9AzsS2gepvDZQ51aQRPrbmGmiIv3Y2WO3WG6jetlWN5
3aJbrQzNOe+n0TNydTpLpqR9kg0gvLen+vpuwUEJ/W+LVhSbdXvgIi4YVGbCKScpQ+oHdY3psdJZ
D6aBAsntUHvTy7qiPk9Kh4bD5uhBb3iU1ADhiLDvsLOrtMltMKa+Uw1rOCltNx6kBLvxDL6t4ByL
F+r6qGszTRnBjAoDuUbxQynnA/Zm9tQzq5Bk2/ngHbz3KQGPsDMNIZuzBZX15mjybkDHIbXl/qTI
SebNkY3di6IeNef3jgFB3aYGDhkUvMN6aHErpSYugAaG3WHvox05eFqBwtzbJwzsApVE8ljKxJv9
EY5zGAU1ulEjNF9ExDPzFKGJj1Jn8pc1WMrB2bZ36gBCAmNFp4iPKObzVYFr6fIokUbmq50S5ZKl
heRKctM+lFYR+gMC2j6iv0fUwb2gXFQyuwDKCO2pdVClmukEW53uxvrccc2rev+swnP7i0PDeJYG
szBOUypP329/2r2jB8YwmQXXJLRt8bNejbVClrOdOnjDTVxmft7X8UWRHOcLL92KJ0vheJJZjR/x
nZZ/Y1Ip1ZLXcElaDHodWZtQxzZHRXftrKrPrd7VyIqW6JuFXXfqW0Shb4/0hV2/Pero+qLfoNjc
XVsVqSIz5NSUQ7YhPkyY+iFSC1Uy7O2/HS4S4wTcAnOUWgrwKjPRopNPcx4X7+RpKL8rvOimk55X
lX7SpkIJ/XKqLN5PMS5Ap6kvsah3omwcXRtM3rc2NpV/M2rOnYuzat7eAfRPW1euiwo7RqXGXNaS
zPSTHSs66scBlk4nI1n64lQtQ/VWVAN5CNQg4GwcB6Rbm+XcIbldDgtTXONshMcbBsIaZiJ+jCCt
G9V94c4OdsEq1boTamJHcKGX423z3UHzUbFBpYc9td29jtY6lRHYOEQs6MvOmt7R1zEb+deYKS2S
1EnTf+4UsKgn3UiL5pTHmvqlVmYTU5gu1r+XNiLIXhU1NTqxuHt9MOK+Dk4q5W0AyU1WY79SWdV9
mBv1cArpv8A/inLqBrcX0M6xSn8YvNOLtgGvgvWCxdsyN6KGpM6S9MlTnDn7jOBbeOIFPvtvDwVp
hzuD/QHQe3MYoDVaVUqqa6weYJfMH/0apV24MbLuoEi7c+4IftD/hNpchgXKggpqZiQARq88DmqV
fV/Eq+jEAxCnFzR3p7vJKJeDj7kbFoVjGCgUJsjt1h9T17Gc1WNGmNGFy05NZTQz5MkeN1O56qvv
jhNLfqA39kHcnUmkhSoE3IAXUoHYxI3stpgifo8rN1p+lwplxKqz66dAlX/dnkOxrTbLnpuKAgA5
nUA1biqHVV0Wk1WkKCSMY/ZPVk3W2dHrRsUjPKsfYweu0+2AO3fxKuAmzZgKkMYhuspu1Gby5wE9
nB+V6FDfjrL7AdGIopJC1mhsZV51ubTHTK1Q91DCGhh37XzqsS9Gvj44YkvthVKE1B5PUsG82CxN
7FpitjT1jV5BQDzMm9HX4xbaVFb8fXtQO6uRvIKOCL083olb4OmQW9OoRgGvmbkBAYWcxVmyRwq8
1RBe0qRWPs1Tbvx5O+jefIFtE4uD7haP4PUWiBH2t8qB+crmnPUYD7YHBfk38mpKQzyhBNeLOdsc
JdRMe+z4GFrbNOqfYVP8UxWq9cms04P1vjdbDIUkBf0pylqb2dKsAYDqMGlYPAzxc2nUXCdqGFbe
guX0/e1PtxsLopN4pAHg3Rb1KiEagSC35jq9U3to1M0nChvZ/ZQFmnc71N4skUyj7KJB/6Zxs54l
PB5GFPQ5HxUkeM8LpnoXqwvejHSkgCe4uzCu+Uqs+XUUTcVZJElmBpR03+epr31KFctZt8g9mxyp
5N8YlCiICp1hnp2bQZmSM+uVjVl1TH30Cc8XXltBZgXywcfb21cQ+f8njpjHV9mluHVgrhNHG6Fo
oWhanVQdNW0Lw4dzWs32Q4s33x+3B7d38ML/A8YCbBihhk1QWC34PBYLQVv4pqcgaONvQzx3WHxZ
1nPW2eVRD2NvjfA+odpjOAYpvPhFr4aZKGmb9DJLP0pyw8uwIXCLUFYPnnX7UVglgt6CCMDm6prt
IR9Vs6XEkw/dg1Pj2R6rmMXd/np7UybIZTKFMwpXVw0vBQdHbLQ0F0hT/IT6DJ4PWdx4BXYQkIXt
x9EJ/r0d8npglFpUqjugIVEN3nIQEqVTK2Vk8Wc8FTzHqMxPyqDZX25HuX7piIKOAhRf9Ijhva4n
CacHNYqg2kIlsbJLVGFrNMRt87HAs9TFMxTXjqY1AUEm/cFuu/6kROYQoqDMaQVrbB1Z7xt66w3j
K3JreNYkLf4Gqrl/RIwV/SLcAs7SYtgHjT2xytfpB5UkUXoUiFqYWOKjv1qTlDcxUmH3wb8aC/QO
DUx9UlW5y7O4v7v9ZfdDAeqEIvRSNFuHMuZSoc0FVCIK+9HLrLp2E2dQ/WXKj1Qcrvc25hSoUkDP
M6k6bmWnML2hL7qwt9Ohr10BzPPMCEMWBab/17TPpYNC7t7SFMeI4EKSgGzx0cgoQ8gJebvwugpd
+pfjnRzZ+sFc7S0QEBlUpF4qNtvaV9IghAftEKyJ08bvePuOF2lMEoSWxw5/u9r24MwV3u1Z2xma
SAwQaoXkCFZiuyqplndQsYWBZjg+4g4Y+Q6+9gfHyc7a4Mlp066nC0nfb5Pk6LVl5l1GlD6fgdpa
RXSKdbN9j9hX+uaXDAmOqJ3w31JG3XbeRipQg5mzwdVEDjw6NMnJjnBpcZaqdBW96N0Jk6KDpHtn
fNjciCoxj6jrdp+q1cChIEFjApgNf9DIKr6Bgci9OGuzgwkTE7Le0YIfC86CvhTdzC2G1zJy2rPL
jAYYBl8f9GScfEjGlpvpvKKzuhpdCO/5A17C+Scbz4eD8NcjhRJBwiDTmUGBxtikKFk04Lk6W4Dz
83D8YZuBXHuIf+f+Us5h/+bPSjBRsmAyTejWm7dMPi6T3C8FDOAaza4aI8GnZpnNC89T5XJ7H1xz
IJCf0e0Xyjw10yux+ELCVADzo9yLxgyr62KYfJnt4DtJPz+G3YQL7oT+0RQZEIGl6Ukf7ObD7d9w
vReJS49K3EwIx2whBmBosKRbEMJBg3e6lzHa9sN4ic6/EUXcr2SZ5Hy6mOFXVwLP8BQpUTv3RrXv
7jD5pbFKY+9gx18f0SI5gUAjanuMSl1H0bpmwlSbGprWUuPW4mW4V7shfIjNcc5PStm1BxO49/E4
vzR6/AakyS32O9RbBJIBDnhLrTWfOiU1n4cK487bH29vWBboD5AqqtC13Hy8POF9UeIAClouxZpl
gvKfLciaO/KUnzolPIp3fSfwBV/FE7/n1WTheYNUiEE8a5aeM9BQ3yjBznexUSZwNe0fnRMdeY9c
DREuMQ0vAZ+jWAdobx1SDpDyz0NUXie10bHy7h131K3mThe4cyUuj0D7VycK8SAEUH6yUQvlmb+O
Z0XF0nYJHkSaFMXnqKno9mgAGfiV3cHhtXWEQGaQWJroHbBIIE1vsr+J47FEwDf32maYHVcfp/A7
a2l6by39gGxdnBd02ubMnfPe8evK0X7KMW5ZpyaVk6duidSvGDaiJzonSOFipUkBaRoAF+tF/hOp
D35/npffeMm3d4rZzB8pYA/ItWn1dJLK5qBBufvlOLPounC70iJdf7miQt55Yjt5cT6ZT6Ns9b6B
Xd/ZbtujqtLVOhQfjjCAMIS66BZ90E+WNo28t73MnH8Yo138xC94vhRJhzMTrqrJ4OpZfKR6txdV
YMGEqwzvuO1SLJxoLk1tyr1SUmbfWaYK9gP2JgE6Oee8k2RA+qri397ie1+VCgnMY/jBQP02J9eS
Jn1QmxLuswYiZE2izl6L8CYFwuIIxr0bii4PqDJ0BHnTrSdwXNoZ61Tutw7s1wnHkRqLlDHwIure
bz2PmUDU9BB2Bxggqk3rUJEdjvpo67iQjVhhW7TSvMHo8ORJo+is4Sf1x+2veH2fioCAFnUICOhA
bDEX0kR9DatMLrMpxEdb0UvnDMw5e+gbqXwaw6V9lKakRYs3Lf+mDqpiIJqUBzfqzgIiCoAPmGu0
HbaCLU4OTrAs7NRrh9jyMHwsvWXSqxM2rfM7J8Al08z14iDozqxydJIPUk/n4ttiWtq8g65o67ii
4MTsB0kwflkUq6XxAjzi9lfeDUVRCsQm7A7ysvWs1gVE5XkkVNjI4aVts/A8YG/zrjWa7O2HDTgd
oSgqyE5Xnfk41wZdKyRCDbUjLMXts1TXk1sWzVGJ4yrFJfsRQnaAehF15vm2HlWYJwKcFKQIv+SO
J4epccFsuXGNwXF+mUY90X5FNrURMAWkpI6eRHsfFVi2EOjiGUExYh2eVJ7HJw9yrxFe70Mvodpa
yaqrVEF/UMzZuWsBlIJ2EK0BDoHNCb5YSVTnRp95izbI8Mea6nMWLBaftykwCtWyy+31srcfqJaS
/ZngWSi3rIem9RRGzHTKMGdUq4fcMtCAqdTijM4P7TMlz/GETuqDo0cMYvViEdP5Kujm0o3nfBlw
dMu8KdBQ3erzbP4Mk9u8lEVq3aeaFp2d1FIwfNDV9M/bA96NTQkLwAV3PwDJ9YBtZZq7QV14rkyd
9rgUcnciMzRcudUityn6nylGWg/9ZB7B9fYWEeViIYWLWisgk3VgZy4KW4rjzJO7Jbybefd+hXob
uhxXRwDQ3VBkay/XpJBpWoeimpUVwt8JQoHyccll63M5WKO79HJwUKHYi6Q5IGR5mwi5/s2g+GiT
Dlcv9UDUxe7SLpI/TsAxk8lqzm+fOCijEN9J9sAhbnZGQS0wMWWOG/RBi/s5TxpcP7P8U1030kWr
4CxzSUpupDbT19uR924u6o80WQhvwZvbJMBmzEveGg1OukVSPNVJtHPdyO29PZuYtTUTBrlWbH8b
6ggfalU00gfqagep6t5OpVUOv4pjgVt7M/45iFNRM0m9Tk+c+16NUOjDctSts+KnYqOTTf/mSMbt
6gnFRhXwElpE5P2MfL2QqljFA7GaiRlD/pz0tv+I4I99UEzb25JQUtAsEnUMGJ/rKB18+ylqnZTj
tZ/eFzrzaeMPfOa2/GEFRrW4dWdV72YTDYuDj7p3scDRg9FFF4c7bDPAsRjQL2ryzNMHtalcvYtH
f2rT8M4w0uZb0lX2T9sJJ5ydbUyo28WWpYNfsHfg83pEvVdoepCVbAbfp3WE8mjqmVxyLs9noCHY
rXqjTPUmKfQjyv/ejhU3KNk7IGqq+et4cWbSNJWIZyRGhlmbs3hKbSbnCLfEgx27NzTIPzz6qQ6x
bTehkmay2rjUSHswMj85pW1C5A/au8wsZn9sF/1gHV0PjfNVSHfSKqOyuO3hm3qjLEEYYvA7jZ/C
pu0fOplEMwvM+sPtE2EvEgAMMSg0kqgDrz9iJpS9HKxJvTyp+ssos9mBxw/nvBn0g/VxLRkgcB78
RQtaXNPbc89pC51CcE7GKsXTn2qbDvVJ72MUp5p2XD7PdPL+Hqdsclunj8+xafRoixXmSaV1cc7H
sTw4Da/PIX6MUEflSIR7uUURZrJk6d2Scg5LcfalLIwxdTOj1e/MkXLVKcir9mvYV0V4kDTsxqXC
gsywDb5g29vtVRr93YC1IOqnv7Atj33gBtZTb1AG57WNSWFvaJ/fPs/wNqgSCNG/K4i9Q79Lz+sy
9fRRwfVwGdOzlYzy86zho/EbobjVEMjjFOCdtF5Sy9iH/E+Z5gZI49mw44UdU5sYmDRHvlPX+1IF
n4FyDje2gPRvjpwW4VGj1wk16mp5GlKY7h05rleHoXwH2ky9f/vQxK0FtAYsKHjN9dCa2OzVIqvZ
LYXxPrKb0uUuL852Fy0HkfZGxkOB1SEQmlf31VzEmg1LLaUoEQtBIsgKS52HpymO289dNhYHEDrx
y9eJrMCFkDVDw+BVuZ00XZ1DycIu1TOVuj4PltS+r+1G/fj27wfURUj9Cyb7tiuvqCU1/rxKPKRM
seqWFNM3UtpcPWeOfzvU3oBehxIH36vqYhHrXRF1hLLLVHmfdkFyQb17+I2tzDuK5iMgfvjqmxx8
4ipUQkxvUApLp0en6OznoEFK1Bim4C+rgOBcdYfN+J21IexFhPYK5xbbeT20sC1wzx5wTqGD9ncQ
ULrJF83C/wKm2RzIR83dnS/5IrANopRHP+Iy63ABUlQYDuoxKgB1e8ZFePoAL+ptfmfoRoMieymE
ke3TrNguwMbBZTOqidLn1dCcpCQo3Ro14R8TvuHvQJcedSR2bj7ICNQVyETZadtaGNJ7NhE1sRan
xoX2ZbhmFFmnOTkUHdkLxYVHYYF6Jrff5piqpiYN044Jy4K88TB8aM9zwWUDZuSoh7V3yYo6Jjwq
chWy3c2LSYtSuN4cul42BvIJ2xLllxJIenEKYqGtkgmXGJwJvGhy5Es45qqL/kl2KfqicMfc7H/e
3oZ7QxdQBJllytNqKx2qwzQfDamJUWSX4vfKkgXPHHooFMnhEfBx51q1aI/SqaRNKQQQ1+u0xfTK
zJcqhpYK3lKz6gYATg/UOoqbAYEiBbfW1Fnu3jpAbh9AAWCM0B1A02wdNVJp49lyCtOqiR1fnfrm
lE4cCEYSJwdP1Ot9r0EiBhMG850usLnJ1cDxW5WcxrGXT2N2itt68EGp4dNSwul3lOpIK+d64wPZ
E5VVin0McvtOgxMMNKxDTX9Zmugbtd7chysoXd78AakS8VZic9Be3sI4+nQyM1jtkTd1o+bldVKj
lNVir4Pxy+l2qL0BwVrlYYZi1bVU+1ggN1coUuiRsUsg3eAkj5T5vdtRxG5eX6VEoCoM6ZxVyGpe
rwjERmkLDtHkFQhSfZQbJzmbBqpTDW/DS8p/drJCqfjY1vMRImZngXCJU10kGxItp80zBY65NTk4
xnrcwNi4dE5/brV2/qdYEqwiinQ+WPu78SibvtAr2AKbTA/DpaA1OuIFTT4Dmyoz3JP78N5R6/li
ZrB3DybweovzeCDTo/+KXCNzuP60WdWhLpSTIbdJHVwqiLqomy6qG2C5/kCzSn/Q4j45SFr2gsJM
5QzjZY/E2CaTGLCApi47TR4c+cJX097yrRZ/q//H2XntyG10W/iJCDCHWza7e4IkS6ORJfmGcGTO
LKanP1/p4j8im2hiBNiGAQGqLtauXTusvZZmC+WdrUfVpwRNs4PA4tZvSkDw/y8qP/1P4Yuqt2Ak
AEDQCbXDU9Us7jNNqPHU9nn0ct9ed/dHmA6zPzfjZhC5z/J2HGrsFVHc+S9NG9HMcBOlvCT6rARd
gSmVlfPmkTHyQKYPufLUouF13RylCaVQNcX5FGQWQyp03eZggoOcEaTUo75nuW93M6xHiIZ4gEzk
N6dYi8VDMKucgtSZmxOhTn824aA8jU7qXO5/0B0HQGr3gwaQvhdv0frswlDpBgTTp6Cjd/O8wKxw
bkODQaM0TTXtASYc5Rpqavm+MlA6v7/2joujvSe7YZRhKIps7AZG9VQ03jLy3o2fu96bf5saM329
v8iOcaKfzLwx7EzEGttyCFGTVqLdOgYiNiTBokiuPO91kCVzc5CX7BgnE370LKVjg3BgE854SZbN
lYf3dEu68202LFQk1fKpsOj35XXa/a4UQ36w6M7+oDeghCf9qMaDuz7AWVUWSjPJGNje5PlxmasB
BOvdQ+qMnX//U8rzWD8WzG8zHM5YOuUXOBXWS9lWF2reyIg/Fpn8oQCCO5kMSL1QxSuClML/QWVp
dz2QmiBxAB9R/VivN4O4qMeWeMicLfepyKfkfZxHNUPGU1T81XiiOFjw1iDZIL1ZydJG0rztOHVu
3IyTtgyB1qKMEjVD/5wwj3fwEu2sAu+cBBhJQiDIMNbbiuMlM/RGEQEGyzwzMIgnxInKA6e88/Eo
2jC/CBQHq9wWjJbB6ITGqxoMsTEaRNTjcA3HKPuqtCJ5XrQ2PKgC7GxLzkdJdgjqU7yz621V1lgl
NHVF4FWmeq2dQTnHx5P1t3eMsJVGBPQ4cp0tOnlx9azx7EUEvdUlH6O2D5+Udk7wzKNGOVk4HyEx
aQ9ObO9bwjpBmAKVk0wt11tLEkUQr1gCTFPh/gXzb36KmId5iGe4ttNhOiK5ub3TZGDUHSVFJzMB
W5hm5zUMe9XFgAhUMZ31OGmeWhODoXp7RPq4c2r0V0A2UW9jEnOL+plF6i1dX2Ly5dA8NamhXbOY
lOS+59jZELcYOBiXmBri9kFbrFRpXY0NTWGef9TTtj+nZoWyYHxErXq7EngRMNZM0QOTMbc+g2ZV
7PRpRSziqu1vZqdar15RLLqfjI0XH2zrdphSDvH8OCWoknHBm9cTsq0hQTFvCkQSVwME4KWE5S+J
6/iQWZBeLXRZHkRUzMPVIqaB52dOLPijylQlha1VK/dDFIn/7hfF6k6Z11dfxnGe/1bcLnmdY3P4
m7jVA6jXwIP2MFNiNvx81I0luH9At9eK4T8KDPBjSKKMLUpkYJghM6KkD5KIeo0fT0X1JaNtFPkF
FCU+zOpMXnnjwb265XWhQEl1iEEC6Fkx+c3j5eFxuyKu+2BgquvrFC4KvMeDtWjnWoi5vyZitC+m
1Na9tCMT5/YcGv8pTlvb/pLFpnfgwm7vOcTb5I4SwgGx+lane4pB/490GGAc75Lnjkz5PEd5fjKG
rH/OEic6eG/21qMnDWqE1jg2Ky/nT4GzicR7pqU9wVdh6acCZtyz1zB5G4Od9AWqWQdvwu1lp8yN
DjlZCQ7m5kHtBtoqOYOQQeIkDViHlhtYZkfR8t4q0lXSsaXnjqte7wrxTyDagDGDoUy9a4X87YWW
VHtgsbcXXVIRSUpDHmzikU1wMCytVkVIywaR7iZn6m7tJzNsMl/lDr4ZHSKXIkaFsZlG8BZDkM4A
2XOvIfxHUwy16WL8o3AQYiUknx7ssIp+v38Z97YGNwWUS7BdSm709Qes1cJgfIm4uDYn99RCS576
elnBVGbY+d9vX0sGIpgfxXtKNuu1OqUWGAwEVXNnxs+8fuGZ4lP2flDm8khVasfJYBDEqlKriUBh
s692mko8QUTypgr1QZk8xw/1uPJrQEiPzWxNJ500/Xx/gzswAihMCI7R4eBhAFm+3mGoNZPXq9JH
T40ArZjEn4tsFKe45H65syUeZhjCHnXU4U5doy6Xbh60b/d/hFxjHTlL5B31WzBbULRuoQyTF3nL
knOiohFw9o2SeoSnYHT/ur/OnuUQKEPVJSfSYMhb79XNHUckI+vAvJkGBS1FP6/dGt3Yejr4rnu+
C6Ih1uGZJU3dLEUvYR6VOYTZjHvop1DJXeoUHoPUbZ/tbBy+39+ZtMPNFySqhCdGBn4GUML1zpYp
S9CMlXlqaWnohQLWFIlXN/6wLNrD3MNIGMfC8wdjOeJZ2zFbGYORgeAB2PEm+gOooelFmxFSREuG
griRwxeRABsw9F75Rrew9Cennq73N7xzlKtVN9/XyKN5WUZqDgbkPw+Zm8/PWhRNp9oTR4Qu+xuU
lWjJHYrZrL8tm1Yadca/TWqUXCbTnkG1VJQ3BM8x0unjs5tpR2IX8i/dHqiEpAIrprtubSGTTlhN
UHJoUP9lKkzRURt9CMfl7dBsXleakjK4IlnYcpPm06jCJJvw4nnRtz5PnZd8ccJLawj9aOz0R/q7
3RGlPurexFJoIcrP/NNrDnlBuPQVYBm7c4vfrDgXj0MUmqCIk+qDNk3KP/3c9oHeOd0TxNDVizFm
/XLCOWQvybDEn/TQ/ieKzfBEuNH9R8OVEmxuzYHnRuKo5bh35ozSkafR/Ubia1MODaMRasKa51OP
F0ktBTt43oKwTPUkfBCF6Z1pORmv9236dlFKzPhBFW9M52NraKPdW33mOHBXqXUy+42b1Z/UUm1G
n4J98lFbZld7FIz7RAcv+O1lohwjJ5goiaIDsUUxDIMBZGSm+NvPtn1Z+sZ7JrvP/WUIwzf7RZaS
M3xQOtNF2tJV270a2tOEo0pnpWRu1xnqQGlH+zdLqZrOzzrDvt7/qrubk3ki4BDAMVsSclVpWghb
BM9qb41Bknj2pUBEw0/0VjsI2G+9MJujrwpxD5By7GZj4qHQU7PEaoreMS+9vmT/Zkrp/oZMb3eu
Bwb9rJ4hUFXNjiD6t88NK+OeaM5RPKF2sl7ZiIymsT0u8lwv08nLpvBdVfC8xeEIs0GZ1e3n+191
d0EUlmhdU/ECsrpekNC1mb1Exsqu0zw7jPD5eZVWp6Kd9EucAA6+v558wNbew4U1lA4Wsiwyg918
2sjUhBnWOOECDfSnpDXGJ0+Df2dG7imAnin/XAHmuFZDvfjm0v755tVNR9bTDX4AMOhNIhvpeSPo
CZL/2SZ95SihaOsbhYvj8tr+lDHfcWHErHyfJqI/a3pzhFrbMeLVD9g+smOjaMXo9EHf0MSjPQKG
pC+Gd501HQ063b48RBK0rvi9AFrpPq9PdtIyx0NRSARoXXcBHJDQmrr9ERJhb0N4Oy4klURYYbcG
O46WXQ+NCBqbln0442jmUCADj/bP6f7h7Ziq7HzSmiBGkVTr6w0l/GGtmUIEaoZEaqiZmV+OkBPW
c6GeYuWQQ2pva4wSEi2wMwK9TSw2lO1UW7UqAiuLygdXwZHGfbW8r0FqHmztlo+aAgtZB4Qc9AGR
pdrahSG7oK0uwPwxrnyKJ7vKTqHZLKVPT8tbfMR/rQsyy3N5nXUVGfEYwp3fXBFbBa02AbcQcAlN
nCkxV5+zObTf6WbWZAeOcfeTSNVGSPcMyuPyz396+2m5UQjKexHoSd8+iAFKqqmNX5Mo9z7fP+yd
mglxITph8AkAB6RKvV5qGtzIazS+iFrV3aXtKkTpFKq5dZvW56aNP6eMSl3Ry5m4tqp7cmHKfWJa
qz04mh2r43cQOlBqIwHYPjvNzASuyLGCSuRehMtYLD/XMTayWoNRxch5c3LDE2fzgYn+CVW3DdVY
T4a6SKMxmOJEPDruQKlyGKi3WaFysLcdZ8zMANBzPAUZ47bToRYVeLx5HILSNpAgYDzscUmLNEBj
pA+YKkwYJ1CHh2aJl8AokiPQ5Y41UeKmEMfaMovbGL2wmaJNKpdGSxKpT25u/FWguvP70B7erx1f
SPoG/pELRhF4i8RuoGQp1SSEtbmsjbPos/p1CZvkgAtgdz9gzKkvI5xEM3htslaTmzG56BC0U7E8
pcs4nuM80aiXKvXBye1EKJRpYL9g1AV89zb8ahyvLGi+DIFlx8UXsXTlUx56xoumZ7o/1GhSlYk2
+UVvvr0gBb6bKgolKQ2UnbdxAY6CRQE2H4Iib7SAaRvC3KZKz3PcGwexwq4PYPxDssKA5MHprz8o
ZMai6y2afm3vNRdVK6JrUabVecriz31lZR8HS+/f4YuKYLCXzBeeW10FudDB197zAUTUzJYzpgxM
cuOLNOG6jVvlY1DNMOL5+dLRalK1fPoalyZY6XiGL+y+/9vJIQBCMzrMACVtXWNzN8xZt/MlpZ/r
NX1Cs38wUKSynWd3Rl9nQnrspITwQ91fdO+ayIOlBw69Kony+nvPTBEK3YJOpSVr8nN7Ul6MuUo/
3l9l75oQVEsDIgpjiHy9ipMaiWW2yN8ZfWSdw3Co/GXOmg+TXh0Nl+9+ReyGZ4RCEZiG9VJeNKcC
Sa8hQNUY0kQtZLo2EUN1hgTy334qhi+5ah6l/Hv7470CRIHFuLxd60XNQrOEXVVjoCjjhFGKrgpU
YesfRG4diS3sbZAat4p1ygbDtmWXt0uoj/GMy9GG2H20rT5JXhoYo60vxiRfqaiCHdfSx/yoKbR3
JwCeUgbApfF6bMLLcZlNs4djIahVCOkj4vegHjpxEYk2noETHpFzHK23Cd1DLZyMOmW9pO7TQG2G
+Jw3bXVRZ8+9RINxxCK2d4oMsgAi5D/yONenOCuI1ou5GgIF+NpXtPZQxRahKc4ogScHDZKjtTZm
akxM/mc6CADQJ/p5nC3vqZypf1VzfATP312KMjFdZTip6B6utxX1RgMrJL1/oy6sL71AfyUeCvU8
Kfbbx/do7gLWoOMm0+ltNSIbPGWsdGyzUlrvCpude9VbAAAe1+Ny36XsOS5IL1FGJIYm69kYBw+Q
W1r6MATMUJnaueR7DnIA4cgr7xkhiQDWDisTuOuN64qzhCK76RKUmnbyyVRym4aClT7Vjhl18Acv
R/d777ikaitjkKStzDqtj8tFGB6umgisLBHaRbWFeWlKhNjCSehvj+3J4SR9CliK2xkRmrpRqS8h
ga46l+cMtdBXDENQDrDSg6X2jgtgLt0RiqIkjZvP2IaujgBwMgReOHSPJWndZ0U5VCfY/XbAyG2e
URq+W5ySpHQnsIzxUNE4P6R2gfKVPQhem0k/6sfv+WEAZv9ba3NOvVEZbuqAXYBoIL8yxeQ+O8rk
/tnnzHQqauwEKVNlv2D1tOogWABZTpVTBok/ZWN5WveNSHFRVDWqfwutZXgr6t3wICrYNfofE7hy
phmkzXqZwYy43TGG4dQVwEMtj8wnNzK5xB0K8AGv0hE70u7JMYclsRoSg7x5W1ogXlU01yQGQ2eG
vlFb8dPctwr5noar9+87j93VAARASglHEULc6/2ZQyQsxD5BbVSD/d72okfRTFKwR/zz9oX4frrM
IuF125p9qKWOpjBiF9iRSgXInZ0HZEC+xEOlHMDS99ID8g/SSDJ1dB42IYi9NK1dJnzAGk2rr8oE
sYBT6ZmkvU7OQ9+rfjkp+WmZ8q/3t6jtGYsMk5FqhPKGm7f+mJHtKVkxkmlBor082yMq35U1V9dU
DJC8C8W65oU5fWzqIfkGfVL43Oppspyg6s7OVVx1VzuNjD/UUBT2u9yOy3+FMcz/3f+RewcuVaFl
1EK/cmvQkI/XqebxBnrqaH1O4xFwba5E/3hDeqRYsvc56MsAsgAvKbsQ689hlcylNg4PUxl6kNLi
Iy52N0PtrwN9QL7raKZ6b2sS2UK0CzABxOl6vb7UEp6Tiec9myETK+30qykJ0Kve/ZVEkIFC2mYy
/4Tlcr0UNzemPcnW7CZFhgHlp/YrVNqDfUpqJERObz8z+Vy4sAEx3bVNwaKKSY921oagqU39CQ6C
/qGzrO8yljlYae/IwMDJ1AvMCmjT9b5sRVXsPAt7YGhRB+wC/WpwhzWICA8eujaKtDfLOhO6UNik
cgBai6Rh4+4Gs+ldI0kF5GWm8hjlOiTQ5RAvXNI+PEi+9p5emOcgOaB4INOT9e5I6J1qNlmrGszh
JcvsXglICQfn4CvurCO7rEyOMcFIS2rzNjl6N5cFBLWBNRrxo1XMzTkPm+L7favYXQUcACgccq2b
7ioDPcWA6rAIFBGFy7mI3PDVBmpdvz1goRH0/+tsbJ0qDsDEnN2AzJr82Z1qkFtxctC+uxWLoOsP
C9oPG6eJu805LNNLBg0V2KDWjXh+svNq0vyqznFLQ5Nn39Q+qf4c56oVD0aVayQkImbY3gRU8idi
VrpxVmere9TUSInh6HH0zG91d+h9RrT6P9zCiz5GkWg+9EmZ64EoIdnCJ+Vl9GFos1J6wdkY/CEs
jeUkmKLNqDSk5qPbkU2c2ypbXts5b8ODj7tz4eSwHxwx5CQUzjZVntEeAY6ZyPhGrgtpQJHMnw27
Gh7MKi1h55+Pppv2jIaIkOP8ASbf9hGysDS9GjaIoLNC79NstOYjuAvjKHTf3RbDFMyMELdzsuub
xvxxMsY5D31Ym+4Fj5a+Eq+pgeK6w3OUJHFw/y7suH45TUHjmeojyd3G9S90FBej5zMWCpxlbVo2
D0YzoFRaTubBie19QclfScMHJgRC0PXWRE5JBe3rHjvNLKpfRfbVoB98EMTsrSLr/5KPU07xbT5g
reiDrkQlzbpGVb6BKB1Tf6Q0fvDddpBTHJJFiwcfTBC9fcgsr8/MTnd72KYToQa2O0Uf0aUyII0V
KNV8aNouGt+Pbdl/Rq19/iu1bUU7m1qGsMn9I9zbMSEb5RxUjRg92NwEbWqrJYxp2YVmOvtLpOkP
ndDVg2rDnmFC/wZAS45SMBK3Pr1mVCc1XJBDd6mCfY+sonqYpqbEr/X55LuZOHDS0tVvWr4Q+HCv
iUjl/2zOMZuiLO8MpQuAslMVawZjjq89iSgA3MQopxNtriR78VLFzX1Y/6a/7n/VvYtBARUHQz+F
Z2ITks5d3nYa4raBk4xKhp6O4jwZTmZ9YBp9PjjB3bV48xzQ+yTTW06b2FJcU1EGkL45zldxFAcq
ZSj8a1uvD+x29xiJKuXQPmW4LdFCjsq1mY1WH1S92T9mZtYyeGcvaOrW4tGSnMe/8BkB78L+BlqA
HsfabFrKwYSz+BezG8LnuFIMRHM87cmItaPuxt7WaCpLOXSqR0Bo1ksN8BP1A2wBjA131lUMc3qK
aye5OF3Y/66w/kGwstdoYIqXIoGsFTDLuzHRYXBGmE2ZfCjo7pyKQbie30/Tcz2VS+SPRTd9KRdz
/rsuTFFD2R7ZV1AO0SfbyMryF77zz79lcz2JaDszogofDHwbaPCZ2IQo2IIGJY6ubz9S/B0Qlx98
CVvwRxwbQ2MPDM/A1CbQACs1MJtpd2nayTzfX2rPtcEBLO+fFPzaPvKaOqaQo5H7xrOSnTJdH99R
eFW/3V9lr48OTlqSMFBOkVCojeW4ZttNyoQHbSvHRjItjy9TrlYBcH9mjG13fGcZafUuLkHjdY01
42ZDMfWXNhMOIwwUWq5AvavXMrSsx558+SD+/kHNsPWGgGMBCEP2iY1vnmkd0sQSdjHBJFnb/1st
qfPeVOd5upbc42tdd4ghF5nTDVddz9pX4Pjet9g0sguiu+mfSW1oBbS4k2scHNCe56JnSeaocT7k
j+svV9YwBGmUvEGetk5yasbQfQCSaf3RMVj7CyYuKQHIDXjpgEWu12pTAdPDNJMcRKn4HDnzv0ha
eY9Nkpif7hvEzq6YZAImDPcAM2/bi13FStzRPIFYFY9mEuyORofoGSEbwwHw3x9sbOepgxSaSW4c
CW3Z7ZipCZXrOLiMGaWha/q2gDe9NEfHH5u6fA+MV78kmfpdn8buIHXY3adkb6POzsu+heE4XcVo
aM7kEWXIERCJVZwbWCuv6uAesSvsxUtU2SUmmoQI7vLN6ZUMJc2G1nCVSyN5aGaBupRTC99LUS5W
etc5aWE3fooUnIgyJigKGPObVZpYmRYlA73wupEdbB12CLgp7mltCeFp0IvZf9JmK88d5Ba/cqQk
Y+AxpM7EVlW3CgW19olSWokO3+Az2OU+eSMyKGrcZj4Ms/qjhzz0pa/U4uBZkldu4yoImf639Ba8
6jKQQfsfevha79pvk0qn2UY35DP8BeXTOCXepy4tjiA+O46awJOOM5eF1GV7N7vQi5WiABMydMPo
w6ChP4dMLx1kEDsvvJxUoA9FdUDqsKw9gFGJqmkk8kSMqfI1itMqPTVm73xYxplmlGBS9OAcd/fF
+UkVRna2DV9UNelE2Kl8TDOeF7/wWrXy9dgz/327x2FQ+X/rbGIXRgBjVJEpLtLWqC/jVITnqdLd
k1G7yQGr1+6WdKA7CJOQ9G2DzVyLlki1BF0vWA6DFEmEEzPURyXFPSuETxW2GEwRwZBNxcg2YKOs
U3lUJjF8pIcyrjWns5jbJojJWB6K2T4artrzZ4S0lOGYi4bmYbOoa1ewb4ofJdqqfFJnCKp7Cz0x
RBHig1u2a4qyFACOGTLKbd6sLWAh+p5mlF3BbV4iiaz5i4tTY4AuD6Ky6z7/goVIyiGDoRJQ+/ra
9kcXXuhoIhQyGqOAKXYwT2kx9S8GYpiPv7IUYRfJCJDi7YiVNi+uMstGm9ZlGXO8cxU0buqenco4
GsTeOzFUqGBO519qz/Jp/KkZZbYww2uKdFZN1fwumiX6A4kO691YauHr/V3t2b2M0uXMN4Qj21eW
/Lx3xCjbQ2rqvjISnf+uwEVwYBe7G6KwRcoK2RtJ+XpDvaowL9LzzFGWUy6odTT+mLX1w1iqR2/M
ngkyIgIqGe4G+Bg3FhGhOjJpLq93nYvoAne68pC3afa6GKK9QLsVHjiOvStN759NSU4aPuN6ay2j
5RHqA8Sg6VyfPSdLPsTRNPmCnpWPuKzwFXsJ/7p/anvfk/OivAm0iDBlE/jaqVLXE5onQVRk7itj
+yMq36J+DkcY0u8vtReG/bTUNtkgLwb6WlNHVd24mC5JnCgf8spRat8eY+/k9FbxHplMMI+4Oy+4
v/jeYfJuQk1KyEANfGM3S50mZq1QxJE6QO/JJH/LrVYNVH1e3id6fCSmvncZQGoxNSBLOeDV12ep
I3kIy+sIzNtUmfgxLdTSO/WIpmn38Mja5IAYnnIb8zXINTVFRs3ISpbojKxZeR7juqH0HHYH927P
ODFKyTdHnQGQ2HpDcQgxEzKYJKWLmEHfzPMZRerS71tLvxiZgVRHDN/0/UPb/YpA0uh/AGgCDrte
NNMLPY06aoCA8rJr3aMtwZzHUctsbxX8MLZPvRE8x8Y0Qlg9DDvJgU9PRQ1AANGYuQ+L8/297J0V
oSpEJEDKSYOlgf7kiaeFwVprwPpTiDe/JimVPSZ15sh3MvsIlbW7IykiJttl9M431kcx2smFTbHC
qV3rklpVwbiMezTFtXelCEhxjwazyUQh6x1JffY0FipTP0rfQ59uymjAKq51kRWPjlNFwf0vuFcP
IhSgBCkRCKy5ecxo0qlAKpiFRAQZ9GWyeNdcSex3prLE5zFEltxYauvSLKni95ldnkj3wuuiz29W
hZe8MExjUuWD943G0Hrns+pFtlPMtGnQM3tnmHl6KgCxIGeGtkSUlMq3PIusg+B8z4BgKpMaIYgW
A/dfL6rOdRgW9jAGZl4p7wdVMIrQuMmLm4L8v/+l9+yHpqdERcCNcCuPnoSz641MrMVT610ir8u+
jGiiXu+vsrch6KWIt6AEJKTcbEijCmRoE0NOdagrfqmlUTArLnGs4v3ClBpDN0ypYT6S1mTjSKoW
t4hiN3Nxdh/6qRVWfqOFw2s+j/NBf2THUdIpoCUOKgeCzm1dvcs66l+eJAmLLftipF3pz3k9XuA/
a5lWcNwTHdcjAsKdp1UKdZLgwMcvBQfWtjGEIsldrccgDSX9Q09d46FqB3Eyujb7j17awuBn8skL
hfF2cD0tO4CENK7J/LdN8hpkwwgX9hgMSsKQFhRapyqt6xNJ3Z/3reXGJikWyblGOYgDW/I2OrIH
hNBpz9WQJefdae4Y4q9oqL7cX+XGp8lVeOM4OVBHNH3WHzLOmpIifc4qgxifbFAzH0pUQC7EiS/x
oLyZvlwuB9cCM+UYDJncerkoN8Z2qJM6qGLXvSqqaANlMFO0VjXjrbeNORmiBPil8CC8DJs3QZ9p
UoZVXweNN4kn0yuWoJvT4hkiraMYXf5VqwqJpP/jizAxRXoKz+h6V2ofFU4REYcY9ihlImrLd1o7
g8pV8R5CELw+xCzNY0152x+96c00fXJ50kP4TZkTo8C4Xr6AuatKOoA9BVxGZyplzUtdyLFRorKg
LZvqZLbzUahy48zkovRDJT6fB2G751ptUQwroiaQUkanjgnzS6Ug2WkkYXS5b6O7S5F+A1aj6I35
rPdnLzy8nWXUgbM4y7VLdZyLTdxet8588BDcODN2RQgBjSRlcam3s15KSlPZiT7WAS+e2vro8XTf
dVqhkx/VpvKpMnrrE2MX8Zf7O9y56wCKJBhAJpQgX9fLNvyUdoy0Opi0CvqBmUcviar+F76j3BZ5
D484cOj1KqM1RWTB2Ek59OXVsBQ9cBNX8/sx8s6/sCEJA8CFUSLdatVGs6N4ZsiGdNWpX4yCS0ph
zYZJ6P46e6ZB6Ql4Jq8dlOjbLfWUuuPcrOHuSoqz26T/TcKLg2LwjjpHeyvJ4Tv4+NgQtfz1x4NC
2FOomFSBrS3ugwsixW9ST303pFb91jcGI6RDxRkBbZB40PVSEUaijA5FEqtORr8aRvXqLhOPaWfm
j/e/3477pwPCLDtGwQzMdpISE0gG+MnLIKps0fjdnKvpe90Zx0fABu4g+Siy4uDM9takOwCci2rh
bSMe8TcjYYfom3Zjck7QUPLTblp8DS3sa+m6R83wvTv983qbWGHKQ05zQPrTEhqvdd0rp3TS50dX
hAY0DHF8rZvsiMVImsP2SaCsgfVrPHk3EiQl77XVqU0Z6EpZnqmPq6ec6srzNLm2ZNgu/DFXHUJN
NzoZk60f3L/bPTMtKvVBSCUZc3c2e3YSq7XrFj9WwiX2mEeLEYw9kx1DlPef1WxsHh2dC3PfmG6v
iBxRpeZAusy03JbdztNHk34MDAz81/CXpVSeJnIKX4cC4s2uDJvlH+obsCix3PqKiIoADYtuGP+b
rN+7YZr9yQqLz0Xr1AdX5LZVyoSFxgQJ3TsQFQwcr9dKLTtXFnYWQBHeJ2hJdG7ql0qVfc+nsmLu
DyXgU9MVUX8Sk9a9B0/Ok5sxYKbzYkXJdzvMYE1wTcCvB1fp9t0gwZZSGj8GXNzt9W2GinKIafMZ
FCP9nFKtO6loqXy5f663F5aOE0AIWJUoF0Aatf4ACEL2eewS3qSqrvpZolh+5Azeq8jqb/rYuwdN
xL1NsSA5O1UDgNHSzH4qHCyz3ZoNJc/AtXvz0jLo3fyG8Lh9NCyxty05JstEJywlN+VOCt7lguE0
jBg3MIv1cQ4qx7Yjv/S66EMnlKMS/4+Qc+0UqI2RJMkxQIAeW/QwZE0qNTis1k3j6HGKpuqDR1L4
2iuM1yDKWJuvzhwyIRgOTvc+FJ74ntleF4SZV31NS9d+7vrIfVaHknzO8JrxsW5iE5XcNHrJay0J
tKI5BNxI87750QjjyiIt9A3b8Q4nJGE2zKRlyLYvHV/xMvVTg+L3k4Go5gfP6dV3pTUb32ZN8Q5S
y70TAqEgIWhEftC3ri1hhkxrcgeDuLo3/xNT5H3wlqY8J675ewuw96i6uLccsCJma+k8SmTyejmj
TLxQbZMumFEg+qdUrOlBoG4Bx4Ph+rD0HNV3dvzlD4YyB2dJBLMt7SelbZb9oLQQcOjDh7hvNZ8q
qvlYu+NR23HnPWApmeIR/kuY93prqhn3aoYIDmDTdlgubiPqc6mSIDxFDRc4Nzo36ECDHlT4bytY
kHghoMFLBHUZtaON72wrJGXbDND/gmIqRFdph8SaFo6tn+ZR+CVW6vmlUkUVpGMYNuhaet30bBmz
W/utGeVH3Om3rzI/B7po2euVD8Sm8ll2Ye52ld4G6ijEt1SY0Ka7xfSu1cb4ktJ0+x47U5VfKn1M
XuYyE5f7nnTnLvFW4UFVaq903aQF/uTavG4JmbPuOvD7c/atRlnDd+IkfmwcJTq5Sbq8zrUYH+rK
OepF7Nia1FcnO+UseKI3GQbzgpbWT6ILaldxgsYeo4+6GsXPIBjyT/c3ubsU1Rna27JsuYXw9AxC
01GpIHsp0Soulsj0BaC9U5GA576/1M6NpfYjmWVcWSfdNk0roTGSD9lGIFSEZ66L0o49T7PlZL7W
z8W50+OjvPf+kmCn1kfopga6S5B5opHs0De13TAhObRs5ZQsyvxu6KzpACi79z3/f5PgFNYrNo49
p4oStgDTlyWI7JZ+UT8v76wMENEvfE95WekH/+C4Wi81Kp2WhGbWBR4p4fuy0pMPy1AriFDPCdNC
uWd/vL/g3oVAQoQKNzkpvmmztzq2a3VJoCuNdZH4YVVWj96Q/JvoSfuRief5yeks7wOkB0eDPDtB
BpUL0FYwfjB+bGwCZCgNus5I2jYIRWZfSXLaEzRab08aGUCjICPBQbLJvnG7c1MIwybrDiK1/rMq
8+W9oWkh05lzf77/IXeMBJ0+mqgUvGDj2BZEu66ulmggqbJDtCSh3muCcUQVAoLbI2TojhMlDGJb
dPmYQN52881Z0ztglEXQGoboTpOWNs+tYNIPBiCle3LhzPo9HsbyqTTL7F0qANjd3+st9Ev2rVif
ehcJMpd/baaL6wxOKVEL/OUT4r3jP8NAUa9RKvPaGtRttNh2zxERkV/2tnclbDcPfsOOG6ALTQJL
WMJvuCEQS9V56hNE2s1izC92ao6/jY0HKHk6J4WXP9zf8Y61/ihiMlvOVQEbud4wxOfdFGZsGK6K
+Dmv7PjLILrkYJWdy8gqP2pQqkXavXkjcqHFDkEIe0Is+PugZrbvGUXz3nPq+jlD4uCFKKYmDlyO
/M6eSRHkMV6OM4DkahvoTe4cj61KSSDSrIe4rd2gTOkvRUk6PnRJp9Bo0/RgWozq4rhT/vv9z7t3
mEwW0+GSTTbqmevPq6dZLqdjsCfNWHA5zreGEPmSC/c/VYn1Aye7d1Vp/+DvwC4S2G4OE4yPGZcJ
TmHBbCa/6sruSS8BPyw0AQ7M9PZI6cezCh0YnUBsOwdbuV6bDg3Ea94Yzp9i2wpPBaIZPng+6wpJ
e033LmTaKeSH3P+mtxhowmhgTJQ/4AYChro50yaMOhFHdRc4VoSkXxZbyVkXSoujRfE799VZNx+c
ZbTOudu67nl2uvzSkdpkl6yKTV/tmzb1U5E5uj8ZcRcM5tj/efAj5bdeJzfgfqlUIHlOAZHwaH3y
rh2lVTLCE9pO0fysL/IlElnli34q4bty+3eL/UKfP/Aic4x9dbKth8Ro3wxu41uB8IHRSE6b0xlZ
/wyYJOyakTjYrirDfuyV4XvEUPt5Hsz8osFyek7D5ah0emv0TGXLGRFJR8UMjvzzn2LRaNGrJAo7
5prQnknPyjINmp/DmKleR22G+9Hr2zm93v/gt7ZP7GvStgPwQxdtm9EBN3OMXJBzC7RGTjQjo9M0
2OFvXZpbB2WEHzCG9dk6pKvkFZLbm8bI5mzFzJXwCpinQqU3y0toGIPnZ/S6MP86Hp/6BP7xK0qQ
zf9R9iW7devatl8kQBVVdKlVuC5iO3bSIZI4IUVREkmJFMWvf2Od1t05wNs4vQB2LHuJxZxjjgLN
9AaWTOenKvyMNvHFsS0kvFzSSJr7xlk7dknt/Lctt8igSJq9+QqzW72fEDPMV7pM6fI4e9X8W4f4
3+8I74bgA4NvxGXS+VeVErNkZkpiUTqJXqjcqroDXyr5w2ehII304+v//HrQnaCEANoFAObvdg0Z
yfjx9WAPtSx5BedL3T5HmBu+WrK1/3oO/vfhBDobmkOMdHDw4h//XIF6kJLstkaeOaQR5n7IC0a+
bcOGpPpGqLF5ABWGbDRB8u56SFSCjEkyOslONebo8qS2iw/1bpV+zzFOXOg8V7mgTTqLez72AMyd
FwwIShIfCgeuEBWtbt+MzvuCAlBD3ALbmvpJxkm8Rhd1TtMaVvMnJol4rFnj7rYmSflhnlEPUaME
xsqDKmCMCG7hMh+zRhPkFDOw/rotcYQgpxwBf1ceUq+9C3rb+1MUk9SUQyvLb8ZBuYIOM7zJu1aF
VNEd9m/tLZJcuEQsdi/9aU1M4249KjzxYcEERUZBvvIcVoMtXG4LnrKnIgyZvoIpGdIvpkzZGuhY
1XyPGp5H/3N/BVIEwBfwsAFbYRzxzzcE6mku8gooNq/7lnIksHfE8xEeyW17VLuoj//r+oPkCJ7B
/yFIXBQM/3weolGqbAHx+8IzER9LafRxhc/S07TBQv7//6j/3lroTdGjwjYJDQA64n8+Co7/3EDW
aQ75ZsYzazJxW+8ZmFf1sN9CdvJvDfh/Rl7/PI4w18OqwsF3uWn+RnuKdS9AiAK3d2cEuaV7buN7
Ll3vzgP+w91UFOznAs9dfkAFy/iT2udy7GZANbGrK9ayt7kJ2xuu6n6mA4bB7La0NvuctbGG4nIx
724t5VMfZqAnouexeYC5Mxp94/l2PSYSbnHotvLQ2aEyKV3zvhUwsWvJ13op+AdBovaryezEKKlG
oqFjV4HTCJXMVytGN3cgyehfE7JJX1I5Jd9WD9oc7CO25qtYYGxDbc+XawxyVTz0k7PPXCbpb7DQ
4dKtWyYjrfcJBfvlbbznrnRf4fNW3ahlyH/vHuEkh6qM/U/Ud1Yfs4A0F6oVQnofo2hGjEmkqZ+F
V8tXKDgjAPWELWOnF8jIb8cha94iZHX8YVpESuiIdapfohObeKpZUa7wMlhkVIecpxN5YiNswrsW
ZRc2HqwBblTThq/FKsjaJdArfyR27BeIsmy/Aw2qDCw34RYE8AqhlMPBgWE2AtVgw7MaLgHTZcbc
wwZbppRCz77PNPNATU8zsIlXl0i0rxMSQtauYuUuqfOW30bXztuTCzE5co6Z2L+s779v2osvOipZ
DM2xdyHf+Gt9b9hm4AmDCRYqq2+ytVV3kIvIurM7vvAvD/u7P7k8rMZVi+IFShjwJf+5mdaVI3TH
kQxRp6nqgnL1qWHu30g//4UmXkY9l4Q+3EwXAI8U/3wMpvGlgXwPYnI5ieQ4NTzcAmliR8Jx7lKb
t+GFceJuK28W2OSqptyoatJEQn6emX/jvMLb4/KH/d9Njd/o8jlfmNkXN/C/CZswDMz7sNeIl5hQ
1r3WTiUeQz3SWjiSVz153zjSbMulbDCjyQwcE/hGpngF0xQJR9PJhBXMgjxBsrterf4aEPJegD+1
CXAq+LSJQ97aoaaLdlZeMaQyANnSa5p34Jes7FkTORTHeclHQVnoWXYcxqo+LQukGMcMbklP1i8c
363E5chp1UKbrZn5CezF6DsER+4TdcTXf7a0N9O5LXyvjjJps2ecFPV0VGtoH/nKtu9WZ2Wkpmek
P5uZrx8qhRa182WC7S3Ygg9849USOlHN5Q+jPVievVncA1PQz1Pupq26lpPs2ZHlOvk2zLx6qGEg
hixi6F7bAygy2GYSZSj2IAcQfixNPt9KIYK/K1PXfMzWlDsyZ+x4vYi48G6IwqSn1DbhGyZ/6/Vu
gwQvZGDZqyubldAEAp+HMPD5EVOkWR4CjwiAM00zMOpcMxcdz2t5D803VhWmafvroGV9g1wAlHVw
kMY0ZYT2qqGIRQJ+vULi4s5oqWC0Oag93nI1TiCRI/Gkq2Gr8x37AL9hDk7AjUsd4RDOjgg+0SqZ
t5Ph5Q59WhPkC6yXSHbwAzEoRgWCGamt7aAPzI/iiU+oVr64xtjvQqbwe+bIHHzDiG9qaGD59m2C
o2RymPIwfabpEqurGQ7FsRuSsfkIPbcJKp2FDx1YEOQDIO3+4tXaPIgGSa/dnqztr4hf/iVYjVwG
+GxU39Y5k2OXJmX7lgaI/49LJZg+7FPMarCHWA433r7Q0wE0FbZ2e834o8smkXdhNWjmkE3MJag5
RejpWO3t8nUem+XTJyrdj+DI6wfQzDB+KPqM3I3R5MOhdWYsqDVQ+YKgCLubQ7vM8mTHBJZQFq4P
xQnDxfpzWtX+G817jR9tcles16ohkGJHlbk/aCYmexRNiG8EOpb9rS44QkoRt54sXT/ZLbnbdktM
V4tGyoPv6+p5Web+xUEUSW7JgE+Pom+Ghi7apYfb6FT14xn7h3+xhW+QGDbZuErchau/gwXz2N4Q
Xs5b5/tQhWOMey3otko1HSeDYQeCbnZfXE9LmD4QeLsEauo6OQu5IiMAVjTiZx8m9jBvjVEIN9Lp
B5nytaZjUfBnt8VoYX2Ql5CkJmgHk40sT2VCVN5VYi9+e6vqlZYO2h0aYMjykIvGYokOXr1waI7z
M7yk1O3gWUPu6oyBIMn3UqfXCMAoSSfl0BNJ+VRPeUcQInt3GSJ+H5OQY6+GQX6Z2AVWC0MMrwwZ
aQwMX15pOrJh810bQL8KRa4N6o+sRO7NDJXZQ4VGiF8x3+tHaPCrH3raakvXiJSW7pJHZU+wq3Ge
FhaL6qaUxfDEk5KjHC+crt/bQTYnn15i5Idlr7qSDal/hPRO9c85InxNt0g7KzjQYoZL0RJlzSFZ
ffhSF7ltDjCZaVY4t+rwUmPgMHVrIRi4ObxRM0aqFR6cBdmrU2InAYlTw0S8XcrNqpsxlvJXwtCu
XivJ5/2IHB+RnkwDm9Iu47JuDwwfWaRNCBx5UHuyfUHCKZ+Pa9kPD7AgB58kF8hLu4HytNL9WTI9
Czrz2I73nlf8DyYUdX0Eq38vTknpYCNQqz39ETYMeCm8SzZysNlQfKLTRg0077I4Rwe4sbv4FT7B
e2RkndFsBTWn3mrwvXOpgDCWZE1vkmRuObZiLLZORgh37nMsO42vNu0XLfL60ddZ+Z337dZfRa23
6gmqYKdOZm7FeJqUSZ/3gcT9YlE5PdabwDtB6I9ABkqvIpZ1rvS1zMn4Ix2l1x0ySN1z6cdGnJFX
O4Wb3YcJIp15zL7G0a44mvMgbjycPAnmFPn8Aayu9PCPmravww4Pc7rFel0R84Yo6M0W2C4zVCnm
NJZD8+xthuitkK01OYBQHJtjsjBhaTFtPUaDy9T8scERC/KBmb5iW6aeIs4lUddbztJfsoxG30Q3
Zs/IzSjcUS5zdTPAQ0+ftVJLgw9ptl9YVaFqTG1exefNSn6boDRFRcHwWvgCy+zrmmv1mvRJuuAi
XMYfffBzTrXR6U+IbfucMrav95ZhmR+2AA+vG/hWLTNkACXpT0S07VUVfNyOPfJoLV3A82Ensa2+
7bRFaewmiEkOoMfZ8rYVdoVzvNTBgOhlhgss1u7fjb/wwttsXd/LeV8flcj2lFbWwsZxcCzVN3Om
4eaNLLH+G6rLEtHyWTvPXe1BWr7Zei/6rkTit0ZVkCU3KE8JhFVY9VGdEbI3D5Dw9q5Eeug+w0ie
SF0i5HktvlprcBb20fWfoO/ynCamVPzauH7P6Vx4NT0xg9dyPUefm3vZwK3lLaLk7u9mTFIExVQl
toi2nOSF/SKyxyFmY0urYmTuuGNb+477TBXoCNYGyl4Vd0srv2Po47Z8PoKRFhegHMuyX138Z8RB
1fP4NVVSMjqYWT8uyVD/cOWIb5MVJ3D+CXZ/1BJSiY5znFQn3beypWAUyPc+kfpZYwa5Hv2Q1eEE
29QtRyjNsMoOlxODt32toRyZqy2XHVpwe1Ka7wAfeC5S6puA1WEXst3rzEQPGk/ItrssC+gQL1qU
siPasC+I5QZcnnHNviRJ5qaOg1LzI3DZFgdvUga7d53iNe2ptQ+ZmdP6vPW2tzeaQEnx3vc9Krha
OvK+yDRZO6RX1h9NBOpxyImSI61zx2DF1it+D0t31lCAx267J6J0NY34qWAKzsAt2jVPFIXWtwDg
wfuk3A9ubjBwb3Qq0bQjnxP3qMVf3vExD4+12yXSvFhaPaGhaq6X3G1JN+Fpn8gn5XA35rDiWApV
qFMp86BBdWLrftaxrZG4LAn5kQI2bynTlv0CowAa4FEPqXipB70UR10V+l1mtRqpLH1211Y+4t2M
WfFVAF2A3U8yJFewIUqag8t9WZxxoJu7OsaypWbP0t9ACwhiKINDPbA17GCCQu2UFkywq9BsfdpJ
Q4TtNNmIPMCzIvuEXCG5vBKeYf1mxXCAj1LjTrBxmb4UM+GICt3zXYND05tIcwjZv0Moi8tjWEow
pTOFpANcFdMsupnLZrstcErJ28bLMGNDL6CewCqvvokjWNl034xlJ+xLa7qxWuN9OS05OzSOq532
oMrhcq1LC1QDNLOtU95pcXZQLzuIMgwG5WBFIC6Yu8Zf9XmS1adsnvJ3MgEDPsPjBzvBhDR9Rm/U
D8c6m5r2TgyIXqQpU9u9KsgwXKsMNxbVRQ+nWYaRyUu62Gw9ChfTH8hTs+mJ8dzas1Sbea/TgDkS
Ggj+RDZ0UZ0RMHyjpIVlHYqWHfOCNUWeEq+m5gbldQGNOnDS8QzUKqkOBuPSFMbsBTbwhGS/cMKw
JhG0uriyIccH0djo5OYKEYoGCvoSDQegKmQfgPZBoEjpEKOxvLKW4PNZ4Cr0sXCY+mCFir3pUica
VJUT+T4s+Wo6hTAgnEhY27jPgZ3c2WA0zpl0AVUrx6QqAURRm50O+brcT0ENnhpYIYCpVy1Kd43F
4u2qqEhxKjngA8pIC/Y43j2kXHgyB8110+7nIvtqwvkztl9l5Rr4K7a2ZD1FPE4lz6zaQPvDWEc3
qMUQu0kHUJzfUD2XqNbKyjfUbLz4pSfYhdEcMVHLqUmMlq/NFFqMM2CAVlNCfPDQ9Gng+iOMHI+u
LoblOINhSChI6VCSjND04ExrW0SN2JiMy1nBkOQmFkHiz4C7VHYeyTCWXQHhSaSxmIbYQasYsq6Y
nH8iUWxgl4Js8dtwXim0BX19Z2eDlJR8aqYa92Aq1BPDWf7NkRXXiMS6jHSIVbzD8YDaupgt6hME
+ea/p0GwZztO5mOJYzLeFYPfkyOc5gKklwUsay7qFdZJyHffUr/vpvNsyyuMlJr2VvKdPOONZEVn
0QucoL/I62M/+fCVyx0klwEEtqwrPStkFwivb/PQgyQO/Y2+J9uOG972zdRD3Yax6IFtValQcenk
IG3i9q5dbPWnIpG0t0Sv4qtAyAjevvPhw8GRA0l3a2I/57IFppX5sr7O5tLnXbMUxVMosn0C3GfU
XRjSBZTOQejXcuaoNT2XeM3bioykrjKImqe2yMe1m4Jmt7mB71y3DXItDn0Qo+o8N+LFwy7YgPVq
wXfpW3i23WrhNoaMmmqbKUDN9cXOgcAZaxHlfAMfefJb1H05HPpVoxevso3DiReqsPmw9NW6UTu0
yVuccjt3BGjhfM5H7aCrcmNDyVRBXYvvACQ2pmgHFj/OjsbaBwzNilb3ByzP8ifuP/ZDJLLm1Abt
kBKOQ31EpjtbP4lZXX5fj1Etx6Jdq9/BsBEBoVErtNOoTukyyF4etlYCbhuQ/6Nxd4/4llggfewz
S2L+yxmOZZxKefErgB5gwXik33/vrBc3HE5g+pFMsITpPACxd5uUIFki9H3ERkunBAfj4sq3tBDN
nzrbCTIssrURB+nDUt9tY7k+T64S32DNVqlDjy5hoEBtl3gTkab3G77/63WDsqvtlErVrywd0g2X
cA9MwdnGveR66/nVmoJkedWwYsMGTMP0Z9zyTR4HVGcDUNCp+AiT8j9cLeekQ5xJqoHAjC0QGLXZ
cHURvmlKdCwNJb70pnONq58TSzAigTF0CTosg4kdWJtL7XDyNdk9xCxgdE6GFzWF91D/RyE5QFyu
S9hvT+Cgf67IL/rp5CIGtFGYSh1AlnLDYc8KyAIx9Zl/rgyxfQeWKXkWQXhzQGWmJDBFWGduNSvx
MhB3Bzyo9jlGCfjEt1NqPPlItceAoGolLDeLfq5nTFHrYjrakJI/pqrQU/j+Mu6EEwN6b9mD24zl
NWx0nJbtKzQovO84iqiXJOhkRXEQkiuD4UxDoX+zuJu9kzQZYGVBC7YhuXZBmf/VjKZAQHvw7jOZ
uHlQpue/xmFm72Hv++8OFTNwapg9v5kMrswdm3h825FUnlNRJpC2qrLZaQE3Ed7lChneNfqznmY9
z+/tjj7nALlEnR73kPGzR7LyF7vP65e96QG5LHqRAxpqg1vRAnyGF6vABdHBv1u/NvW+JbTkc3jG
cQ0cQYZk+6GTcv5j9DZrKJf62nY+lsNEI3z6nuHeVbzAc2e4Rkfg/pC4Fl8ENtDvoGeQ9hTgkxlt
fwrYthVFBaWQSauNMljlNjRFH4r0+nJv3gy6Q08FIIcfWbbM4gBGSy2PRiNYi8LWeMFUhUT7BCxn
V6ivV+k7DGQm+0zQhvY3RRshEJD5WHyzopqeXJ77H+2gB39ndtVsGEtuNaGpqbi+661opiNacNhe
h3abD/1i2vl6wNjgswfMf9si8XG6gY9k/QxjsoulHEaOuiv3mKVHCAH1XbMm6+uwJfEXfCWnVyhw
6+E0TRMQY4fZ7X29xJkjnamCLTAYW8NCFzeR93GEV84hmkbrC761fEESGMtpViaTvcLxq09rOYqE
VjnDAR5wh2Emls5J2o04p59jhqsa+uYVYCT4fgSeTmk2AxmVfPqSVdbtN4A1ypeIMhljPo+O+QgW
qekpB+YeATOqcO1HgKSd6tMFa8YmwO3HEel2VNp9yjrRJK067msRxs46BY+zHKy6R2ULs1/xth2a
hxIzwz8KCbdvMxzZXLftlxJa7ENzzdm4SZRpqdmesQWACiEOxz0sXE4WPtPVNnaqhQduNwy2eCPl
jHHFiiyIy8AlmbI7I4r1RgDBYHSz0Oued8ujObJ+qhV66SxgyrlF/WvbQ/8GXu5sDnDc4/LABEFS
wGJdiWIAg/M/bNvC3W58/FQDztH7dM42bEsowNczyl9/Q+KcL1e7UclVtafcYRJUOXYagbBO5wU1
y482BDSxhY75SbPCjIexNPIZubDJY1nr8mXB8LSnzlT1MyTL4zcDv8r+OA010XRJcvzIsCNyvKuI
n9ATbiUDBhB2XBcWDSPpChzew0Gs7EI3XtZLYOS0r99RyMp34RpchjVLNMembzC46q10VwBFooPG
tcCuGAaJNqveUw23xXSCV8ZgUBy0pP/FCk8WunowsuArFrjCCCZfRgrl+hwoNBr5G0qS6kupQr10
TjXhhs86a6muSXKt/L6Wt1sF2rx3o+uv1J6LtzECQboTsHM0J16vukd979GWlIUm3yKaFXFE6sCC
K0EuA+6SumFtt2PW/wZnICJPUJ/N5ODUbsQJU1v+DIqUQm5KBlRKz1l7Bn3efSMm1Pc2JAOmakOe
XoPgL2eMlCw2wjC2w12GAdZKcz/0T0me4T63zi/yOK0T+8FB+NPUeIvTEMnM0IQ1KpYjTVFCvTDk
Z6N0VNOwHivPlveoJpBercZRQWGqaN8gXEx+SSyAXyuoDKLDkIJ9lEMuH5cVVUMXN1NgIA5/l7OL
FuCe6PXkjr7iCwIN/ahu1OQSfsrSJblpcNpVR5illNNh8TWbroZFxbGrkIswUt1XuG2WhWR3Zbm6
+giPAtRbaH8hYc7rXpxam/O5E9Zk1xEIPQYKs3FniVEYoQ55gyhxR781QNfNOgE4q0pczjhiUWFw
0PlaHD87psOtvK/t3KIkIjH/HEHC+DmXMHjthkxlqANW+Fq0MCagysEVvsO8balpOzP7uI2xzw7Y
GWMNL48dUX5l6/byXGUq5WgcRHxfC7Kl3bBXc3FYE4A9qCAyJ7t6DuX7rEDivhWIV8qpBbPkfk/2
NutMO2aPPl5aSxw+RNyCXDq/stiIC4skz74QFM/w/CsJ5rijGm4w5WhEN8o1eakN7ETgmSXzR4UO
Z3pm+Rg/R7Acmuu5nNxb0/f8qTLNqec6Xa5CkgEWGyubAxAo96EEv6Bt79d23z4wq2j0FdRR4y2a
IPOZKI6TASmq+B/DmORPcYtLi3rSryCHogV41Lh/kETVRIC2DJUD0Jy6VGgzh0IcL022P3A9NAcc
rLwFarM5czWD3QXYSCsMgHakvas7qwqBw7Lc5MNesvDN4K7+UuDl9FQla/5nbgQq3Ytb3t1atHM4
42+cH0spNUpXGRgg8gJfS3uEY10sh+HqHFWr0ILWWOYUMRYldLGjBwkQL/a52BhAfWD65HsVapQN
uWX9L5Ah4Py0wttT0hpGHe09JrpA+5qpBDKF/BqSHnasUILjWyWQMoFYYh/FxMeUzhXsw5DkXq38
OE9mfS1bZILdOkw0luOuIJxDC1xBnaurqBEGgqTrH6CPDPq0J+irj3AWxWWTW8HjuQXa/gZ5dHHB
iwm6ld1j1nS1A65ydF0GqMiEzThIRbweSwoAvAH4k+DuwPVQ8elYxgmmgqj0MnXq4wDu4zFtXJsa
WphtJydfrGPyMAJ0RmatHtSqf2thrXgIvNnY1bb0A6oc5FQWO07RPh/yo1IhAePEc3A47YPrMY/e
u2opjHszzph4RtWieUIlK0BmagPYmvCoy0Xykq+hbOA0nw/gRFE+VjgHj7XJJvml4JXxjKawElWw
C91N8VoiV3d6MFMSUoAvuHTKqyWtIKhCbGaOynpKk+Q9FeM2XsuwGWQZwD2ln28FDCvcS5X5iPoq
aWIz/67nPkc9g3kfnrHqFtIF6uaEbGjt45ZmVyQM+XZvSqDnGBVoP/0pEu/j3GF+jObrZHXF2R/W
xhrR0HCUVbfLhOTb94Ervn42Ge7Oh7SZWdUFuMqHr5iz2PR19NXgZcfaasy+zYkmaXVSCsPBK5Z5
jynyUsQmfiZhvjB4UMOJHxO4ssMZj7EYI/JL0vaOKxHBAx9FmaTY3FkNW3ywzwCdZQltbLnA9WkG
IwGoC0YpcHkY8OlALbG4mlx5El3yMpJ8RqXhNk3q94V5u4PTvKYGW4qAaNH8rExR1T9d1Qz1eu4x
IOWClqGSegHq1Jfjh25wy3y2aFfh/teEor8Nfa/WR7Kb7MKpFQrW3lC8sPo2WGg0zn3h/XiXoisv
zw3SM7ajAmYenyuN33+maYMZAfz5kdD3yXse1Gsl0iR8Z3vAtYEhyd5eWaxv/GlVNrRn4OHOX2er
x5Up0hwzFEBqm73ZEwfv5mqpB3+1jBtyQtZJ9RuuSrfIBzCghDnNW+3mGxvTKI+ejMXwHdYezKC3
XRp7BNxZplcW3JJI5YT69VAk+1hjiAGApdtJOTUfA3bMF9gDynC37AQtTExxvx7XsMIWAbbO+zfH
g/htQ8zsdYVDYDiEcmDfEm7nlPLEb29kAgp8CmmLzPh5LByFel4hRAnXX3mEodkwf+fLwGo0WEUb
rrjGN3W4N3Z2zbFdPh0xErkdIDfvZzAxszcojoArEYD1LXUtsDcKFU3yhBEqV4ehkfH7bur5C+TQ
2eve8LRGl7T0x8WIfsL0ADUiFQZCW4rZibif0G8/NWA0grlcLiOhrGLi+4rAkKzzxK6ewix0/xjz
uG8oZH2aHjKXm1+7IunH5oZwk8DPWoEHM1fXboGnPTqz6pgU2BcIsRyuCykNSAJrvMP8x6vjzH15
O2P3bDTmDnMbvTME8Jb9NtypGiGYW7li8sALrUfqRa5XzOdGkDA0gJ+fY8zCq551Dci0Vn46GAU+
+yEKjHy/SJyIr2liF4DRowZDzpFa7BhoFGAdqKwCy0Pg033tDeQkh2H29gNEo+YLG8ZsOPGJ1fWX
GaHe7waBlWDolIF8trMfdgAwZEEfvZNx6sgWhqPlbbh4Oww1vJj5AFhtC0i5vVvWbINdhzLjtU83
cbWBvTzfE2iXevTRBNd3ayfgF3CWw6AGvpPAe7Y8FXfQrBPVacckB968IJ8XF/+EiadhdUkNqe13
w3E3HcM+gsAh0a/jNh5aJNu6yPYrQFm8PCzNMopb0KeSEcmF/aiOPYvuLYIfsBzRO+4/xyoTv2SC
+CuKAnO5Kbgus9NuTP/drhv4yY0Q8mnVZY+ZZd7MICruccV4Zc3tLfol9Kyw3G/vL3oG3mVjJdYO
1B4MYDBVxZh39RPCDfSIXFWKQNEFl5VXZUINi+uLEGiHaTrMsMevUenYQxn28LTKwmt8JIGkVOAE
ipTbWuHEy1owrLhfcJy3LRzUzxlgzHdM9EF58AMMqDssS4DVMvb6lgeUWEcPrY7H4XYJHSSxN98G
U5SvaRuYojj2sW7yZV/zu0Rb29MUI6APzpdKocdbwOGeF4tRMg6jRpwQlipOLtWJ62pMrbKTytrl
mSw8Xsh+JL+fua2eYK0Dx9dxxiFOkzg0+1H0+/7Ug4v7UvTGjLe2rWZxZKWXvDNgG6xHRhhvMORB
kXFqLMbhF9wAUL4njmvglxkxpywf5XhyumwB/KABBPC6Bt+5PXPfJ9y9Zacy+OC8Q1MxxYNJQXYD
1iZqfkxF28MHvS6WW0xP9vkjk7Hpj7FMmh/1vDRFZ5CR4I/Y3DBPkCPsgBEkt7TltUnn9d4HJFh1
sEICst6M43STzwlga5GhkzuhQMi/GuLtb5yhmGoNfXpBiIBmp2g/Q9Z0ViLs+U1KG68kOBQKuGuC
mSz4QMObFZa8ZgHWxLcZ7rvnOGYV6oH/Pyvzv4hkoIfDV6mB61GKmu5v06NJrbtDUQXsVUt7GoMg
117+61P+VsPC7xd2R7D8hj9dC8+jv6jvaFJMNcap6bQG7lwrvH0yZyA7DSBzhL3gXQ/78X/50/6L
kHd56H/4n5BgAkW8fP3/8O0dz3ATMdhSl0gRvoVl8vwyI0ngPGJ2/78/CqnIYOfCPQq3yt8KLTjw
ZGofdN3pDISCounXM68GdxaZmf7Fq+RvGu3FOvmSwv6f7Af40f1FyRObnrDtfNMxCV79wBCKMNRj
f/5/zJ3Xkt1Ydm1/paOehRKw4RXqfjgAjktvmEzyBUGThPcb9uvvQHW1buVhKo+oJ3V0VFQFyQQB
bGyz1pxj8i1kKDbLr788PlaBMJHT4M1QAp68uWyulxDpiItuYBaHfBmmg8M8eub5vXVTKJjxsApA
qD+ND+zshZ1Nqesh2SNPdkTxrYda5ueDSbs3bc0z8sk3hoZGTLtgH487gg7966EhUIR3HSZ/z7Wa
r4mhZn40oilP+uocF+SN74vcMhVYFfM6g/FEFYolrqkbJXE9CiDtA0IA+ypn13vm+f2B33gli2RU
uPjyGBAWYIVTX25ttiaHQ16TIqnbh2VvXokxpAItSJ4jVIA5s3EGT2tN22tClZNcg+alyGJ9h57G
WBuMfSDQyzz8+vBxTXTfBssorpoTPTunPRurBg+6a5HPe4mLbAXFlk7IzvsX+lmqisNrHadwEw0S
n/WTK4k0xs5NyKmHIkf1pZZQIVRijA0sOVvQvYK3K8x4oyMk9kyl0vwW9dNmGetztM+fB5cOO5LG
F+JcJlb35AtVYq2jv8KZX4mz6StNFjqgMxyFZ6x4ybnQ6Z9nVi62WhT1lVTP7b8eyWnaaSG9ECpk
tuZc1Xb5pa4thcYVcyruC8PPomE8Y/R585oryIOvdRU8n1zTmpxWYffP12MO5rYmuMtresPeFm5d
+0pkzZ6qFdr2/Re8/tDXI5wbJb6Y0YQUGXvO6xtFcjIZTUbjSVL5wOmOEB4l4Lxdwzs30siaQGgN
etOyPxf+++b7XHNFVvetjT/o9ZVLowHGWUwuo7frP0zdND3Nek7ddZzG4ub9u/x5usDgCyl5XSxZ
vE75MonepfXQuO7aq3F26jg3O22h0/D+Vd66I5PjL8YjZgvtlE3AGT6k5moz3U5mi5+4orPVl8XF
jHr+zHL11lgxBb4wrKb22i16/fCWzO0aG1qT56Lpup7kHF4bKIQ+adAa1GApjXDcsGNIzeD9W3zr
QQLLA0RLtCIm2/UR/GXxV1KVYmnPMXgZRfE5F8Rd+bkr9dF//zqnRlqNaQfbpY3d06TRqJ+sJJ2i
kZkwWy5GA4yEUGP54lKp+bQvMlStKVvGsTe/t0glr0fdic/c5s8LJ8oanACgYgwoqqc58P0g6N/S
ffZC4NqeAeR9k5L558sxBYSoynO4vrdGDoDHldyqU+Q/pXHGIDrSGZOr5/TqsCUh5i4kQ8gvE8s5
M6Gfu9LJg4U3uiRzw4ONrArHaqERFJFmoV8QBHp4/x2+eak1rFUAtQBNdvKBU/sKozY0XM9QEuMr
GAuSKPSkfqqT+Fxg+VvvCzvFf13qZJViO2L1dKVcb4hd+NYii8hrpFhE4LeJbJOQyfdv7XTWFGgG
V4s3Hu8VCm2eXI+TEOC3PuuDURm1Hd6kCe3W7G6zNXNA16dha0fUe/Q5787MZKcP9Y8rAxLCcbgu
x6fOxlT0OB6F6AOny5wfRVW5h4z+MEB9rTrzDb51KfCKKnMzaELTOJljLID9+SzVHkvt4PxAeG94
mCYe5dAq584Up+9vvSvMZCtNGKowq+7raSXP+1YkEVpXRZ+uaM9oT20xths6GdZ97uTnPHOnsyeX
W627cGRQNkLHPLkzTfZRkTruEExKgpLScnbmH9YKnBZ0WKuKvwetvjNv7nRKWy/KdMKOzVhPhe7J
ljUxh0baFfpNh47opVDMbD8AKvnQ4iTestswAypC1THuG+dLPE/jwy8PWbYzvEXOUjr3fPLhDxEd
t3YuZFDMrdzJbFtV93oR9bdF7JgBfdkKTUl17qbfGEP49vlE1hBWG0/V6xc79Gz9uYgMsjalqWMJ
ZfHYu1o/ojZBbfD+Lb71WlevvuGstFwG0+uLNT3SEfZmMjAhM3puYY3XVRt3t6E2x1vZoEZT6ko9
81q1N8auxnO1GVAqoSCncPM8sSM1ymqJXr0V14IaLy0ax5Jfc1m5+2YYx0c7XrJjKjtxx3kw/0gF
WQ8a/LwNuTn01UK3SChjYeoIwirUNxop4+d2z2/+LZGwrZxBRKinQ37iRE+8dIp0WcW+10hn2TBK
zH2bK92+tcz82/vv4o/Nzl83lutwt3HE4FdH6aD+tL3rkDS289QHMSYyrIuT/UG6/fAwVr1+nQjK
xCIKk0e3o/6bN1N5Qdxq4mN7Ci+yJO/2g12N7vbMX2od5D/9pTiYGjAl4cuc0mVaiqQihsAeZLVV
XFC2K7Y22eh7O0oyv+7mxas6aV516lIHZl6h/+alB00Psp1E1urMfvGt8UpqjcPWG7qEccruQfkf
hZWgRb2McXGB4Fxua+kMN5yvvmZ1ZNOjmpozw/Wta8KIYDsMZJYF7GTlAtapLsoYyQBLUYpiRgxr
K0vad+nsDNmG5h/liCI07DOLyZvXJXJgZVwiazhNVNPooi8xZTqCzXWL/oMsV/BsT1Ip3ZgYn62i
Qi7LGuPMK3/zumAR14kP5/fpG69kPCW9WcpAFbm+t9PMspAiy/QixCbuD9Ws0VTBhXZmKlof4+lA
42tjVQOoDfrxhNkwIgnuhY5FBNTm8CFJps4XvWV+eH88v7GkkBGEz5xvGtLkKXgA/WluSnfpAqut
0sAFU3TAT4AIo4t+4HMevE5MwmO3oINq7fUz+7s3Hq3gRZLzaWjI/U63Imwd5jbTYoZSnloXqYXc
3iHeacemtQtkKZD/Nd05ws4b8xgXpRzDRmG1vZ+MXxY3QLUuy1jf04O254wFe6Yon9lh4tnmOPz6
NwobSazrNsHM6umy6XQrsNlyZGDks3LRWV17F6MGrrYqpsrEU3MZbWfXnm/ff7NvPVvKO+zyeLCC
tObXS5nEamGiwJeB0i9yN1dasZdmrQbYcp1bgcYdZ2E73/0vLmpQ7ViTjNbt9OuL1kWXqLnJYm1l
cXUxGdTNW8dUvkV1Pe3UUlyTvztnZ76UN3YI7AwYwoLnKCD4v77oHKa2lRuhDKqw6CiS6/2DnB1M
uLrb4l19/w7f2LeTjIHZmVG75gmdbkekEEM/jOzBZszIOr6zozku+oNCH3QjsXt7OozvrcyW9vn9
K/9USmQ9pJFKxuxK2lqTcV/fp1ourPqzix6J4gH9jbm5bmhi/sC0MW/jWidAVa9b85tThzVmd3TN
iEEUoR5zssE/0M0ZL2oxlrGPKgqPwft/u7e+KlZqPiyqnJwrTl6COYyqwszNuuggdnNkhfIfTcQV
nXV1E0bDr6IA/3gYFL8p4bJNI2zj9cOYY0ezm4ZTTIzAcmNKcAeCSuYuEVL8+gKwkoURmxLaphJA
8/pS9Jr0LsZIFoTo0nfsgp9KvvIdEwzHGbc1b1xRZMGvP04icwHlgeAnxefkQ8ILV1kIv/uAMHDK
B1rZ34xJOQduiDDFIDbu/v3rvTVbAOVzXJ39nUOg1Ot7dEp1qYa5HILBCNX9FPcapvtOfsA2qWHL
10LeoTae2eG9NWYgoZIDAyJzpSy+vuiQxMAVsSEEVMV1z3IbhGl5ovjoCpUVYaCfeZFvTBQ6qmJD
53WSJXJ6vdphAqZrPQbmHGVXtZm0H1thzDsqbNmn95/nG7dGVR10HPdHAdhaf/0vVS5zofq5LOlI
FxP1pu00NvZjC+Oi0iMYhzS/nNmVvXFBA3c2azitwpUF+PqCZWVgWsFfEWRNFG5La3wpjETsCV1D
1Yyw+8z4fONRgt+EDEyDGAbF6UGJPnxP21gdg445K0AYmO2QRRgo0q1z1PE/KHAnO6F1G0SWGlgw
6ssn854VozyzkmkKZBrPe1OHdtAkSn9HaLHmW6PsOJCq5W3Sd+qxq7HkmJ273KhjH31OQGh/xQ1u
QEbQ2/2w5rnYuhk+RGHbXzscA4+Mh3Rf4nvZR1Emz+HM/sDK/fSXX4+tlCHNn5OyFk0njBP5XGC2
XYXCKMS7ZYrJvCDsrvxYIQRhEztP0bPLcnyomgROCUoj5UXqVYKPBJBA578/Nt9YwugP0GbT2OrY
NMBeDxVVqQCptgwVzZIKWqXCWWlNAxQXBGGgLbL9orgdpsxKP/PBv3VlqvWUtulOQDY6nWXMntT4
OJqCVLW/k1dhsF9f5DVOdDPQpMg/Wt2QbMbO7c9sNN8YrjRFaEFxYmO4CvH6liMMY6WstSmAph6j
TrOyDWmDemA25Oa9/3TfmEnhdK/XoToOD+XkHnWZRzqr4QTrIVy1/cZY7BD6TJu6n9BGzku7txsx
nLnBNz7/daYhwYJ9gSpOq+qzZvZtVmGIr2eIKCqCWqTeYD72yziVzAAgQWrv/Rv96Zkymtlfmmu3
ggLf6QEF5UClTU4/8/Ul3XWnxeVOVMa4Q4l5rof41qUYsJAt2MQ4P4Xa1Wk+WKkNP2PVbB6x6yWb
bHCQKVHjPrOPeetSkKl03qBjmWwsXo+UUqvn1LGUOcBCTM2+aI3eM9G8xKicxvzMWFlX8VeTA9BB
SpVw1im5ots9+RIdrDUIacEtJKitrxFwpxa2uQpwy/uv6qfvjutwzFpzRlSY7qeRlBgaRkwvAqzD
TIIvoObomJg1YUgYxnDPkB0c9711dCd0zu9f+aevYcUqWmyUmcA5iPyBxvzLOmhlLiSDtaKO8bXZ
y76rgw5/pi97Zd5SG58/qlo+bt+/6Bvv0KR+p680Ws4Fp9FaMYg97K4aEibEcOA3RHJfzhT1bInU
9n9zKZ0og/Xm2Dm9Hi4WzjkNDeSqlpLE35od/XzwdQjsXfufDbt//zb9R/RS3f5zXHT/+E/++1tV
zxDCYnnyn/+4qV/KB9m+vMirL/V/rn/0v37r6z/4j6vkW1t11Q95+rte/SF+/p/X97/IL6/+A0MF
LqO7/qWd7186fEB/XIC/6fo7/6e/+LeXP34KrPaXv//2repLuf60KKnK3/78pcP3v/8Gfv4vT339
+X/+4vWXgj/3MCZyeWnzL+X3n/7Uy5dO/v03Tf19zf2iDUyfj/nIYHocX9ZfMX8nEIS5CX0MI1Eg
Yvntb2XVyvjvvxn27w7gLJVj6lrVpqT529+6qv/jl8zfOdnBsmJ3w/y2ylD+dfev3tP/f29/A0R0
WyWl7P7+G5vok++cMxu5s2sVm8I9P+7kcKQnXYScFBeKMJb4OTPcDKpBimdSM1L2A2qjdp7LiZGx
IyPUoiCrtVGxb4smDw/x0qhBHbvqxtCi7trtZP2At+dzzRbsIMNeuymmyr3I8DdcumzhryJOX9RG
UVRflQkRu8liGVeD2wZkbotDHbkWZomhG45TsjiIhiKqPwpIhI0YtJHIAaXf9aFFubmVcotVb/k0
2ey0pgFL6wGnyXwRDbp5oaXTQ+lWydXEn97pdouquxxGdPFd1D5LMBvYm2W3xcl9l5scON2pBKcJ
UMDxlCKOdlgR0yDHgOxnBiGGmxb3yKaNE3PXCB0GepHk010KK2KzrrNe5MIekQZ6bGgW9RF6yrjL
o1LfYqQevo05VIRWN15gF2ERqGAhVNixPZG56dHKi3kzKjnFEL0drihuDUctJ5EYaqRmH8ZB2AUe
bnjd4IAJr5nyLn5Wy1n5SrdB+lrtZhvcP6wEWjIfpw437sbWJuXT0mqIefvU3kup40mqrMb9FGky
O0LLqx+6XifY0hhyQJhZ/mMCyLTPymE7hVTQu7if9wMeykNcYS70y1LfyVYt9w5S5Q9jCyyrx1h7
FemLfdHFZmNu4NEP+woPJZbDJDcvMLRqXl+3yyHHIH2tJypsSquodm6lphB009VWrBcl6ELCUuF2
rkieGRBxb5o/mJCti6HtETCH1XK3DIZ5J0ok9VZd4LZBxr1zGqXduW7XXQxLgitJz6wjjgB40OBu
9vaI+zripX4QuTKCWkB9TPNA7BpwDR7+i9Q32dn5ja5oj7AfcuEboJ4ErYqNZS7hpp5s7H+43rER
0IQv6l0nM/sr6lZ+F+svjy5XfXuCjCSKZjuyViKpCzvsXo19BBlkXJFjYXqci+JNbieFb4c5fGW4
AYfCWYpDXDRyX7uAnqzR3RXDoD5RXHEeDSuU29HVNMVzVRBfuZU7geytAWF1ajxXeR+j3idheWNG
orwI3TJON2qHE5LTOKYKo0u15ziPl92cDsM3pOCzF0a6aEDKCeF39aQdnM6EVaSWSbxD8BzyD1MG
Y2mDfobdncPBgEDtzhDDdPTxQV/1/OvMuxw2syU0xPkjVW4znz5jeFc93IPT11LE5iOGj8+ZorUI
Z3P9GvHsRY4VHQ+ipu10xdRucLWEQcdZdzfiIAuqGpJTWfCIJDDVq6YhgKJELLu3JjeGQwTRZdp0
Zhzbm3rO+6dmdJdsE9JrReDbPysUET+IoV2JbMa47QgUVqep2pckJPhCaVXs+tlz5XRqMBp2+JFP
tb9MUye/K+LpyQ5de9+bih5YYh2NqMz0m8lI7/ME+fgsp2SrJFl2G/a4Zo1MOgC1xqm/RtlvAHyt
UjoKZdVkT5aYpj2Ujf5G6oP90kyxdjE7SIrQ3nY6vmCZeIjMR3BVkyovC0OdlGCMFHElelkg/4/G
rvHx25bXJH2mmGwKE7tO1u4q8EObsF++KmM7X8WkB3zHeMAW0wDftqvrLvYmw5q2naPgqMeK9aKF
sGhcft5OyWZ5LPNivBCZNBDnz9s6zz5kimFChx/TFpu90hfj0emTwb1JqpngD6Xps48Nn/p1xeYl
9VKlXO4qpbxyotbwdScSB5ayONwIKAQo8hG8B7ltlI9TZRn1QVWjcheHWVf7qZgC1pt4kxTKUdjR
6OMvlxvS1OdN3pA+AChA5IGTKE/ota2LJSvSR7oICMJG5zIawePhHRQ+RU2eexWnu8kKfTqIEYxx
xY0OuhH3lxEkpTX00djhYgCUlA3f9EayYvVpcdB7RAuaBjVtAoILgMjMPFTE+OpyopGxtJKxDuAx
GGDJVZSHt/QYvllZ+ynv4Eu5w7Od59cGjBwLLSZmsCiF61BaVrJBHoVdMZrqvczqL3Ax5itlrqJL
U1sHCTGRe5UuX9DrUkclNUXavl6YKdOlu6ZIqj8roRYFUW4UR7zguHzBFD1miT1/ZrPtBDApYb1k
fY5CbuggyS3VJ5E3z+4wX2eje4MhM9y0Q/tdtk1LhDZtaCbGgNli5NBqT9cLFV/EWclwAMp8IW0R
e7Ph3Om5hpRCGb+WoxJ+lF0d+3pWJn5ULgvLtlt6RP2lfuK4MJqymIwjGMvYvHRIZVEoopscXZ/f
D1DA8jxxNl2fXfa4tBrPZAGuQL2Oxd5IXPWhHuzsS8FpId2A27Y9DE3hgbCJZtcl5sRs1+cfZxIN
j3AFlp1jwSPBEB6SjG1Xzz3mfQPIfw/Oy8byoola/8p5td5qVpkgpJe6TT5sZ36Hry1u3LxQ79o6
toEd8Fe9wWA640/tjsJJ5+NoR+FTNUxmepFUTX47heE3bRzzYxuyiFmwBiJbo0ROH2o3Tku1pbKI
8dCu7YObJVgNpRl/aubEBHNU6/Awlag+lGY4lQGE2oPdsLowLzv8wzR3DEzVTyuTdCQxWTfZrMIp
inKtvoumxf5Sivx2ACA+QIBQ0ZPHRVde8YoxTEmgu7fjMvdPeqZ+7Cq+qMmhmpSAUHDwDuCQB1S0
rVqA8xp5JR9EqFT7qBnM2CvZetpw6tQVPsEmYlOjbfHR9lrPdYILJar1lo5gE15ZsOKuY8iY91ht
p4PWZY0fK83izYWDB7HSof+CZ1W+8XfMjY2mcoj2isGxr6Mm1C4i/PlbqJaw1A3pCbMVAZiS8HKJ
LX0X5ziSNtDosmmTuUXs9RhStm4f75SuLvfVUFzB5tE2RBnRmADzUnnKAEEAYt9iwS0xgCZJfDd4
hrKQ3PTe+CypCmcb4SjTpky1DPOtBWlSrLSP0p2vqxBC00LeznFqtfYxBZvHEqKBQBs0Z/JGTW1u
h0ap5T5H5eRPfOzEVqSW3ngJpI/PmG8y8AWONnoCKOcO0n5Ex9xRHrJ4YuLCckhi+2jVT0ubNp9a
mt3qJTiH8CXXm157iAFJwACq7WVbUVkJvSWxP7fJsOTADBNDbEvIXl6HlWZnWqnzwai6H62u/Kik
pT+Mbuj4DjZNbB+6A9VJ1sUXV68lTuQ8bcBNS/e6NeyeHUjhPEH9UVKfX1WOqLp3mkOQEutu9WAY
XbuzOTJsmyFb7s2UoUL++sJffPDSXrZbFXOdw16LflNVCHJDTHhAkhd+YyrWR4O95BZbEPCByI6D
ZZrSF6dYbN8h0uXQz6yklKSyPcCnOuBNNHuoecuHcqJ9NxSfG0MQoxxCLLWpm7GFyC5Ll51YsUAD
IL1CKz7ZpGZs7CS5NMzlAT8PjnuyE76k0rxOM9nedqTSH9in3LVGs82t+hoHzIuoXCoC5X2jui8k
8twnk/FNz8ROgcm2H6tFXILwfhyd8ZDn9m3IkRrblnYAR91RPoO30jUwUYzYOrQRjmFcj9RobZF5
rcmeflT93IiBS+TL1ykN1978CPPbdmUKWD62uvt5ajTEkEk1Alfsq4JUYVua8GSy5JvNDvZOUB95
pAVBlSeWFlwiMUd3QG+AmKr56FW2yP1l0ouHsNDTzeJOIAURphwx4kfBiL/7xjXnmaq72w5sc5PQ
usDWrFiselG0gkXHuxE06bx1c1XxY6tN76Oe37JKX1ttvlLHWtl3bprsnXrhtBDnrK4FEXIHJcqV
W3upLMfjSLlcGzlZTVDtIo5cwAcJHa2uY9penk4A6a2x2qLtOoH/AKmCDFvOi7ueXc6UTMBeOlw3
NioaqjDUgTYDaIJAN3Jm4aKO99lqF8jDlMpoyQs2E+Yf1l69uUilgNDmRNNVIQ0iJJJneMM8iK6c
lEM55+wgCmvXhv3kQf0nCQx3sHZbQ2NGi+rc54ss/bJ/LkF0sJj0D0WyqIHdL8Xe0sN26zhwGSLT
PpaFHI+xrsPVwFV+FzfiMjcabPj9Ah03aj5iVtTvG0zPG3iTnV9Ck7iyGngRxtiUnp3mxY6MsOhg
CiXcVaq7BDNb8Bs7ccRVrE1i2xSWsUPw0MCWsJu7tGB4LzDuVivmyM5iuhrM5A4cCjQFOSqHsV7y
q5BQKYi1pZsGIGGLbCuTobhf5PS9TyttP/ZAzYhixK2Ljylmx90r5aXJZwedputML0HY8cEWI59s
FLn32jxmH3sQXSKQ4RAZAen23WPrEEbAmco11h9Q2JdRYvCPLInuklCUkzdZZR3Mrbv4scaMoCya
5UXxaqYwyucI+NG1BuI1AqSlgM0tE6cDIqCQaOCA0i1y3laYq0cc2JCchoUDKyKTzKnLWygXNsfI
NLoFcuhiMy+Le9Nc5DZu1cVrMCJ7xZrS0Q7a4gNPYNhBCmm+YzitPprSzMeNnJiHNhElBqNKIPiN
Zqg/TY2j7arUyh6GZlZ9oDnmVi5tfoBpm10lqfHIYGDz08tZPS5K1xRBW6/8/UlpDqRMJwGV2Ir1
OeX9xmCtN5w/jPVe4o0STtNNMUvnoYXl3XNK7Zzn1Q1/0Y2OpN5R11c9akoPe/j86CwmvbF+Ur6G
yzx7pP8kPzRpOc/UX9MDJLLp8d8qs2iAXDhik5gaPt8EFlwMrGUPoU/zElv9ojnpePFvIKuWlEIH
BCDdHfZqQ7TPjLv1uk6t6zTpQ8+23IjdQnLHsTO91ibtT8XFLxXoHquC/5/W3F7V6f7bytyr37V7
qdbqV3f6o/4vlu8Mehz//q8C2U/luw9Z+yUpX16V7tY/8c/SnaH+vuoFUNFSFiMLYm0j/LN0J8Tv
+EqQfaLsNVC8qjRt/izdmeJ3fkUjOIqXpr4u3Rm/0wJZlfcYu1Dm8vP+9Tf7H5TuTgv0VAw5u6Dw
JYGDXKDTqPOCCRm9dDv6aSbcY0QWzJFy2TnV6ZtXQV/ALaIuQFP8uohsJ7VTJPUy+kqYoCNTWbH3
kyzmr3957H/e3Ks65EkVkidC0AcePoqhfATOSWuDU2FN6xifMdwPeJuxWmFOiJS929rJ0e7L7oNS
dstFlWnpua7KTxFY67WxsmKFUx0VxcZJe7qAlAuWroLkEXF++5o31FFgGcI3aDfKUBZLIOcEjRCM
5XzybceNnqTWap9KCj+hzx4eUIjS6/nkRYotoqBo1aq8Ri0dm+fkRD+/DUNFkoU4npYtb37tLvyl
ZYHvesgsTBS+BqrqvsO8Fm5A+DTTL7ZGKC2rKH5p/cCU5DInryPthDOOQODgW2WSHapOV/hGyKIZ
r5xqtNqejuGwpM8x9B6mzvfHwk83iXITVxrxy/yfYPS1n/iXm+ylTLVGTx3f7qCYLvFsX3Cmb3+x
EcPnbCEn4bUjlsJGenKVRp9TZCON5hO30X0aLA7ug6nXT2ayPL9/P+tP+msnjSvRg0GlI7DfUmM8
eWnm7NYFrmPNTxqNY0VphRwwB6qqAMuVizwzq/nXnyAScbSTxAKRSWqedH6Svjd6ge3bNzn272Nr
GNkKVMovigfXCVHlZEmL0KGtoZ18NwAjjRY0kE4SDjxlqDnZlkIn598p0Q9CbZ70as5v33+Wpz27
02ueDMwCU/5sLFxTOM26hQwXX8uab8AQrI/SyfQN1Qb7F52LOOuYYumQ4BVRmdNPOqF2NEFLgQbB
NZXwOKSLvCWAcDpmSsXGy0xHDpG0fcfwzEf487hZNRkmYj4kfbSPTu6VXBGgAI0UfjM1+T2kkPhL
TjLxhunXBmRgFdkZnc46EF8NVGZA/kcvFgUEbFgWtb9+eFXm4PBrTNPXpFPfaG5N8GAPVB6UsJMq
h/ffJEaJk9Yvwk+okVyIwGtVXxvbr6+nVU09Q9Ua/M6iNr7ruyUtjzWMvOVjimGT4jQ3GW4jCLf0
7yWV8I0IZ07XJNy6eyILGu3LBOsYpkWUZUOLwoZq05GwslnZUq1ubCoaM4yTaarp+yPkNYgDa83Q
CkqaG8OOaU0bcYR2k77v+7VhMbTJCL+CkmjrFRhK6pu2I4DgYh4AOh/HhZPGR2eZaILJKPe6RT+4
eexqgV4QLbRpYGWKPT3lSX41EgjYm9mZx+pypPdi7VHmu9oxtULlm4YBSPUTOmDPMKRt80AZcpEb
14yhZ5iIOElplRVkEPCLULTnIWO0D6077BJCy5ZNWNREJel53WdXqer23YYSUCSAcpvpLQmn4wDl
VTjDrZKB/902wq6f6zlTlC07UbPeEgdiOJeGDcZ9k7eqU2PyVuObNd5O35N60j2F8LxtCi5RRnIF
B+o5+sbsaExGUItIzLEXhl3Do61HkY3dpl1s44NUCcYBpzcvPEJZUkuqZCjoeFFKiLyFDuzTPNHx
2bkcZIikqvKaU5yAQ3IB9MfZi6kHfWvQRqHipRvhnVvLUd2ps+Z+pjIo+5oO0UBnSB3HFg4aAEFH
eyDWQ9PujMZMu10xz4XYLY0ha1iNS1VFAVAMOe6nxQWkSETNQNQIALu1Vgim7BFo/VRugGzqUI8s
JxqDSkpLCXQtzdHxwxLLECR35XLA38RBQ1Nz/j1sLSP1e0jA1LjTUvuYEk2TAT7OzIuu473jGF+U
ursM08R9pF5WIVRMw14HxjY0T04IRWoT0552vYm0pOzarFNiCim4hIfQYAHc0P3Ic7+StfXQtiGg
w1CHqn/BvM5mo6ipwfll2wlaK21pfmnLjg1T4zgFYMZar53nRkrjJSzhpHgFugptqyp5kXiiUBtk
VenUPA1SVx6prU/ZVteVEi49JTH4idkA+gqyMhSaIkJ/5q3D5gcjv0ool9aDstG7MHzK+qGpN5PV
t/AQLXDQPsl8fBZQLZJjtZg0O6ZB1oCBNUhpCjDDxlf4iHQ+KwoEO7usIih9ZcsPyRRaWFEngG3B
2Gm+6kQPuNdJWgE1KYQ1Uz92MmIp0n6Aw7YsMXj2cQy1767Sk/lo1M48Mbxw/ECTDOU3E5SS6jk2
lFGfDBE+BgJN5wp7rc55mXeXzfskBsgBML9UQMPpTk1TwBBLf1OzsRp9YsprA0EU381jgaEkumcR
TJMtbbi4p5qtN9dz6A4x2FtZAKga1WdlaNIbRyPqctcnE0SwCBJlciBpa5xA6yjC+YCCWj3y6aqf
qM3NEUdXRTyUwG7cz5mAI7VtYsNUYm+VKbufqQuQMqR3akiPcNBK1FLUd7KOhlENVi/eNYNRkKOu
ju1HzSja7la3+7a7SEjceRj0yIwPatUKjtq9DOGjrsnZarN1ZnzNB13kKokWZR+nl3XOLm/birkT
t02U2N39aFfCaMgvJ2STaPhGh2VWJln7Pc0y4FBKk6Tlnm+zzOmrdYbzElkUsLY5e1OC2vqQRIZ+
VqbYU8ZxUTzCW+3htoKndTm3BWGp1CXI02jtqNhRMlU/J45ilN6socynvdRld3QSROtrYZ3ds4lW
n+LFkEUAuNb0XbtoUx/QbHOEj6R+ItZkerEge/4o2QXoO7Nt4pt6cpL6tlCL5isdrPqzWenjnchq
t/OMqHE+qL00n9QWQ+TGxuAW2LCzSR9TbOc+zV3le+1Wy3M36hBeZ46IaVBLs7OPVThhrWfyHHxb
ZQMJStUEUBnpUboHyJ4Ue72mwK6Utu6XSyoWGObpOGzbuavAumexSx8TIACPcBJOvqmdsL7MSBd5
tLOIGQsTP51HSoVGEKnxaIFTMounUR2ZVokUWsKdRFDQgaI2CVgxiSh4Gd0EjJhwW+UpajJxC9NY
0cHz9jnUrFYXL+QFmeVWNFCLjymGqD30pz7a9FHF1x5KJ99XWRK2h44m3JcxcwgIENhpnjstB+hf
4LuXfp3O03Vv1Mtd3iVK65EYbNNWMC1gwXWkq0tQqCGKUK3MRQUwL61eCtJKvuj4vhMw6x2Ft4Y6
eefnpkFxdFgg+O1yFQkCUOeUzhSKh/ZxVCVROVqvD1/WV/stZ5/CBosKPJE6Cne60axkTHazmfVX
I+kIDsFdk0E7qdRxWKRddLvSpuC8lXP8PJvcP1XstCupJI9q7ImpbYQfZy1RPBEl69tFWZrWlx2W
jP0AdhM3gGs0rOA2SjtixBLlKzmLY01u6P9j7jyWJEfSJP0q+wJoAQfsCsDhJGgGyYzICyQiCbiZ
gZOn38+7R2Sqala6p2cue6ku6apKj3B3GNFfVT8lAIGBKfQP9ebI76PN9Ph+Q5Gbks5lD3kxwQAb
JB7n5k4uk2UdCkkdozQrJzsFgyx/FUjbVSyNgKmOQ4vzD19iXwBIQW/TceAd/V2F9OVTgbbV6Iq+
dPlEmeYciMrk2XFlDnStd9wesnBhhtYFgrGJ2DYy4Kr1m282/CTqmeE1zImXLdfmaoZ7e1yNHJkj
6os8+ra8RdNnaS2wlwL8MY9rr50ipn7c+hhyk74zyyzNleq7mp5se6fOqmlk9qZwbdpMv5WtqWhc
ndd9sQyoGRifmJuPk/owDEmHjEfah+b43p63aCxXGF9+P6wMWposT3tR9k/wmvYi4e5CCzSdQGo5
AkWgwVZrfKiJ59n4RGtSQ6kBVmKKeUK6C0P0djv0FjVgEN6m+rNkUXwK2Zxl0jIhB3ASLlRT97AB
KB7m9DUexj1k2bSIO/dRGZJCTgd3N8fzbIxBSzV87b434TwwC6DbDY9BbpMeHbKNxr9sp/s/4gc0
QWFSgXZamVLQ8wfl7ZxJcOPximAAebnctXm/5LRoJqWu+VTrcSyeAs6lRrJk1H/Hq91vcwLyVR+c
ngBzCt9i/qzCuebIyrgJhJ5f+fhiRowgcVb6wE3cAi4VAznmglHf1/l9RWBgOY102zbJAA/eoUNZ
W+dSapszpK6p8rtOot6bwvVBGLRtMZ8WPxifstyV44WKV4RWsbjFVz1fB3zQnqhGNezCeej0JF0a
Q/zcPwUONbcH8J0cgEtrKL8tezZ/9HTwhwdplWGQuGR4f2dtpSnUp3K2iGeW6d+zJ8Wz30yC9m/t
U6Yy6P7r7Jj115FMkGY1AfYTFRSRHUcxeFfvU5C1/Pq+j/mX5sevCPFkk9Zg0p+rYqQly3l+HXq9
h5zHtT4FauSX7nXp+XHtheAAgiUXmIhcESY7VCq25NqXX2hcqwb633QxRh2lUN+GegYX7K2mvCjD
332o4RZ0E2PWwVd6djTdf1tOT2Vj7WI52FSKXqf1PWdTD3kD98hgw7Z1GfwVPGnUVyeEu5cJ43QI
A4PmGlqYifLd7bXhqQR9C0/FTrUcvEXqysqo5xiHyXM0hyUOvVmLy0YR9HywMt9/lgE9lkdtefIO
K9L+1nPCo1RhZbiLn0dwoLMRvJGjd6qwmYzKb9mWUZnb0kV0z8fZMeasGE/T2FzYX/xx2L4Xu+wZ
m8xN+zzOlfls25t8ZQeCieEsY/YLGl7HwJPmvkeRMSpjUFj3Bt81QEphNkKFFBDWv1I7BMorx5IF
sYFG0h9z0cp7F4wIdw4+WMr/9nIYDvNqFByA89WbOCsWYGboB5RnHZag8mxP2bQU+nBauWGt9jfA
ah5DGKZPOadjGmv48ZU8Q5rh0ck4sH7ZWSF7vhIzgEEhyux5cyc2kWZtcsAJrt0dSmvSvy3+7xLi
z9p9ur49z5FfODRGVxlXAmqHMX51w05D4jgK/UzHn04DlbmQcKbd8A+EVR3w8flolnG5+ss7YyQA
LUJ23p1BmbxM5mFRz0zbDRZnXUKDchnG9dQrunl7yRz6MKKVpeh11lXxGULvWk/XTPGDZPBb3LBE
tu8DFGF1HJc1fG4ytjFqZtX0feypYoqMfHGOy7DSLeMqlX2F9bLWZ/C07TdhXj2KY1ZZ3ABo1rxF
VkCK7MOxfKUY0TP4Sjgu2FqjEhOAGJzD0WqQ64wC3e0VaAu+kxzAXPd3O8xSRZPV55exCOnkLnSv
QKPw1/zgDGC9AOHgLYhMm5vrYRam4G5MLa972qn24VBjdA1FCnpU2G24y0YzJrY18lcXTIgVrK0Z
74x8j6BCCppkcU6XMaU1QXHsmSZlzEMtB2cdvbSRt4TeOwcX104sGGYPKqPOCAMLvkQoccDMI5uj
wA2mIIZH1ZBVMioXa8i+YDsD2YnXbHmfsae81NyWGpbWSt5PveV39+iCghWmp5Ca9cFuOVJhRNKH
iTtqxec2wI0ax31a0YVU972EWzPwm4HaY50cyQfM1TL2sTeF7QtUMPfFnEzDi8IxdJ6LOq8pfmW2
SVNVyKmR6/kgwK1vU/kBRcAHKi6aHZuL4H4WtiFr+uTxVY/KTIzMqMBx/vZXr3ji5jUVKXO7+nvn
lfMvpk+rTOkyZW/qG3rIj+tQUp89X3vHI87JuCCW0YSZUzHNeoA1CzoDmMAmIuVONNtm3Frpt7U3
u02vv+kv0DFzERcVpgDLU6q40ARlHq5oWiduuGDUMfSN6ldpLGiNreQMHNGMvlPcmru1Hwc0UfeR
vWzNrTO6OHCmxrmlVx7oe2vqaw82edMP22qN27lfx/c5N8urPYv1BBpGNT4x2PbcK7usqNLZtioz
qT2v4Y3cciVTf9TZJ+cDeGuc9oGZZIbPz1FREk8+vueBoF05CO+DoA6eDU8ar1PQdB90vO5s7U6Z
v0zt9TpTZWqCpdFn/vPKKaqgBKPE1NLKRjhHMQv+HE4HyBYbt5Kf9uAWb9RC69cssEsE/abMxlNe
2yFQ7WG39PUCNYAvDf19PHNL5XzZ2wB1ODdx7DjqZWxfaPus27hqPe9Eh4rb4VsRQH/NMR9vKDiY
QGBQ7sBUAhC3vZnlcmJJ3elsxz1nxDnOpafFrzvrUI7N7Eab9Lqnul7AnzSuA0W086hqifJ9z/ck
mFxVRVuXcwI1QFR8kbTAiphbG6TqbGQhPhihKuF8GrOXHydv0A9AA+x3MV6H7bY2OD2yMAPcCqcJ
fUkjotxO7aaMI727EwYEt7BAqLqSqlxIvG5/Alhehh+gyjybkluyatG6KPfb3CulsSYs2H+w0RT4
ehyvelin0OsOqFh7c+jEuBZJ17biXG6j8JMepOqEh3qdv44g8nTkjrP1MXFAJTlP+UQRTZrv5kUC
UchPM72zA65uo06nlS9eDApE+Fii21HftMtGII45yMot3qEEedW5F3s0Ajhnr4ehfpCOUXx0e83L
yJpV76YfhDJOoJsAWSjh88Vy54lXWDZNgX8hC987OdnOW4spULaR04uxTLkSDnclFt32vAicvlja
Wja5sRq1iEZAZ9h3um7Z074cMaS4uRfaSStwTud8fHNauR1OK3/gu3IgkRTqNxO1qkpbWdBGuRor
nJkVSLsfX5PJlNzS6H20qsH3I7+7ohJ7ndlhYtOu/coTvHupg4X+S6FgVpx67lA+7tisF1HvaRNc
BC3Hv2pLOW/cNraNpWLcf7ij711Iha8W+17uv3nuFnzrK7v/Qaczbv7ZLQTAynXxfiEfY7wY3bzE
7M5xZUuDxZ5+LsFKKT4n9e5dSN/CX6ipfKKyKHxl21IB3m6+p8d5ntUXhhxmcEc1un4dgUXiBGOc
/djg8XlD2MiABxjFyEm6G4YpGayh6DDTXTd+gwJARdcy3IXI0yV9wyHXix87+CTqxwrmmIMG7RZn
q9q8xAbao9M5zN1PpzKz5yHEeBK3QWZ6d3s4qCat6L35HjgbJHNrhMTNujA7y6mGvlQ+DiViIbSk
oleJEwyBfSpHjGCRzzJLzZmjpZfsmawYcPH8Ptq7zRMx1b7+TU/qNJ8cH89VtOYOSPhZFWURV+Y+
t69GXanXrWOYQ3JhpCa7H12MbvSuymT0uIVS7DIGlKwv5BkwHVX6Vq3AoyJ3mQWrwsyIAeFPw1Xx
PZJ2CG12cDu5DYxVG4NVluQG5vSrYbz80vtI55E75diuRyurP4oms6d05iHccCZ7NGCs2g+/ma1Y
89iwr3s6ydeZF1YwR6JyaP2HbQ9D99S4SB98iYr8mzBQd+JpU3hPEPXQ3Aawhz8ZNvRW0rAaXHua
tdsnUjXVe0mlOSfMoQL3hS0BP6eyaWA+sTTPbyEejxx7mSc5gJtoT1S6eJkVNfQpZpGXdfqb6pT6
RWzbeq5kOGYHfyoWPswrFmKyh+6VFXOmVSjwRq7yDVbYigUaXvRQf9qbozgIAETIj1vLvefgAlF5
y6DIV/EEOGyIKVee7rwuNPFJ1qLzD0t91U4M5ZX8eUwtN34uN8vOHhowclerjPxU0rmLH9Zw8jfH
kd2jaAwcMWgCGZxdCTEQ10/1KNbKdtHtpH3KgemJ1LXm9h5PdTuklWFlIgKgEb4G1bLxFA9OF8YD
8hX+/7Gxw1T52VAc0O53TjTBtIUp16rstjDlRJFono/DpWq1esvQWSEMZXbx2xS5TemobWB8X0Wj
X1yGrnxoULe/Z6OXyXjnTVCpRvuD7LA0pHMdJTDj7FX4YxHOTFlImLffTCwqWaJnq34tZ9W3B8uW
DIwGYrRBPJZG8Dqvdceuz/qwpo1j1T+YNqMiVaQfjLjvG2+/VTXMYb4xtvwutw02gleaTvc5a3fP
DmMXoDSzUor8UYHraM5qMZZfjjeNPy0IhnXETtNPl3JkLBMNxmKIFK+u9eA6wQx+yVpw5INMqtek
64THTQfZ4q5nnQA+RdHVKXCxTt+67M9k8HAskwa07LOzTPPI4tG7PxonDztKtjOEW8MP5bfKLIGO
ZvA+Hipfe0/0vts/TLQwBKU1MD6LQXFVcj18XUc62kY0DivQv4eCuWjCLCC/B47GzcsbHPvEVLvR
F7vzw5t8mzoYi1pf8YZot78EoAbWpwnIokEvfxaPk4P3uTSs6hNfg1p5npRE3p8UEx1C0x5VHLAJ
A9qHHJbZjSMiXMJxbMKIi1vIERCD1XiiOCi4GH7T/aw8syhZRxkesGouJf6lkE8phSHjyViimXcc
eTOrvNkQ0Oxk3oPyHeM5XxaubIuCbjrwFBNGGR9ckpXfV98V3PUcwePLURQnGDL+NSHAtNZA8dn6
l0Lb7i9b7iVN73pYocI51kwNvbP0bASK+FRHruPJKSZOF5m7g44yqIVH88j5WsQOCwc+euaZG6RY
f6/OjNm8h8UZZ1JhCxxCGGBIi1T5hEgEOPh2+8DZQXsRbfJOyI9SLHlsTrt4Wdo2z2I7Q7mPfM6M
/o32+xJ4kwA4cx6H0LunM8B8tK7fbY5YbLhJN2oLTRa6DS/EVHhhNqS922WFuRIp6e3Gg2O0NtZF
x89ktNQbT3TTK9s8WEbIU+v0UHWPRcGcEstylrE8kbtfDnpo0MaFQpSJVKh6CKMVosYtsXnUwtFm
e7yrEUaNRCG/7Unrz/K9JaRrxASzrJLkkdN/4TxiKFhYLqevACrVK5VgXoHP36Ornx+J4I3Fk6KO
AymB5nGxgXkdQsycXhygBpvRlmkUkKxB20nt3RpcFCyd+3GV91UWh3zAeXR9UCAgGLiPyNDsE1OP
Bc0r5r8Sv4XY6AEcA8JtUa/64EzKi6v6zOX0zgLgYicZJiNWL731Q9zas9McIVawDcziyteptT+d
x8I2HhBPWiQ1oD553IP3VbHoyuKXu/ftcEXZwUwNey7W6QDZD04sHbxWbJEEUNHY99sLz21rHCwX
M+5p2lkVUh2Y2UPZOO69qRz1OTMN2KmIMWGgulWtudllKySHZucoFMNZ9FXiDQ03paZjKJWKTBsb
a9yWPXlNJgiFgfO7ruKVcqIgd7i6mlxvSWA4a5ByT0bGmUPbNS4cgwPrKOfSLF5MFO3xR0nlc5hq
Z4P3aLQ4wRF4eNX6QWnp90cO+6j0CtmzvVkoz8C1bbs41PH1K5eEEtey1OEecbPRN/qNPXO0mQiQ
2IGU7ZuQZquuqU4krKYHSvcw2VrWsPZPRc2BN8L2iLCW58H8hicAGXlnDkbU0G5CC+BiVZdAttml
3RTIRRAedmJwKcf91Yp9s2kJS0hjfMK2VH4fVFmiyzbotVHXDQureclplXLN9rkdgVDhednyOzd3
6V7mOFsY6cBYoEhbS/o1ISAppggHNHd34FDwLleucKQCK9FkLEY2zOcrfJnQU9Fmfro6e/tuBMFg
JmqCjIy+P/vvvSblweigNEeyowphwqzasT/zys27ALp+M3cDYgQU6uq32FT9tpYY66DkNdMP4U26
/8ktBjdWCrbcc98Vq1V7RXmgIHexGjF1Eo4TbBE79Is88ZvV0rGoVL9dEMeouez9iQliFki6tOFs
gtgIVgJnzM0ZJ8KKLcP5N6Zm6gi6oUd5JQyTZy/MIoqRO9XSfxAaY/0wyLzmkV1l+IAh6xBp4q4Z
GnEnst0DaVq5p9wAHICULMrwYPa4lw4VO+WzDCvOv8hO05mKQgm/wKyar3sxDTLBlKYGOCJF4FCj
ZnVl3LFB7M9baTnr0S1CHvuqM+s9MUII6Ij2vi4uqmcYmRBgzQvEW79okt7gX0rrZnKMs1488Rhy
2GsPARE4H2pRUWUedmPqOcF15hyxPoSgrO6rhtNGp4dfYB7HWYByyjnd1lzfs7B9KLtqwr8c8Gxc
deoGMLToMyTXeb82l/aDdMASgv4BO+r4bCueVMaeWuVCXzuShr9clmVasVm0tUgzzWbGoMglQEwx
JJeGFeBXQdW6UMpmSLhPZ/4iGSiHMAF7GXmIIrxxm4W7/srhvS7TpA4uvF2aSBHcMW40iqk5lddM
CyKt/eHnyDb1bGBI5k5oOBvF9cWqYXhsrnemMXoMDsbYTQiMMlvbBJil7lFyTfILzmDRR1XXKPmk
KFeGqJ7sw+XG8GbWt0VA/j1aU1mJi8WU+26HbgIFPoBXIjsgm7Fft5042lVLv4XbTTmG4IJyWe6R
Ffr7RPvrkbJpnz/crdX+qrFoV6dC+U6RTFYnelRnvpfruasb/wfBWfHD6sZlj0g72otAeTOUf8fd
gZwXUUuEJ6HNoH31EPmLx7xeG/0beFp/rIelau+XhhnAeUYwxRa+MhQ4jG5QPCAxDeMBHcXIERDR
63LY4M0kv25cXyl+WfchODdGXppfMo6yHqzyGQAnuzlkrbLHPwDNE3QNBx6P0e4152XfWhSKdORe
psI8OowUi4e1L11xKNyg0282m6J8dAzRGUTE8H7ESBeogE7pd/8whv1bBuf/nnv5n/YU/H9pYcaH
9U8szABXf/38PzelzH+q9s9OZv7D/ygh+Btm5KuFDVvy1TR89cD+w8lshH/j9GfjcWZtFb4dXkth
/sPK7Jt/Y86KA/raOYJBy/1DC4HgH2GGp2jUpwUs8P4dJ/O1UuEPxjPP9dkyAlr5bNu5tliafzEZ
722m3LAEsZBWz+2dju7j082Xm+S3SE7/qm7E+jvV4j9dbtcXo80EIzM/OW8Fv9yfXWd7PRa7NVmo
h3awdbTZchwKUySoYY6kphb6uNUNghJZHgXvrbC+Wm1XQomnQrwxs6C835c8/J3Vyvq9DlJdiK/n
563ZgnRtg/IFE5E+rEgU/fO+7ytOl04/UkDn3/ib7b7JpSPXS5EvHGR00SxW3oYDYh3L775VBYjo
mlQWVT0yS0JXcsokXYzhoGvqHhWYPcs5+ovhPoM2n8RDLaSqkrrYm/2SO/RcnQXsPyttwRW+2VNo
SFxE9twfcEjsxFezVvzSBNsYKOZerrh6GtysxWZa67FnJ0Y8HULbjntrWCTrd6cBrnZU/p+NwJ3D
J1sUkHsZ9q8ri2obBCQUh7a+oBU3vHFT3iVLywYm2yUUr1C3y4GductPSIQbLyHW9r2ApPKwEFqi
o04NgZfKEPDobofXa2t49aRBLJvvWsZiVbzseUNst2VjOLaYwg6Z3bMIScxXtxVtUSqmaj8AV5zN
vp16XBnrWEC8/Dnu5vWMqP3NO+pZBf1jgWdoPG+VicPHlYHgGGtszTNNvP6Dbeu1PKxS1Xf2RlQk
8grOE/gmhMGAqXQlEwiv1JdesMnG275b6cCU59MaW584rECxTEc22yr2oOmChqSFKa0ac5HQmQr9
ACVbTi+7QlCLGdLI7oCRRQxnzlXmp2lNkOeygjumt3G/iCWRpOWmr/rwvXBziMV4lRfYj5S5npjA
MX+3ekZ00InGL/OiGWhNUARexBj0OFpsQ/4AR7j8nAu/e1N4H+5czFCnzsuDm8kAMIr9Yw6CZBEz
ycPC9HdsjNp4gbvQPol17qZk2cogcdqiu0GAAphWAo571k3bp1lnb1dLvGK+Pix5/VUx8H7sldP4
2CeW4RRWMxI71GVmcHKfsw8PZPMP1bHnxCIc9uOklAmbM+hbbpur8JGUSVYVMTNbLjPGJpmpVPXJ
rwzna2cB4EuaMFO/+szj4qOrwIfVTTuZGfdL8JEXHj4bx8rUlxKV9EinJ4NCCyPlAzkbeyNHD5ww
mjm0Mw/jmJ8fZNtw2ZycrPoIDeLhx37iq8m3G7UWC5Nc0sUrVtw9VknwfSDNEzUb/pgICLHGqwnv
8c5YCfemkof109+sOqfZYeb4+YeV/P+RiviLEx5/LGsrEY+/dyMRUf2LQRZk3mgi76Ko9YkyzZPf
56f/wStc/b7ENCkfFNef4A9e+4EAcI/uiXTMqW4PTiZOpv/dK/xluRV6WpxW8wotqVt+h2Ac/iev
wDkt4JGiAvmvbndQJwNfFaxcU5AYnnvqqv5fvIJ93YD+c8+gG5SCZVoZPcrlsaB4f//nf3ib4PkW
JBKQFWg9d9e7YtLm8z604bcydw3rxuw7Es4BQyEGGKG8k26ZHWwdNHeWl4OxDJ2h8tNundpvxErd
IMZrszHxt2azPdEO3lvHDH1tvTUN7kiJ1dT6X5X9/dlMzm/At8eiDY1EB9WBIBb+/EF3aG2d3wUW
bGbr1gSrKurL9Vytln+PfPOPV7Kp1HJMF6oSf/PnVzJcRH+zMazI3vRLFvbVDZG9L7Jo9+Sff7Ou
f9CfPhR+JRrzBM3FRHj44P/8QnsjffIAhY1E7icthm1nUV9Lsbz985f5r+8cRB060KBS8Nn/l4cQ
2LUKt2uo3MTghJKl4kaG76v0T8ZS/4vX+nO84freBdcwF3ED69rQ6fzlgS8DmjrMUjrRFK5nWaUd
qsmqdwT4myJI//nv9Rf41d9fjF+KtBWTHv7Xuv7if/hS45jBusn9gAkVU2L/Kyhh9gdhKGwhH8G1
IuAStrdUQf6LdApG2j8vbH9/aTqYPVIxNoEK76/fxsXVZDBl70Sd7U0vAT1sPh12osGwH075g1yo
e4tJjwQ/qe9pLvko9ydnmdUBj0rnJi5NTIqhxlY+VAoPSMzkRjLlU5iSGKxMxpte2uY4MzRrY5vt
8IY2Cf26CZtvizdV40vGNfs924ersRxjbzSELbdP2+uyMrG4FTGvaieMy6XjL1vi5hqbTEU05LbS
DItVeL2rdv4yfzZ6kT48FHt59XW4BnHfWf6B2o3wyZvaZXjKxwBva965JEZwSZrODU5P83PUunxs
IPERy3WyjjGrb+wXE4+kC8VUlE/OlP9if8i3CCVsEpQZCc2keOMumjCNt56XwS/tG3RA+9qOl3fP
3b706rxqr083bQw/yy0fHz1ZqDPKpzy1Qd4csNFaaFrVVijmbbPdH+eJwmbHXUACdhxMYMkHoTKj
cFaGm4x+EJjQsiz9WZUGvTP7tGuckVvdrg9674aE+WXX3hGVmD+ycFI3TK+pY+8684twhvDR6m2V
KNJDtyTXmdHNHKXinFYqRGDPVA828Nc2nefRnJ4hFeOZqhCs7MivcczeDcaQLze5P8wGMn42rCie
1DBNx8EuJi9q6yDYEqdSy7OWAX6AoQzrd7GLS8V6d/LUmqVF2DtfOBSKZ9qlO+do0UDbtEWA1ozN
nS4InGC+ld0avejGuM2m/FaXtVwufJh2OnSYEtcwmy8M1jYUkZ4yFzyIlXxZeGoOBnLGysyG5eN2
onxG4bwtAu92zJfmuCMDf9X2TnOXmCbsUn5FJ5Da/L545PAAU2+ooMVjAETTGDGD3E3jTGrdMCpG
0E5fnm1NJevTNG4mkQ28idNNy1v5IIqwO5O7ZvMA5LJsLzXfnaunqOpQ5wurrTmrEOQJxcvols3V
DbPf9KP0r968hZraQfFdjkpbhSll7/geOB1SnzSaQXPBFUTXjgfZA+AgyrBpPyzkSqsfs+n41iGj
uts4bZ5olmda7aqPQaHi3NBgg3ggd4lWKFTj4ykT3otfy76EJC/Br4iSIV7S0WPwndB0BXPYnQaR
JTO7+tHlJrbGjN0bp42sPqAioDf9KVGcLb/JWlxFT3tYGBw4Y0oETDwXkABS4m2YJH3THj9s+hxS
15iWk7Et/eMKL4Gjs6t/29biniqztdOSkMap6vvpI+xoB/byEpTfumIDTSy3ET15nG5aSNJn8K63
0HjFiUQvnlxaDFZVPhU/FbjlJwpzafUwQMJ+6x1nYdACB/lDFBXWZy8zJTP12bsMtt7xibHqpvS7
jG9oPeHHtsFjR4Qk/0B11fg4T7QwewaRQwY6XXsp/d4yPkCVO8jSOK0PmNBEncA7W1FS7TU3Dj59
REuMm2GajzVAylt3374pqYuPtm/lLbj3/QdjdIYZzFGwdHEB7jbGZ4W5HFcD4GGM5aB83co+d6J2
oEPNazOjT64k1vJg4rf6vaAhJ7V2FvGEh6z3jyY4be/GZCJiPxQBfvOD5ehyw+PTw5wGgmwiMxs5
UPXWW0V3Msoe8ZJBy/qF2+XS3fXXNM3XdvKoi0g6k4KGMhlLOINUkBEvmlii06xCAcORZ68v/Nwy
cYmgfpjVOut3HLtXFKbL0oH9ErzWOFfgCpwqAFtfGBzGor6t5qPsrOVoZ4vVHYMrUp3GCQC7AVaI
S9v1TBEJJewH6mdKN5rNwXgqUNEYYAtZvu5Z673KafUOWyX1RWirgPAwIbZ24bh9DbXj75AnSpOi
p32dXrqeOEVc4mN4HI2qOJI+oR1uskJ8BEIXdurXu3Yo+ytC57XBwBfLFfBw0+d9cFIjybgzjTpL
f6iJS+Eqow1aL8/c+6r90phlqVL8/rb7GIzu0NJY2C1dSmn2VH7xTb89mO1kXui4UtZ3CuEsmYSl
17mPC+fH2w5t/gu3L6x8VrfY2QnHYpHks53fW670n6SebDfefb3ZBLyyGS94SaGcPND17Ocffs/n
es8EdpMRosEaptW049hZl26zv4610lyy/GW9wf+VnxRWwvyOwTyDVq7g/XmzDfXc6hlfnlzGsrnJ
PdRnHN8Km0i+2OKw2uTqLqiBTR67gSBGYY05Y/Ep67GNYA6j1CSmkRyPBz5ruNhmuNdosTvZiArt
4mkWPC0nktC2f2Jv6E8eckt73yOoH0sz9761uY0NqEJwWNIMFZOmYav9hotzf9tZAII0d0uZDkaI
y5/Vdj53jW/xlPgexu/aLqxjbvbTIwGAObil54QRi0tgx0prxjUdITThPLnjLnlnV0qFKdL6yMey
Jz4Ao+nZqQeTK0FGr1xlZ4cdcyFTUU4Vx6C95iEop+Q4wmydrhOv8FjBAmZSx2LfsdM1e+AQGpot
i2CIvxC+tlQmn1zlBvpA6Mp8bgvPkMdB8LljvulFcO/hYn6il4q1h/IR93UviieWaavCnTZP3anL
1ql6q+tcLPetQfUZeQT4DNogA1jmg4lEhGY/YV3lFpUSHEYgGCWeey68DFOYQoQ+kkxlxNlWrZfZ
rJtY7RytMMY37XdjbRqeOzz4GNyGpW5wZ5UUBlo1aUGKkuT4aRhY4NoFJTlhemqeXPpU6lvmtBQy
laFj1AnYZQsVussFNh0E4w25xvIG6lAyarNob2ksd6m+LjBa2cb6RoT3vrVXoL9XLLhxSMSQJBm2
R1yCJn9ED/v8bRcmGkSYj+o4U3BQs9bCdDnlxDG8c85gS16Guq6SsFtGZsPtUOdPFjR3EqkIQQSg
qARMWkPmKTWtOycovb2EVIHMz6bnxZDSqwvGUKwy6DLJkjunzvSK+8Ld62O2iCJlTNHFmYVJJufp
ZwQ/URjaULF0wpbiHJrQ63daB/zwtrYac/jdkZDDE0cZ4IJv4Dg0pCrYa2FDXqf57fxlbpeuPmQz
zaEnvLbjfSGk+d52q65ZSCZ9hdltNy0lj7gYR3phYjTcdUsXf3CbN2jdkLM71dpDNFzZQPaIy54i
FHe+NQkp2neidm1c3JNoPis2Vw4G16Y9Wfs1xp968W/WefEfq2xvH9ctUCGBoTnHMG5KndjDLiq2
ND94z6iwTwtH7wf8CAuHCcN8N1aQTTH68/BldWyJfaQdfEz0VojoEFbqIMTSMlQDyWunYWY4kG+K
fT3rmeMiODe9you7G9lnC/8wtlpbGu9co6adSQTF+s+BLMIAvalsFXOTYvsYq6zeftqBzLpPq1cW
6b2gNSbatcq+fcZkyxIydhovFDZ9zlqItwkRaKtN0PnEwXbUxvBpZtSx2oPzMm0t9wQ8bttlQyA8
G1ap2ih0MyO8ZceYY3LAOakat+t+SxcvcIiqGa1Vfd7q+mZinCY36bgH2rGKIdn23jjTPVPjTS9y
MO5V9rDCp3nRQzpylB9QhojXYEXHuef8X9LOazlupE3TN7SIQMLjFEA5VtEUraQTBCVK8N7j6ueB
/tlZssitCu12qNXqaLUSmchMfOY1bXY76y31aZHYsH+JI+fZU/HXIt1IZvNIT7RSnWFugPFXcb4i
y9BvOnkih9Ky7k8a6ekTR87amGVi7Ru7VNaS1Uh/BExedjnGeLtBtv3hSvfDSt7PY6kSNU558MuA
b7Op5rkEk6sm6gho1/IVt4hFLpYYVV4LHDdHtIxivX8u8VIiC7OBtCZjm65qXWpowM5N7dVAgQ5N
igTHik5ALty2KpSNX4/+vIvmeQpoPYVa5IomkzfZkFdgZNJ+iHeSMaAMXMdVkB+s1KCnD6+r/BbV
tHWhe9KQh+vTFfkBIs+wL0JFnXZci+GOpAqFSjR8ZdAVwLR+8TWIczeZM+iMYygrV0G15F3A5Bg1
b8O1gb3tNg5a1Lvk0mi2ZRyEwz10GYgFgPHiuylOq5+V2fTXSJnogGoTGyy2DbxcqRIM1DopGr7J
fdvTac7HoVOQsMLHAP3VdjQR/ULX7VBQQTevWr+Ms8c2tyhNoh7WmStoK8k3gIl14hKL9Pdjn6pH
afSbH1aDDt+Kvt+MAJ/c7ns91V7HTAlqN9AyOb+eh0FGJi9q6/De8GXF4DOpRYAtO2naS30wDatK
k8ebxGzzbaP19bDkJsj0obKrO1HZ17+AN3W3kgSReEfVMfkJNACmSO8vqEa7XM8T+EOQduH8XRfE
5+Aza8S81AjEyTw1MXx9oSAoxmc3dXvq86kDXh3cY8v3p0XSSrE9yahrz4AJzyegMcuDGg+DsYvt
RRyr0YkZbOACU5rwr7bdr6Okb9cT5gj3pRiDlSxXJnqalgp6J5ct4N5h8COmuvZYTiX+ELmP4l8F
xvtY1I38XAtS1nyWk1vQadIqHY0GSBaKft+VujQp0IlqbylRfRMCo0g98MUL0Scc+hfbKKM/aZHS
flVGe9zYWjjdGP1EXt4aNWViGESQr42ovZ0KTUGnzxDNU6Hp0xU97cibhaXMa46cHrgpwvpuNhi/
IBJJ1wl1dQBYgZwfCUmL710vtIbQqyGTnQEeu5rqBx3XRFDCBWh1Mk1aQcDedE3fGP3YHJIoSQ/s
aOEB0o7XPHp1VJVCPA5a+uDnhAk61Q0nViMZTWotFY03ytX8h4sG4QF7gPHsG+Gwo69e5k4y5/lL
U3eIKPKnaTf4uifAQWpgQGSy6i88WpPVUFfFbphNNBLzshlQa6zJRXxTs78vQJ5tMZbUqKSxofGv
NhKfjBSY9bgytbBEsbotYH5yHzxLEkAAhUzymxFCMdgpjQSoAhhifhUppeWBLAHm3AdGcpQia/wu
1UF2b1QiwHY9GPcpjZrDUPsA5FVhipvCMrJtP6nJfe3T2JcrC+FgMy1u2yayt0ZiA1zA2AZiH/le
5hmtMfzoOig3wI4aYxsjPkZZR1R6twb0lZirUoaFqfJBkZxh5AHcqMr9p8oYrc0MsMozANzR80Oi
y6gUJHqjZt4GNAl29QheDMi52nr50DdXGZYFj0j7xcdQCLorgz6iNxFFGWiDTJdmr6cO/9Clg7GB
ZziCEjf6LMc1Zkq2heJTsYBm4FZ+1xhO0Ylhjdo6Hx5zKvwIDlLXJ14WIvet1TLE+GGyY9J05ElQ
4EvFeIRnjqqrX9UHeFStZ5U0DWF/Rxt94F7TxVSqDlVV/qfGzrLndMJOeJNwf0yO0NNgrZaT7Q0s
hIUomdIfcmEDCOvbWv8dNEmB6GmZ/4B6AJDUiu/9Rqj9dTl3urcEz0+L8dgD3nxZR9hqdsmv2bLL
l6mWtH4tzZYMtk0fOT5j2QNQFiMe4m1npfw8Z9KtmA2Dht9SGyQOGC15AyvKhKsft/J0yAOhvxaR
JriMqYt6NXBTfY2GRg0kq06RmZgS2fZsUZmxG9Z+Ap1+gcTC1v7V+waKzZpxp4k4qNymJJMCBDH0
h67n6JgSwI2eM3XX5Lr125ioTE2ZAnmmVcL5m5372je/mYZ7imDkkjaM6r3F6RKUK5vOcnLAkXDK
OoVGHEx1cMjQth58e46Rfcf31Ba5H61LutGxgygmSSiMcMCmGDhXOswHYR50QB6pa6l1cDTqCe3V
kv470S87D9aIM/YPPnSR8lk60MSLs40sSnnXFLT210lCotYc5LSMVnYmvbVT5wPdJR//7XeGJFaS
nwk3F0O41gFe7ofaBFjdCksOtwMqEq+mlkECNQvNq7oimrZTKxh6aFR4J5Lc10dFKsXtiPIIAsuL
vaidDZ6cQcWGRdTizQ4iDph/pSmyKyPTpV+XUfNYlN2radU9eH1lutcgfBxmtHu4ZQEu11f6Jjwm
bL/t5Ldp69Ya8fjGrFH1nqMcDR+5zUZuWwDk19TkcRezC5ImKMXhDsEcCPG1XhnP5IZAjawc9iba
3P02wCzirSSoBCdsW5nXl2wNR6Ck6VlUpwD9gzykfJJAUiEO/pkWBu+hNkgdV0mrgqcKrQIcPSSH
WVznVpHb27pGow/+3AikkrCzug4Hi9uXkA0N/3ie8icbBXPknehe3I5hbxdO3alcHMiQwHWM7ao3
b1Q1LdZW35oLV47cAqiBPvxUuiGKNohsdjslTBt74xPrv0IJNzZh2SevkqpZpQdJQ1z5czzKa5KH
adhElX3LsTwiKGAAwAKOpyM54e/sutPArzZRmjs5cbK9BmGsXpcJTFwnACsNuDeoEQXuNbduGhrg
qZ35LzUpjw3/wBqgc/HKng2KsPidzXGj3qsFjWK/j7WdkfH8a3kAGOmhKEvYpPZKM3lR6A/QrlON
wqCKONi1H0zWGwXN37gjH/0wQZ6/GS3ldtLhma9n2vDpKkAO/wGyGa54wKNA/CcTcgSY5iAJLqHy
kZsF3WZon3Z2mGI0DDgKYTCD1INm4WHvPr0GJRBZl7RnfNYA+VWObyXxXqg5uhww2AQiVBC0MYwA
f9e71tAAhdcyo1vQ6V2brNIAJQnA/GhjQC7P6E+irtv7jzgs1K1nRvAu1jSX/QmUp+yjgG4jU9pA
uMaPM4cgJ0Wtojp2Fkz2Nsyo79+EmHdOTlDrY0VHYYp+CYrjvZtIWXSINRimHhzSydyq0xRLG9Ap
KC4Aaoa2RuRkeHaQdhvEr+fkiDKZ9VgamdzDk0iGQ2d2PIdZBnKys4cEeHGNZF4fOFkI5/oOAxEJ
PbG+6Cj9s2TIrDbV8JqFzaBAiK6q154y3fzWkmghQU3cu8u5A8dtDlgADk+pKEcBIxsNmyQXj9IS
7W4DTRXN1i4QNm7bPF/BNctuId81D51IdOrmlSx+z5EarsccwwnokTmqz2gpQe2XAR4eUtYdcGht
UIEW8prYJLrW+tafN8DM6iOc+w4pXz0mjUKj9Lb15eiOsG64wX8MOqMpRvRoYCHyu4zRf8unTq5d
KdYT1aVXG8CNyGOUEOQiG7S9Cm8QmdzGf85VS/YyHwTfAbAMREP4TMp834FBbd2ITfyczQATYd2F
EqGBCLJnAADJhD1dl6KADKudDRRQP3U6KYifIUs15BpU82Htpb43G1pzCFqUuCYTUR6+uxYdoGJ8
ZTCUq4H6VMAQpfopBd9OZ40v1m8ti+O7FK6ft7gdtJvesCzQqwZks8xq8EcuKBdiDTprg5sWiaoc
Ir2zsaUncwWG3yGjGiIMO2wQ25jAPMPbjOHUl1bvBK2dbsc8AfdSjGa4wzAQIYoahasNDNbqe6ZP
+rXfSajzA2p9kFVk/Stcq1LH/22XpXTMpKZex/ZbZDqTrcMCotFJ5WAkAEVHPZexyzQSIf9uxGBX
bj+Ca3by3I/VfYJCzQvyyWW9irqU1Eyu2c/0lO0nqoK3fZg++kJP4GAZIRrnQ9CUvMUC9Eg7diQa
ZbzPwqndNoVhAlHBxGI/5RRCDrKv2cFas6eqvkJnpi13XZzntAx41TfoHWIGmYPthbbtJ73i1Mos
BXsZgFKxyvIZ5ojvU+DjjUP3pZuepLdyDialzGkMeeBZQp+HDAMK9BNdK9AkdbmV6RneV8tHN2gt
dp5hl0ntWpzuHzT6RIwGrFJDEbVhGEU1At9k+LPy2GRxftubOZFgQt2RpSJ7W4/URpMNEFG+CzkE
JQi9EQrHV0L05jeRKNEerfxmuoWT3aE2MKoVoP1QXCFrMEReNhSw+xP6ET8TUeXRuq4Bc7+UJT0L
B3WvMNrUpcrHto7MYtVL/kCrjqrNsRz6eR/a8Zgcc9pzzMxCp+xOtLp1jCI0ua7SeILwkuWm9DQ3
pXwrB8FcOXJG2UhPqkxGsWSWSeoUQyHQsY3xOitn80VFihrSo9QaSL7nqXFgL/lr4ih5bU9tl1+N
rdB+EnGyQrouynpLr+sJLh0iA1iBoAfQZI05b5TMslovDoJYeawIxZCuUYVA7BNwGuN10ujSOApQ
nJMNa8JpXuK6To1eel60dxBm4ZMKhyWdfvLixDViRXHyI2HaaAFGivRAUzSludIDiKNwZ6oPQ2sh
Iok4e+MlUMpTV4/rIV56T/2uzewAQ8GgLOtN0OjzYww7OwVkP45P7YRfO6pn6mGiXH2kix7/yNuq
3kLuyeqdCU012YZ1DgJs1JUViEFqlJk/mfVKS5v4IRcTjPGhBO8LsXawH1De0trrtJWG9L4tfDNw
YfXM5MY98P41EAaIEyksVgqJeZDKRCOm8UcC9JLu2qGEKZ9l3I+uaqfNDm5RU/wsaeJMT5KRi/C+
8bMEuowNY9FFKoGSPjoZw1Pfw+ny/DHKn5phtImRYQYtCkOqJKHYTdl8Pfe2FB5bf1FMi6Kk+a4G
QbaDiR9uNeiBKK7E6fwcNaoG2nFMHkK9pK4EntpHjQCzc6ptHbpSTlxFYw0hcSjlQzuALr9J0LKS
78NwYofjfZ5h2sAne5dlk4iuYrrM5KQhq49IntK9gttsb0QyYEagQrM/RnCDkfmq2uwOTcfmQSXt
1xwD+kl05bcGjgqBGLvDoCg5wlNF8N0gEGqcfvSpNcIGU0lwmum1Qq/adLugiXo3qPm4uLBk2nEv
zUHUuUILxgbqThfdqUGq4lUEa7F4gVE33KRQNsjGgyR9yWUQCI4smvax1Q20YAxTpQ1slBLF/qi4
suaqDr0Zka/MsdUu0Z1pJodwsyqBmE0gnB0o6KVHnl0SnqaJVvuVTF2973O9vhMGgYmiVYDyqym8
LrBy81Ra7h406/7KoGyC/5VO58BYcPETbEi4oyhIQ2MAKg+jxBzvAZrT+TTlWjnGeae8aXJph14Y
qT3UAACd3yNiQGqfE7gI1GZac9twXna1HncHem7mD1F21l61NJ2yeo2RBHoYfrIZUFbISAQjaPJa
LB/7Quk3SmRglZRFk/aEXiQ3bN9xIZlthTNRR05M1zJrxFbpNJKsKLfbagVi1l6hPTT/4ZOFw95c
1paHrln62nR1fQ2sMLwrxgREIdsK3QqD+l/h5RIoSCcHJtvdV0ql3DWQ19ZRhmGzbMvKN1G34gDv
WV9V2DC+VnTvfZg2jZ5hWkgLMVUGxN2aYmKXaHC+8YHGRkntpdi6ovUzvlApytdEzgj9ZFMJo18N
g2tTL81nuVuUbGqluymHzt5GIPYnL6UHTb4iAgr4NMZyYlIa/2+cJX/Vl419F9cdlaoUx9AqMNR1
kAn5Vo064JNorFlexnXy0skE9zJbcwWe0RohFYZK9scPiP0O0QDO8SqwlCb0/JT7eEuQDvo1HJAe
Sgc/e4hFM/xQ8yjAlsUYGqL6wK7VuzDyy2YLji+/Qu7J2I42cS4CYWPBjpal7H4C30A7M67i37Li
z9+VRqczItNpq7eUK6enapZb+TqkA8haaFnp7wa1A22L6pb6W+UYbnyYtLWntjGKf7mUpPdBYFF1
AMgi7gdqmERSVN2cJlH6fB1KtD0xsk8VN4hU6ynDx0tfGX1nVqsmjgC59VnWeRmMl3zn24EUelln
ltKaiAINmJQe4TZPgzl9nKIZ7REpGw4KcR2024Rbbl3wSduD++vEJp2z/E63CHImX6iQKnOBwhav
1iduWV7c2m8Iqm+pc1rBj36RAJDIM5fmFl0EL8j64LqLGoDS6pS3/bNREGYhsNigU1FJ+rjrlFmj
6mxRSOOIVySRCOl7Jtck6gCNoTghLd05bfuVMZUb7gsso0YziZDjbtGv63La8ryKPZTw+Ylue9Dc
IDngx9QP1WBL/zN4LKWIczV08U0gDIrUAPUCECXE6fHazCVSWJJ6zsXMgnWuRPTsjbMEs20aw/pX
3aMogThj2//QIY+iW1mF2R2EV3v0Evpb+DTFebGy6Erk9zC/aV5Oebb3ucZuSGGM264d6yP2cTDx
FTmnY9HDcrZ9eK6+1SY92oolejNLWLiOi0YzV6GiZ9sOySADgQZZvqdxRuG34s9C0FPX/N3Ex6a/
ag0Db/CqB9+Ivhtib7W+SFSiwAOWBseLBEEYrSvu1FhTrsdcCtU92Lpi3KlGRInLquXiTmrzhOZO
z1Gh0x+Ra1T1bVBrOmdjyDcx8c1e+OH86tfJ8FBDjaIDj/7kAZnJuVmVkEnRdjQJsNalDcgTnf+0
31G5Vp4NIu8X4OaoPPi6SttBQ1C2K3wUZjl2fnE3lmOy0nT8XAnRJu1qSKLafkFxtj7AKYXmHPJa
1HWtZVXm1q2EHpTZxXS95DS5jSHq+2vCBIGM1ZA3Bj1TC5UquhDh9ACSIK2/EfbAmpeyKtwi75v8
aWTZkjYw8vrwjlTeQhSXeMZTm9TIXLnXbNOptcLKVksbFxVpwxqp0gPDuecaSEAuyQXfDyRvN/Xc
Kk+mgIPlU9haseLyd6B9UBZxq2hHxSOTIeDnyz2QxM465Qh6pinXctbHPv2hhp6uXdCuQfZJMiit
EwAkFPoOcaRoB5gCVQydKSifVIhdz5oqm15iKuEbUq92va21sYRV2+EkQbYoqEzxxGOILVozvuDh
FkEpso1aXnHjYqje8zFEmsCqrbdgmpVkl2Pxol+DTqzzFQH8mLh6WYjrCRYacAFrmL61uRb/jMZc
fa3QcUN5L8mtHyHIJrSuKiiqdPMD6y2kfWFzxdN/oYQ6mJUrganm6kIQdNeEcXYbt2jUrNBJooxo
m1M5b2FO2EdKmMBAlMCKHvqslsubxEd1lmOI0gvU/6HsbzNIwVeh6MdfMt/V34hFhgh/JQr3ToEp
IPs8tsZvCq7VD1MlCeRca2ywtkt4ZtItpLS0pp5t4P6o5CI+gEVD/8DPLIGqm2K332qyyX08hgk8
vWbRC++4qJHN6WkmQ7JQlps6wBYTIn5go/aiVUHiwqbWk9U8+9S+EySsntVu1H5CYu0nWNpIsbkh
n9b2Ci0crLXonY/HNpG6YvO/2nHOu7zuucKjRC1Qa9X6P1bXqHD8qEDfJ11ubQQKnwcswYdXJW4r
arCy/P08LPUzqtfE+RvchzCIouTFjeE9KrUYRN+E3YSGZXM/Rcp1xsG1zfmC+vQXQFt6kbJFIxQP
KU07YRzJZexLUxvTjccbTZbuIxtWZ3FDL7fU/sNMwxHja4vVL7CuNqooNhh7Hf1D62RC4LNK/OSo
6M4hGZvsPyaFf/znNbNNGa18U2U+8imlSVdLaewShlDLY2k+5njY2BfA1p9R0Ja8yHSDL9Nhff2l
cL0HC8O07qlWazSlB69CYjRKNjIwWRSxL8CDLV7wR1i3JWOpwdfcNi2h/7VreDdSXpkqokTwqSdU
CmPKekMEAd7CEvJXZl1FeKecXzzxCdxvsGSKgqOuBYr8kyt6AQO2BmerOU06uz3FQ1lc5fUmgiYd
XQfBqqfda1wAX3/e5QvsGQyboqPuLp9i15WApqYNNg63s3uoyts+b9dqtzo/s79w8Y9LactUwA1e
Fzw4enIfzxK6FwVAEmLo0htcnHQ3vTd6koPmgxOtCpcg07Nd6o5u5fVuu8IyzRMui+5QKnHRsHT8
lemhvPBPtJYF/c1jCcoAoL9NQzvdrqWVIq9u8FjCvh2759a6YEygwnM82UIMwMoqCpbGCM+fHDnc
hqlSW9B2qtUy797rPcVVXGpBDjIO/zNvuGsuHVIXfIz3n1mDtXQDDz8ez3LLCydILKv94W0sYHs4
PeZfO4G/bMr3N5sYyhRutUArbtphKSwCj44ngpXGQ7MWN/5WyvaG0/EGnkLn4e3Sov+1zTg3/HLu
3p2rXo77AmVBwqjQgd+mHBFKy3c/bgsXSUgqqmjt7Px1uf0FlMVBxt25mZw/g4MH6IXXLxYWw8cn
sQQXFYQUAOwGN/3HJ2kou5tjjQaW1nRuJWQkll5itD3rKUTuAEElqURlvH9VmueGegol6V0U/7dl
+f/1Wv50zUBOgcnDN0YxLIH61seHEEUGG8BGLHhS9dsiXJwO2vspNhp3kMSdUqEx3WY35w/kX0rF
ycw58zKMRFm3OPgnB9JIbSC7oaC3EmPuV72UA0Fkow3HRioOU66susG4oY+7aDXhtwr56260VLdR
cdWr5m0TBNdIc91feKov3gdPpep8Q1gMaCcfl6JuFtV82F+IzP0sSm0vE7rrsYYhSnFtGR2SqKhW
5t2TraS3yPPRWlJ/Kpq4wH358oXgmITXBZ9lxTp5ISaSX1MwArWuMpC6Oi62yJYNFe5kltgmVO4A
jf06P/NPUcCyB94NeXIkEOcF95EzZM3G1ymUoe0w0KPt6gEr6wtX/qc44GSwk3ePxBrA+IHBekBV
xHn0v02y0PMz+vRdYRBOlqmjO6IqvMyPrxIc7RR3OW6gqHIhV4dHcAI2mxTi/DCfogETzrcJ7Zv7
G1Ej4+QEB6bUtlKr+iR71t2Uy38MS6ekljVPCNgUz+cH+7RwFs70qk0pxTTBB8rLbf/u4lL0um/0
OMHBvfiuanvsSP79zydyYvuzbNwIJ9u/tIGWBgWYtWkufraUNObBvDCFT+vFFN4PsUzx3RSkWOrB
szCEDKSKVNSJB9M1O68FKHF+Mp83gK3JBLZET4ZmEHJ+HKnMVHwvdRN950jeCBKSQO2fOfIXgtrP
h5VhsDCTlUWeSJjLhN9NqGgDpW9n23dM8dyidwgeBUPcCgZA980sdff8pD6fU4J1AVFtocXBkDuZ
1IBPbGtXASVrRnW0qEO4qF8lY3ZM8Gvs8/nCeJ9el8l4isb5ETL/PL2KIqTEskQoeGshR2SIm3Rs
7/GsdLQ82J+f2aeRiIY4QEzKZhFt4+QGQqYEukFsIArYmEd+J5a+Pao7FZrfXogV7PnRPkUgREQK
YoQE8Sg6QAP9+NbkeqwRzluKCLjKag9C/zPAtcplOuzmKuu/5f2wOj/ip+24jKiZbBEb/Qj99D7q
0PhKApkR8UhGQg4ZAv23jzjnP49CCoe0g8q9Bx/0ZF6UcicF5UqAHOPNWH7Xa5+61/X5Mb54U4xh
8a5QFScXOrklaBaXFlR8Eh/pgO+ao9VXZvqCX/P5YcRym30IEUgJNCJEupU20rP6SWbat+pkYb1A
LtdI4gDXv/Uqsxp36ajGCL7pf9BkQ7s5oJ5b9vkWXxT6n3RIVwgUjRd256dzZ5GuGvQjlluXYP3k
2hqaKrVHU+hYsmoD4BwwLVamqY+q1qc7CkwU+7QuvxC9c74+LwEMxoXKDTqdfXqy1BVoyF5FWMfx
PG/vedfe/ppfrZcf67Wz3u0ch39cr9drfuXsnE3r7DYb537DT//7LwP6yU/n3tnwn3f8857fx+9d
Lf+dn9zlh8tf3vKT6zqeezx6W37st4zlLT/xt8uP5bcsv3X5F+9t/3x83r/tS6/k3/Z7frztl/+F
59xfOK2fd5yqyUis6CZKJBYiLB9Pq9ZROqatCsKntZ2k/qXI89pPDr7xeH7LfX7LqqYanB3Yx8CW
TwnbwaRXc92CGsb0xenRZW8jfZ8B7iojt7T/nB/sq0lxSDXZ0EyNcU8mlalodgqbymOSlncQxXfw
qwEZD4dekbbnh/q8jVSNK1WRmZhBBLHM+903KgnUuJ+D3HSyNPEQWm8qzM4bunJKs8rbXyAQzo/3
+a5TdeIcdBoMetYcnI/jIa2slmocYgHQa/Ve9rPUA6JQXI04TV24Vj9f5AxlI4CMLrOhE8J+HGrR
eNbwyYGW2FvJTtBscKIeA+txMgp8kuTIwBB06vfAcJ5NUDgX7tu/S/fxkgLLt4QZXOpYGv51dnu3
tJjO5/KYIpGL94jz4z9ZtXoLaMqZVjzKpl/DQ/Uy9/ewhl+grvwHWG2bYY8XkfNcerLz581y8Vr3
pivpwqlZ7qTTR1NJtCl5LGdGWd7Su0fDs4Xssiksp1MxrVZQBVAvxVifh1B1DsryNTAV7dOBGfsJ
TW6/Q9ezx7pDghZcXbAc/FyTIh17P8TJXiqF1eEj0rN3I5Fvi16aPH0qul0NwNatJnAuqsjfEkyn
XFyYbtVOrtzzu/mLg7pcPGSrCDKRH588QZb6fqj1PAHi2Cgv425dGAVR3vQtxebr38cCsYX4E/VY
UvGTdAJGxkTbhNQobZEZlq5k+zrLiLaa/89xlm/vu72BmxWccME4IAy8QVyjvotKsuVW6YVg4asd
YgtFVzGN5PMpn4R1lY+lfSdAvVSFOFZl8Cs2L+3zL24biM2EO4ISyrLVP85lCBMwxSmlBBzGSqdR
e1dXRqxa9erCYRfL6n88UbyYdyOd7IQRCQErLFi1ToPhGN3NbLzwdytpIMYxE6qpCXevDTh/Q7o0
9BdXOEPrfP9oBPCLk0liwjG1QBi5VsRjFNwCtdDkbdXcDcpGBsigRYeiv5LHTQknGB3N+gCwqrPX
+O7Oxev5Pfq37vx5Gf7Ps5wsgxa3EbJXLAPPMhWboL0p5B8+mjCqfoDwbeibaMTtY+/HPYCUlZGs
p+lCaPTFtiIyNBQQvZQ31dOIQPSGWhg1y1HWsqC7VvK9Bq92fqJfHHxDaHwwkX6jRHdaGOsA5KM9
Qb8MruEfpdDXcCV+Q1JeVbjg/PNQi4CcyjWjkPtoysc9XAVDpZWJis+ZWb/00XQsG30PtvYX5kmX
Lu3TKOdvrQ/ojEkThjTfOIkG/CIx4TjTJ08fm+LGaG/H+VqOb6OH81M63bGnw5yc/MwaKmB1kHn8
5CGAM5QWZFqQjLezttH07MICnsYBf0ejWmZA2aA+cmpirPVjrgQ9uor1t6xwwWUq3+Mr/34KqNyf
n9fpdfN3JKrqplCESX5ykmLVemu08EvoQut7K96kOA7V//jFORni7zfx3e2soDIOy315Q8PLPLwp
jScWE9bN+YmcnqHTUU6+NUqkJGqHeAdgb3THu8bBoOv8CF8t1d/8xTDoLNFS+rirdXyllEoXmZur
Bx13UYSP8CU8P8ZXL570UFCfMKnDnLbj7FGBO6YACsD1CX27OStdDOEdBWOBsdwAmfBQljg/5KeY
ZFm592MuK/vu/Rh5ApNZZ0wJHL6WI3JSw+/byxniiSha3SAVXl+6jJa1en/pMiagnv/ISS19spO3
JbVBXIc5fmgKyWYvp8Dtf2NG6Mz1T3z1zk/wb2j4eTCKZlx6qKHpJ3s8Wj7aUe1jvuZqbv8AnZ0o
BFjn8Bzt2526zq5mN7+nKj1Cb7yzd/amyx0bgk680ho3vhBDiC92KnP/n8cxToJ8o6DxUUvMHeLr
xnDzx2CVXPtbR7oO9+pV9CDfn5//xQFPFjsYkK0uYuYP0tDagW/2gmO7NRlqfPbddFdu3i6MuGR7
Z1bcOPkAzEPmqz2AaXeAT0ZfEse8q3h9N6/Uq9yFW3nhZCrLkp0bb3med1s47IYBoSfGa732oB7m
3iWzJoXJbzVXfi1uAufFqL0bXjFpHFoQyvrChC+90+W/v3uAHEMSoyn+PkBz3Shr9pix/hVcvSgW
QtWOjIOHI12o4nyxr2k2kuCbMgqvZKjLhfVuUB1oYW72VUlXpeTd+p4BbQDSS28SNulvFvrNg/6t
RGXcRkRJQ+YCeFZi/8Es8DqDR9w1W2082OZDK+8M6z7oMPStU89s1llz4Rvw+bwvj0oDyOBeW1KB
j48qRzYIHKS44G2vouFeZN/x9uhRqMD45vyr+PQmoK+iHEe+ocsgTU5bGI0tzUYTGnDIi6JYV9D2
KEnM5YVLc1naDxtuGYUkHa4kX85P9xepe2nkeKq4Zp3NV03RPAGMmzeYYT39+3RMQPnykkJRIj/Z
2b3a+tTCAevKYfCaRdL3Gcvt80N8Cm2Yi4XGky5I+MFlnLybvJXUVM9Q6bXL75P60OJuC8hIwKLI
o2fd+H9YOWxHNEqgMKZN5eQyVrEcT2Ydh4cwqp91ERyssH62g/JCSP1pw5HfgkBYkDnkn+bf5Ofd
2VgIFCXqf0gApEg2DI9q3rqBfo8orjurF9q/p5H1kkuT1VMwYZNTTT1ZwAhiiA21k9vOejD8P0DB
s/kO9tr51/TVKAYdZoFsIZRWe9mS72Y06cOAAwmZmRyMx1j9qSGkVuYW6dl8Ifr81MhfJrSYEFkI
SJviUzGv0gIDJglDIdzjjd1Vr279BMbYVtL2QnfHeWUYACuG77G5x6r63+dJyrAAPOhaA6/6OE+7
o+cG8z+Hcgqkw9yY1o46BuX5S92FL24KoEHwTSj2oGepnnwWLTVKS3tiIDgqLu3VmzHQjufn8vUQ
pCa2YM/TWf04F6VAsELTc4C/CGFAs0eRqS9/nR/jq30BwJWmMjfE0uz8OAauzxFqJeViI/TTGsGJ
fYdG7cjDhWG+uPGWV0Ifn1fCpXc6TBcn6CnXrJa2LyoKOZrpCcQXzk/m0ignaZY9YJQpIkapyxwP
8foQ69pblmd354f5cs3IGVk3k3z4r5b4u7NEITxGoJBh8FWL8p8j7mloHjbTz/PDfCqxLAeJ0Pq/
x+ES//huSqOFBjkwTkrNS6o28/hDLa5mWjtQlWEy3+AUmVcuwOXzA39xpX8Y92RrK/iNB72/jKu1
8G7xB6WiGacW1q6ao6n3MoYI50f8YkXpJQkdhUrk3kH5fZxpPvqgj9skd7m7AJZgnNQCM1Of/fHC
xX5poJNIy4ikUKgYegGewQ7XjFRlB4Cy2E91+SMxw0vJ6xcruYjro6moU6vS7ZN5dRKii0LlkmjK
5FmuJg8oRgevLqcan1+roD187V81fZfUCBgdXVW+yRZarh/XMjGFRCcSV00VYcyhx00uhLeD3sOl
cvQXp40bnl7/knHy5TqZXNSjAmKZXB26ZKMJmyOyCo6sUFGT+vfdQdBnKsAWaTj+/eD8F2nntSs5
smPRLxIgb16ltMfV8XWqXoSy8t7r62ep7uB2plKTQvWgDdDdQDMjxGAwyM29T84bNPR52wE0dobI
h5/ytbWeGAgPSmXFC5duLopO/xiaXZK961MAA+LtuJACRBEzZ/BfGgxwOLl+g0oTOjEOKt4wXjBM
cBsoK865uKE0ifh0ZIbU2c+/XGplxahIbYpcjYy0SYR2qIqEUfZ8fTsXkhtrmp/8XzPmLKy4aiNB
n4sZtH0Y2fvaKcWLKmabWpYOWb7mJYvWphsS4mfe6spsUUFf9EJnjiyK7yXm2a2ofg+CX15bbeA2
2F5f2sKNaU0YJ7AMKm/1uacgYCIWVcvSlCB9FBLlzii+Xbew+I1OLMwCSIEsmpdYWDDC1km91h6l
+lmN4t11M4sL0TSIr9DYkKQ5RrcO0iFpxY7AYXpPotG/KMHK+2/Z2S1rAp7y4AC1c+5tWcC/TjK0
4yBvfXazESDVq0FVChia+cJgv9w+Geq98Uv0cydN6v31BS4FYoBCBj+A3ANc4Ln1VK0KVxuG1Akn
ab4S5YYfQQNF2RpoZykCg37nFgXyDPB3dqRLLekkmW6ZEyoGnCM5KpgIEoA1AUe4B0NoI1+9cowv
8JxTBIY9XwPcMoHv51XReOzStFPhd1Y15TOzpEc9SJqvRqzc5rV2n8Lh44yq/6qXxnMAVaQN65x0
LNVOvHGT4qippbLL6wIqAkl5u77r02GbPTx5pAEfgbKIuYM5hqLMNakLBgoNJZxNiHzqiHMWuzz5
Nc1HDdYrgtTXDS59ZihpwAQS0WgbzvO+uNEC9AkQKIRrxG2+G8aOEXR0OVdC9+LCTuzMMj9InZgt
zAQK7O1b3T+26VHU+k2iHXLrXsp3ebfSil0KAwwGIJ0znZ6LZi8C0xrz9T6puRk6KtVpQejsqpRW
lrVmZtrek5tPreuwkky2T7ceEWi169HbwN98/RstHRGgPHymyV9Bgp0bMaG6Y8Y+SB2pf3B9WLth
iTQOlrir060//JuNOzE2+1C+WGaMvTDM6NI2LIpbRLAqmJ6ur+jPc2Lu55Dt8SxTNaB64iy6RJDz
dwXcH04BdazGMEqnU1Jry9LuIOeSM3endWppC3AhaGHkSOmPREvvo97atUPutAUzAtpvrShWgt6S
l07zOLRluJsuGpeEebhNfR50aW1s6hyglPQ7yqt9Jr2BVhSy+zzZXN+JJQcCMKUCSACixrk//7ZI
rNXwasd82yIJISKNVSdS/P5+0mX5N6am3BONOlHixj83hVRT5aYWi8vK8d5C/7brxVfmOV6ur+iy
Ho0NpgNkmTe3pJPonttRyBITcXoVjam2NyL/ra2D+6r9Nbg/la47Iq/o21ojOpravUhBv9Xg9tsI
ssiII5QD13/MdDTmfnZ6dGZrjiqvqgQuawedHwEl7xQibz+7q4M3uf03kfSfgzOfTWtHVexQ3CNr
k77k5gEujxKyjPx4fUGL8frEyuzgoO0e9RWS6kjyHCeOtvxTyxxm9y/OAXNcoKs1Hkc0M84/oerF
bRgwmgkM2dtYDcPnAeXDzwB04DYMdhIkJuawloguHQVrwqUDj+K9Mj8KQQjvVGkQecjit1YMN0Xp
bU3j6foG/gFZzV3i1MyU2Z2E7FpCJBGu6tQRqP++wfrQ5gcX5fFw22rG8AJpu+TugOvDE0DDCRbC
XLLab8SqbjNYEhx3htnGgkNKIGXPJjxM730jgSwV3MoymLErcbXB77Jbq8yM7wk04c+tXgL2gOfc
fEFqynrqwQo4beJWXwr+LzA/0i/8iAuz39d+5kU7D+K9mq4gdOGgCGlMPpUdla4Nh7bqnRA2HCh5
FfQjO79X0m3XdWq1M5g2hkx2VDZVaeSPuVtA4hKEMVPoTV6DW++1fAcvh5N4NbNElZqltMTQxGE4
nwbugwUtAyS1ep/+FBoj+BjEiOZOYBQikEL0cjZVr9J5gaHKAzYeTvoVUWsoG9nwxBemxfvwvlEH
/RHgkdVv6zbvkLvumT2BNqfZyLniAYlUodOG4FI3YZ4X3Xc/B6h67yeykThhpxifpBKWFt+D67sP
W7ID1/S4C+DVTURWHxpvHYyydFuaNt7DI5HtEpjWUmiQahCCMCJ3t61X9d+YCAnhiO2FfAsVWB6v
RNKlQ3jqQrMIV47dWLYhxyOhvVm5D437DGObbUav1331sndLKKWrQuGeKiZd6ZmhKhSh3ZsKjEP/
Kc0OvrENxd1QvJmo18LChHiDsga/XDyFJyZnGU3PVDbUBVRESj9xchmlvdaHtSUfv1xf2+IeMk05
TZIxZTHPwa2qGNs0xg4kBofOV/dZEb6Fiv6cN93K51rexn9szSEK/ZCCXp1KwaN+kMzv4vCEwIYz
mN/UnJnrbRU9QQGycvMsPDIoLPHW1RnNIpOYDxDDuOiVCCtTpLPuveIx6+7L/ofnfxsyJ9TgN9kh
Osg5hxx6K+dIjsubIPqo4+/Xt3m64M6j3fmvkM+jXSeV0D34/Io2moTBX0AibgCBOq6/6fLPfuAE
1cq79dKBsAgq2Zhe+JTfZzdUCu95H/g1lM2QreeFgP6BiezJmpmF4it2yNRoj+q06eadJrdr4V4a
M27CTn9RrfYpaH1YUXzrRlfofsKjiOCGwiMPiv9jkBXF1oSmYcW1LvOLCbMKkocJcUAP88bnaEZW
HkyV2KCq7sll/T1MAAwIDdDzWfBm2qrmy38fFaaVMw0C4Atd0PlF6UpgeKUIo0mBcNavyEdnuuRL
Cl+E5Fs7PAzy3TCu9W0WP+uJUfXckcTEjb1SxZF6bTyEkv5R+/C7l+pK5rFwVlnc1IKgtg6ufV71
EBmzQla0oh5AOz+Z5CFeoYtE3NisIM/dJtU9HIErZ/UyFk02aSNOW8rdO3NZ+J4aq0Fpx6mSXyWE
fGH24MLbmAq/rh/GxT08sTM7jC5kqIhjsbayusni73WylbqV9Gb6DBfn/cTELHMrQ6sBw8RS6vJp
FJEhg5/z+iLWNmvmCKaM9KefsogI/SNuimMUmE9GfGvKcL5dN7UYvE4WM+3nSaqW5GZIi4XFpOYn
wfgpwK2MtIDC08WV7jrJtataXjG5tDpOlGlR1oNnYj6TZCF80XcmFWa5Vjd+8mkIHlDT3in9Xz+z
yen+sWPMarydP1G7MCnioAJzCwHUtmagYoy9zfUdXPK4UzNzz+7jVm2QAHIaAdBMZ259pDHypFpZ
zcX4Ex2GKRIxREHHjfHwmR3wf5DYmFRd86AbaaJ0rrqT6yZAqQl+3uQ+kiHcyc1CgEMpgMyrHNKv
Zpe0tzKa5IHdlYDD/n7lYFGYgQIrQgd45js5SjYWZD0ZPUBwX2WCVK1XdO62yaVff2/pdO3yuZca
SqnyTGDtCI69ZK70szLUjZGtPKuXzsKpldnBliBozgeXL2l0n1E2h6gbzofiCbSDDw+aGX3Qtv8X
6zIpOFEJmZKnmUUPQTUUkShxT4OVuxCRlJsM2Be9zVhb+VhLUQvk8gSB4SIl2T3fwrqKay+bTDWN
cgdd/GOQ6s711SxeLHTDJj+1TLDYs+XAoRPWo0ifA0FPyH4dZTjIIixqO6XeStajDEy6bj5dN7oU
Tdg+k8IObgh9wvm6BMESh7ynuD2pAhhS7cTjcExUdaun9crXuiwSgrSnTA/jFW18oPfnptC0KMox
kFM6iok9Cpux9WxJ/1LK96jipeXbv1jYibVZldBIOqjfYdV2fMrGZrpXROiGsgrluZUdXIws3Mhk
0oDniS/TuTi5A4SxjNH9wdKgiRtTg2/FSjYBAOC6QtvRQFNh+Gx10GcW/b0bGwiSDSues/QR+QGU
kUFRTd5z/guSJIO8oePC83llu8mPBqp+aEGPohWsfMOlMz7hzYDwW1Su5/QyQjpxTwhAwq1QaT/E
YexKG100o7JFND+/ZfpQfdICr6sdBCY0noPkiP/iJ0z0Pczl4kYXrdxg1M0UHNoEafmENNRuwu7W
j5qJ7scRhQXbQFTluistOS7tHxM6J24qujLn22vqXi/BR5k5vfltlMhiHxMA+JXk24g4epW/8jUX
Mna+Je+Syado382+plxApjagYjMRpxe3xaCaN6FQ+sgnqWGwVaiC7OvarNyVVU6rOM3LaPSLjBnK
rJLnoDFvpwmdXBRoQTONowj7ojB/KJGMOqX15fpmzn31jxnQO7KoAuKR/pymk9MytJBLc1BgTavb
O79PYC1FxSIbtrT4VmBxS9OEE2PBVJaYMDDqLBG0VKEq8taHZARaBPMphynu6MmK0H2O67wId0oI
794WRjXzs6rUfQhJ5MjUnRBEAM9hbgqOiPvp7zEIWOPeLfPuVywivnCHXM0ULSF0TDZZolFaq0dI
6HYwMMa/Bxc5rI0+Btq7TNXqUSxj64bRl75mrrprX3O/RPqoV/QUnpo8pdqkhD1kxsAR3wx99F6n
St8XCPDqY5j2zS/XCOsjOjd9uJJ5LXyJKWz9d6Bx+u8nX6Ie265DEMlEx0yIN0nUezwrxI6BksHa
VpnYv17/8guDTrD1TRAd6rYA4efDa1kKAX1jphaNU93Wlfwmj8BIxx3qrTCzInddisVrBYueGvbM
nKCxkqW3GRKDBuodkhyuPETm54zrfGpg0jwGf2oZ2iwjtMoxjANDcG0pVZ9V1UNtrURXsTqEo/9h
jtLx+vLnGQTmYMoCl4HfazCKzqKIF+W6IDeiALli4N6FlfG7G+txxeUvDjGTNNPANTnlVI+br6no
67ShTQ0ZX21tpOZmrPFTc/hbz5lZmeWTA1LfYxtipR3QTIFXqUFjdYD9y1iD481DL9FiImzjsmFR
5CgzH9XyeFCKAMLrpPgeWFBGmT+LoHLG4iEMj4a8Mhlx6RETO4fJOMhUreEqPT8RzMorcEHXxAtz
PCiK+wQnqS017b3KvIYyuiuBfuEAsiMcCPIuKozm5DEnB1DUNQralWXC0SHZfrPVwAoZI3rE6Yqh
C68wJ4YwJvBhl5hIomaZFxxwbuZBx22r7bcgE5H3MHaCkq2c78vdwwrpD4qIRFtoVc6XE+W8k6ir
eU5eST9q4JMuqoa9YKC+VJI4S5W5v36ilpalcJVAnUHWDIzy3ODYpEMrSIj2GdlrmqNZGBiOpK9t
3kWZdKJ6M1TSO0AZKhwns4Mby32ZZELsO7cfTC/Yng35w4/PztZ5WqlLXvQlsQRvmAoqHZUGBVvn
C/KZmnThFfWZUCk30FDs93fVJrZhiLi+cX925vyuPzc087xOkXsUp9DNRiXiD4dfCY9f6OhbhX9S
WOT0V8Iftx8fm3tre/9pZx/7aeH7xx+qfafaxUbb5ltt+8N+RL/MZh7R/rzfvjiHp58/b9eqLJcH
5fznzr4AylORV3rsi2C0oRM0abBPpRwNYi96NrROWkHfXDryZM4EjkjZFn6H2dOhlzRZonbjO2HT
30CFvhML4wY0wH3f1zuuzJXPfunGjFiC3aeaA7AGKOT5V88bOUUkj0I3Sgs3VSEioDZ0t7ksPF7/
6vPc/T/e9c+yZlEgdgWjNguW5ZuurbgfSChso4r7vukPCixYuhZLtu5rK5fFxfJ4mU+cUTRqCeV0
LM+XN3pqpZh9ETleNjo6lBFaxBSYsvIKW7Ji8dmACHGXA6s5tyK7vgVZDXS+XXWnlWiPjhH6Vyvn
ZjoWZ8eGe09iwgKwKuEAZqVzI0VU5KKSdhEMW81BQ+mAUHi4/pEW1sESdHyBaK1TcDg30Yxeo8Ql
6xjd9h0FuV0FTZQYG3/vc1xvzEeDKoYTd15PVl2tKqTp5g7p02moizXiXRR/XF/L5Lhn2zURuJ0Y
maUJCNMNQ8xwt9MH7BmN6WNTxUCduL95YsTub78vX66bvOi54OSQ/JJhEUYByMwn2dsg7xBA6ANH
k4Mnv5N3KqJtfSn+kCTvqY9aFErEz/TFIToqNoG6BiK7CB3gVlCut/ASUEMXbtggcBu3k9xoJ7aF
XXfGD4s5lm+F0kiOBMXhJi7S4e36mhdchoMFiS5DTZDBzedV+g7RqVDPAqcM5WKra1l0IIsNtl7H
ob5u6mLOkTbolIZhjaI37G7TbzlJWfyQ+a22kmhNeju0u23oWrbp+O7GKNtH703cI8Fyh+LcrR9P
W+0k8Oz3ez0Jd3kkHoXmoXR/GcZR61aSa3nhaEL6qTJ4B5qOHzk7N2M5dFGh6gGQHqa+4McJyaKs
tEJnxJN0yrtDFuiOjgZ5yQNeb+pDlsnaox/LwlYMysY9JIHp+TclNwPNKsVVNsgkyE8dmgztpgTT
hSKt0Au3phikqiNFCK44aBDzDiySQvkAj4B6ANyWYbMSPy9dmgA6sXFQFOBhxIE63/NScxFRTCOa
PojfINEp+XSJjyIN03FnyOjeN7ltlVs/XTG84FfYVXl/iwb0svMpgLHwU1fIUYlAF9BRIm2TVcLG
M6Ttik9NUfMsTLA+7gZodciFYQGY+ZRe9ZaWlCmviZiPlfu8v58s841WWoSeIZQbdbAt3BvF27fZ
O1qGvflSio7ffsvzW3VSH9j2zScKCdd/1oJDkZdP6D8OFQN8s11HyK/QAmR20IHbIxplS4St6xYu
6r0cpjMT0084OUxNX4BRY6zDyX9AYkcfmKZwezN8dN/7L2vEMQuBSYMFB/9hlhORzVkstsaiL+IM
WyaC0QPyNtWnWlYR+GQUYeUVteQ3vD/BhExvDliSz5flMR3rodvIFeblB0TZNl6kHc1MXNm+i6Rw
mpgjEFmTe3Inz/KK2JXbXhDL0GGuV7mjYDVu8s7NHXFsxYMUePrKzbxoD2omLjTmbi8u/6gcW6nS
ESew/PhGrr94gYz6+k5U/3774C+G2ZBBJS6Seb4EWUAre0HFuobigRvrR+0We08wX69739JySGTI
c5lXYWx09pWIg6NP6hw6cfhV0n627U5Xfub+SgqwbAWwHJyQ+tRlOPeFIBAlxgPl0PHEYz3+HHE+
r38M2p/XF7PgclDXqBNjBW9ckppzM2Fck9y6VuCEZNJ7IdCSm6RQg8C2wOytlFjkhXj1h9OVbJ2n
+8UdGEJrlxlBFDqy34nvqLtbrZ36ofTUD0yM2gNKLrItAhf9XqUdYHWkPN5iRB/vEtR2jMeyj/OE
2M1LeQ9DqIi0h1i5Pysky19H34t/GEalHZAyR2xmaE3jixpm0re/3y/YcURSFXoxzDWc71fRcE91
ohs44OE2ro/kFLO1lmttrptZ+vqnZmb5ciq7EQ01zCBKgeT2wavB1EYRYqnv/8LQhFBmup94PZ8N
tdRCzkeVfL9JDKiW015VP0tmVDxTtFF+jLpPYnDd4oLHQQdKLYX4wyT5/L0B8FEazDxg/l6PjgJ6
OCqavG4d7K+buUihp0ob1w+Rm+UR8c4/lFLKLgh+PwbrXiI8hpoqreSbwWpQZqXClxf1pml+/xub
oFtRLOA5Or/3a7d0B8/AphVAutfitsdceiozHo3JY7RW4Vu4mP50OhRgteB457R6UOppeqZEsaOY
+q1Ikpi0xkZvfgc1NOHGGgR66bNRWSE7n6qxdLDO97NwaekjMRQ73mjeiBq1X1PbytVKiFjwe0in
JCo4FJd5Xc3CUaMhpGoJSHuKmb6fighhktsdoql22q3cFgvbh7/z7KV3Q4ydO0hFH46A0ocOtXW0
K8VWuCeIfO/TqkYbTwR6CxfWSn1kYXn/YcymlE8l/0/CepK3CK4pFJRRkenplLuw6JxEFBDSSA5u
97dz0uQQZ6ZmaYs50hspIgq/UfaeQ0OFMhN6VB++uhKpFvzizM7snAWiWGtKih1EjmjpVVujDg7N
qP591OCRwh8UtJlRnucsYiCWaolCFztnbhqpfHARKk+Dcnf9BKt48SyjVmnPguukpzexm597udKW
WRg2k25r+LnTSx74L9cNLGwXHXyQNPSP4D+dd0RzN498PWsiR/c7TmqyyxQw4u5f1+Onlw+xjzKI
QktwflpFrTJ9Qfeot8TZHQ01OBXFmyb9CUMpkpJrXfT5rnF9UPinLQVqgKLf/AlZFYrgSVOFokxN
Rk1lW/ZXrt1FCyimMDWn80ydz50kbsaAm1/HTgpBjqW6m6L8y3DwZw0nFqaje3I0gcmbMarcPJKy
p9a9HbsXMby1ogr1yBUXmN9MfyzRZaLwPg1DzLvUjduWyKwBawjHh6I/iMXB9bcpk4im40fb6+72
Z+tPHXpmbE5LW5SuV6YSxspik8j33bBPAMtGW8k76CpK0DxNP6FHmrkHU1krPv+pv14zPrszXCGh
kahivHionsTeFt4sZ9h2+5/xvba5Z1SIBuX+s3SwYdiwJSrhuQMy0zGdbpvY/trPmR+9+VbMIiIU
AR4AVH6NWNyVgyNbB29t4nJK/a8teBYMc99yXWnERBNvmh4BeVsbN0A6QmsnmE6VrTysLtoe/1mS
wdigiUYH+du50yIxHaloxnIp57uqfhTHD0TCzerTgFR3/ctUjrH6NWc4kiKIk4nfKm0FG7h0LMnh
KIXy2iepm7b85NC4he6FjcJ6E6tyGFKxW3kljVu0wPgqlMo6yIe5BXHMkcvQxxi4N1pByb0YqCuV
uUsUEtELjANYc8LXBNs8X0TJtArCqiKSjKiH6rfJ8CxZByG69+pthk6xFUEw4ugFf65U3pcCwYnh
+dmMjNarWxj0HMYGLMTnle8hervDW5XfSPXmeiBYcv5TWzNPCZERlygkxk7uZTtEePNRvhH8YMXK
2ormR6xAh3oIseIriq2Pn+L0VgjY1O9ifYDZd8Xa2ppmp61B8KSKxGlNiqMYX6v6Bl6j69s2TxKn
A0YHnf4SQBVAATPfQN67LIu6QWreVYuNXga/AljRbaQQh63fe1TZ9GqNQ2RpE0lBmMufOvcXNMI9
mpuBVbUcquilrtGkdgTxLZMYEUft8vX6+ha2kIYM4xw0ZnTqTrP1qU0rZYKOrdpSe5QK9de81sdd
bIDuvW5p+j/NQiMKSypoBB5moPFnljzRrbXOJFQFaWBLQK+97FGN0feTQLNMQFdlZ2qpt2JVWtjM
U7Nz7Qb0qMlYNOJH0FuHaSqOobSNF7wrA5qzgn5T5a+l59+2frUhrXBcnpLOAHYhHFO7Nt7UEM3t
hhKj9OP6dvxphV7uB24FUTQJzbx2W3pofxkpzsvkPARDjRfd+FomyowUBeG7DBnDF9OKrWMANeoh
VBntKZu6QzdOrqkr1yO0R2Pkf07LXHxMXZQmNmJXazHjjlFDdbLr65u0V0D1ZYOubJABzX826FR2
G1lI+p9xGqq/fLcMdpXag8/uAl3+brSlhsznEN0OngkwhdRhfG6sUsIpxOiLWxXBEcHualckjK3f
oT9l3Udim610W5c+GXRsULBQzIOhYnapeI2otgmi8Y4xCMFe0Ed5qxfWMc/L8qgoWbIZTNqwQ6a2
f3+b0U42qFtTFGVEZVbb6U3fCMfRg4oyf3VTwQ5WM6KF43ZmYRaFO0CdQ5gwfCcUuR2glN3cuGvY
mIWQRf0TDYCJQhG4/mz7kgGIhNWFrEK6E/tN035pjZ2CgnD3ft2FL1BpBEcsERe5nQHDzWtHjRIa
3uAiA9Y4/Q8wepvENnZRYdvyS3Acnfypd1Ynw9TLMHJmc3Kek4zDTOW61UHdOf0O8dvbbmtuxn12
Fz8UR1gCd9pxLWtciFtnBmdxK9bqUjdaDIp77zl5C+6iY7+lVv58fTMXnP7UzJ/24cm6tDzw9a7E
TLszdk1oVzuN5bRf/n9WZv4Xpv4goUbF7v2gufDk3jHjKmyU43UrK1smz7IA05PdOu6wEt65e4gA
P1ebdhvsjJViykUXaOZ/c+KyRlLhIu6xoz5Ju/aAWPyWuPCBqsXT9QUtHtt/HP1PC/Xk44yMMFOz
wpAuHkZ345VHV367buKiV8liKOGRg07wJchrZn7WIBUu1hNbqBR/yYUbYu8ma7eD/uwaO9PaR/Jv
Q9xla5KL84LUf6yiXEK8QMhrXkPU/MbVlTiGusVqmbGukQA/FFwC2Qpq4v9YHsLjtPiB6syHiKS4
iSvgwrBj6802UwrbNT9n4keX9bbhSluzdSlRCc2+6pKNN0bfV3Z34QsywTQhHHgsaVTezsNGrjKa
r2YaLsno+DbfIeAB6t3Jb92DJ9vWXmOEfy+9eJ+v213Y3jOzs5MQh7Wk+jlmpeqG+XpB+Tlk97G7
Nrb3J9LOkwn6XfB/TIsDQni+PEM02rrwVQrPMCPS4fX99p70gApTI1QHUW1Mz9ajvP9upmrzkPZd
rthiG+UItkXVTYf053McZZVn1ygGvpWgOx6LWGi+51DyrtzuSxUJmo+wak5PLjpbs98aJDmZr2Eh
HvnUvFt2slWgVNyIx/Em22XMMb9Wh+sfYeHKODM4+whaBvEO1JhsTvWEhhXo8+11A0tf+XRFs3dI
rXq1ibYtX1lhht/OBLQkA9EJ/7bUymFFpHWii4YbWaFWdf6VhaItmkAiPzH1Yts00UOKjk7TlivP
0oX9Uii+Q302zZjwnc7NoEtOiyvqEqcxuw3crZuyd65v2FKKAuh0Kk6CqwVAfm6h8yW1m9QXHXlw
Smkrp9u2ke0qbe1SWuMVXPg4VFvp4KN3B4r8AtYkqnncusRuH4hA+rXsP9XZNozWvHpxSSdmpk09
uSIYCCj6cCAXGvbWixfbspM9G7fxJ/cRdOJv3jXoQck7mEQ2xUpo/XOdzg4/K6TczwdjEG2OXFeV
CKLpiBVKL9qLeqNuhW34XX36rj0wJtY60REd4eYAf7gTHBVnOIT7bu2ZteAyZz9hdsQizQpkc5g2
Of2im/do+Fx3mKXr48zA7Ighn9VqgYUB7QcjpbVrB3Zrq5uAdrG/bb7rK22opWfjmb3Z5/SD2G9D
Hw/1j809pHXpxr0b92pjjzepLT0J++Fzgw7zu/Jaf1lZ6tpezg6HIMRKrMostfwIj8gsm5v2M6jh
zJYmR3Lq52j39wHybLHTETrxXX9ox5Y2O3EFaQxR2Hr9GhJ8bU2zkBKKzHon05pSOTrqbQjV5coa
lo/5P4dgyq9P1lDkflyMA2soUm9nKblT9Z/12q6l3fXPs2gHdkHG6GhDaXPIoNZKud8m2Emkp1Hr
bc/8VisPVrg2yraQsCBH/Y+dmQPqdB5gJOKl6AmPQ3tfdZ+FZs3Tppv2InCc2Jh5WqS7ctW32Bi9
59AFLZZsU6SWve5Qj/dy+RRA5Gd9G/7FdXm2tJm7MUhnCYE5BQsV+YPKadCohZpUWftUa1s4dzo/
G2qrYXmu+aLln0qvt5U1+Yo1GzO3G7LRTeQaG6X3PJqHDJlsdY2Bd6nKDw4c1gzypYkbevadGlMO
gIKzYYXlsWMbKzjAYFFCLGeIb8OA5tZ7Gb9AAAd1AuS4MdQzm+tev/jUYliEUv/EyALt8Pnxyqoi
qdoMt2+KnWI8tckulbxdXzhuYtmi1dlifxdnK2dtucAA0gZE8h+Aw+wL1pqvl0NAYlVu+o17zL/D
ekV9wXJi2/sEAc29+NwLzF2sLHZazPxcQK78X7OzjxoKSsgumDz39gbvyn7n2XZ52zvNR/FS3K49
Y5ciyqm1WVYHCmYcSsmgQpkccpVhScesgM1ury9q+s1X1jTHLZVWAjffZEUrP9IczM292eZ2VBEn
mXv+uG5sMSU5WdN8vkgSin4sZKxBcbpn0pdPFn4yHkiBQjthusmWPzzqRf7zi3JTgqPbIFTUhmtJ
w9qaZ1lJ1sONxnRD7IyfvgZ2dD8eKsd/sba/5CPD3na5zwu7ub3tV+LqUkzgtCLYxnQkHEYzrx1z
KcpMkVQwLjclrJcTP5vwfH2Hl15Rk+7df43MfLQbAWmVA2urd+1GOzQP1BS/JXfdxrXbfXdo1jK8
xQzs1ODMTZsSmYRKwqC8l+Kdu+9fvacMYgrmxmw0CFdeCIt7iNauROquTq2583jTUd21iinfC1KS
57s6PHRrz5xlE/+t9s5hnFlXhl3QE9LUJLTBbPWRZ1ftyjoWEp+JTPy/ZY+ZC7ZRJEIIT9kjC3o7
NR+ktex/IXpQfiX35++8Yuev6dhoqxrkAnUVgnAk/O77Z8G//2uUz5860YmZ2TpqX4Fpy8KM4t15
4V3rHzR3JdovbtWJidkVM8qCWXgRWja9TM8ceYrce71+aBa++NleTb/gJEcUSq+kHsEi6LvYmfXb
h4hRy79eN7J0MiGz4IXOG31Sypl+xYmVsTIjIZexEnoqes3UAvzYThU7TR8ozWCv1zZjtc2zt755
c9dAgdMxnMX5M+uTv5xYjwSlDQURh0vacA9p5QvTNLeDkdqeom/LKt5ME/OpWe2vr3qKadfMzmJe
EIcer28WPSrPlXsXa/e99EUpvyprlOKX35DCwZ+ZUrTYGVmZhaGk6gq9EhmrYBrXt6OmeEjQOI1F
fwUOdLmPE6ICyT7m7ikaXOT5dVPU6aBHTpJWttrc5/1LVwxOpxzFet8ajxCvXN/BpYVNku70mwFu
AUg8/3B9nuhxnjMZHseOIL1F/rNQffl/mZjjDbRGTy03w0SuNftS/VAaHeGUzXUjC9kqANFJABEd
IKYL5iVlV4LByEcD2xklO/ltooL427Lz20qx69I2vgr3+gva34frVi+Dx7nRmdsPQm4wUYTRwui2
elhturVIvpDTYAJtVFwCJXHK5ecfqKhrz4d6HBPb9BU9WSfZhfv0aN3FR7jLMic9KOm7sc+dp862
7sK9dacdry/yMtaf/4JZEE5UQU/FgF9gtFD1HjV52yotd9b7X5sBnTgVGKHqm4LJ+UI5XohiNQEL
bN4061bpd4b4yhTedSt/qpXnIQMQJB7CSAhIVXBw52ZEiDmKJE7ISO3kOXqXWtvbhpJDWccOboK9
y/i2Aq/Gfbv1dsmLtZodLhy4M/uzA1fEo1xZ9D4cuB520ibeqV+kh2En2/Gbef/T2H/7ubLg6QK7
suB5i68RxzIJTQy6XzXJ7kQnem9vJdvaavdNv5N+I/lnr5i8DMs0PADMTlSSU+1zdqeG4iCUWo/H
lBvhJXwsHtqXEIz4nZ5TPhv31lfJiTaF6yjaakNzwVl5sCLWQSt/qvTOrkFNGHQpcj28KHZjeyzc
51hsHrpRqI6S6K4x2y4t9NTa7PxHhhaOgiJEQIKLCHKYb30av8reF3OUD0P9+/q2LnjOpGYxCZ1B
/nqhsRaGue8WBR/SyjynF7/1Q2Pr+ct1IwsRDYJMIo0uMkqvzWvkvdTXmWGBPOoZNtAQWq2Np0lz
bcUrl8xAwsOdatBauBjJ0QIzQQi944lNoR9sXW7+fSoP5xtdv2mGnXGPOUogsAIBvlaALiNCWrLx
biWTJPrm+m4tfRLmhhlhmmyBZjoPJqoRM75s0mgTzKe22sXNRlNWTEzxYHZ8mZJlAlCZaI0vGrSD
byVS0QIQNtxdNH74COuGwTGnTSvtGEynubAmJf2fAdULm6jDTJRWrGre1/PhVLJ8j3EIJTer0RZV
d3ASV3Qfe8XAzw2fShqbmasOxOXNxurguiokE+wKpS+hsNl5AWrVTqDiH4xVd+w6QX2HnJzXSCBC
jh7mSjRuWoWESkz02t83XcygbEtydVeVXXNHu7F8KKTBa25zI1Af9VHn5hmHcSfXg3+ry4n4VR4y
87YPzOrYcBADR5IScjN1VCVAk3QmSkbGLf13Imb9blTN4XsgDBoMMW7y4oPg+5xHZnOrWlG/07Dx
lJuefpunqQwVW2+1N2qs6x9t4Rd7ORp8ye6brh42kiekD1lgtptRjKeBr1JkrlWOw2one1J2bHT8
zS47I3ns0rIeb0GXdu6jJYjKp7C3zNbp4Amt7T71syOsp8N73pQ+xM2t5dmZVMvINUf63g+UEQSj
meVMNzRD2Nmj7Auf4v8h7cp648aZ7S8SoIWipFdJvbq9O7aTF8FJJtpF7duvv4cefBM1W2giuQ8D
zMCYLhVZLBZrOUcv1Pe0mgF00zYx+sYss8L8jZL4VjkN9bEnRYNJ7zwqbooyZUdsoxECgSyd/tEr
nQHFb0jzl7jTgdAOeEZ1WzRN/Ktpq0wHl0FdIAlkWZgS6ADI/q6Tof3K5rDneN128l0La2NThx0B
4VeRGScSNciqtzRQJPfHZQIFKWgAxMCRc/AbsZUoRqwaKRXDmz+fPTIibaO0uzlRd3FbguwFvM+K
LM9wMY4OM7dNRAXoSQQdCigmzk9yn1dVFPKOS+UZCari9M48a3bzW/LyEt71N7FHn827dFP53UP+
PdrYCMMAU2hINF9zi5w4Dlh5HK1PTLmaQWgR8C7h4KVbGhpuN0rjj5UL0l6KEK4sYwhGZrcQ4YAQ
BTzht5P3HXlky9UfnMI3HqtDfKpd5yDrNJKpJoR3wE2zWDtAbogJfyWb3KGQxKkyCUJk104ahiM/
PSXOVxPfjfrjdW+/8sa2EVIgrsDQIvoIxGaZFu8PhulQxI5MV75ZvWV9LaIQScTKLlD1ceYm2+YB
qJNdktN+dtsoiHW/TfX8Zx0aCewX0OiAs+0rySWxpvryOhUCriwMxiHkEw9D90VBSEsjSXF+zWqW
AvgHLN73dt2mTK/QRlsN+muqF7sKnffmVB4L/S8kLa9U4bXh5AU8SoI2zGb8lprUT7rSrwtAzhky
IhfZ5S0smso6Vg4KLu9m2mv1scFTW9ZTvRIfgoSMIB5FFzfmFYT4IO4nvYc34z3VxTY3wS2xo88R
YHxIoO2uG6dMlLBuI1PzdFKQ+w7KeD+EhyJDWyLIzdXbKJK8emWihIUbNSsEVTsKFWwM/JbG/kT8
jL0StfILRQayu3YZYF4N7H4gcwPltCCsClnfNSBu8wYwljfgDYk8g+xBLOia42FIZEaxZuhLcYKh
N1pKpkKBuClHtb/3J/VXADrN7PX6bq1U+gFPigZWDNAi8YKxzPMD1TsmAEJLdMB3m24D5q3nf1BD
/oErp0atKXaNnbofbpx9+T44vqy3dM3wEeQjbQuItMuGHtqNnZmZkB2BUgC93Tb6RLSZba6rKJEi
vjunIlRpPOFGBfuVa0cPlDzRbntdxtpuLTQRkyP5XM9VOkETszTpbjDSGgVC7XYGdgnKykHy/P8T
J5yxeCJV1mQQZxg/MutHgQi5DEY3St6uy/lM1ooB+FIvweiTKrc1hb/C4g/nRUWu0Z1PSJrh8jxZ
GxS0ete+s7fxd4lY3ml+IRZhB8IgdEeZIq97DRdSB2AK9XrcoLnpOeZTpz9rE9K4sQ9EgHaSdzas
nW/eIMnZPTAKL9LlOpEWDSEjWFNWlIAGMW5Y1z13Qwkmg/quR5FZcSRdU2v+C0BaAOyA7wWWgnD2
EAmDF2jQEesBiWmjGA9m2gWuHRfqAXjy76D/ltXSxbOAqeiz+XJux4vrMyZKAqQX/qAC90RWl0bm
lnjN+DWdakkhQAwF/hWFQXYEszDzi+C5x+OEaBBlVsrBnqx7tF671+1EJkLQZjKjPiwDiKjL0Xma
wzoBAF4YPl2XIp5tURFhl6IJVafZgRR7UIA+fjsTYG0+GXhYXpcjWsO/cpBZgSkg8BZT+0NtAcF9
KnHWKvLc95bbO8Eer61NNaW3hoLk7nV5osEL8kSahsk2IsRreN04ZQPE3DpiHutDyw316msQ2Nsw
DncRS7d/IRW85RwiERA8IjoSaOTMJowrpENYdgSCaZn9o4O5uSQPuaGh5VIi7qJz41PLhTzhHgXw
vtUoyFZ5Ya/jkTy5SgPyM6J64fQ8mPc5RmnMaeMkkkvnYqpSlMtP4uKkEa0MVTWCXC2Yd0a0JdXj
ZLwMZNdC24ntWDN5c1xsu+ZAZcBYq5a00Fk4F3gI512YQzZaWmA51ER7CtqosvBWM/GAN3NJqLzq
VRbyhBNCRgcQFYzrqp9CLce8aLSlg+zFuHoOF1K4PS9WdC6TsKu55UyOsxnN9tvQdC4sNkGVUTZa
eQndyh0lsABVfv0AC0FQKWvBQt8QXHStiXbmqKvdssJFy1Hp4uAFDXydS6ZTUSNCUg+quYuSj4BS
rw/fexll9oopIYsMiHUgrPPpLPG1p9qsS7IA07lD7RhPxaypHOfTvAFbUe2VDq7IjmHCLw10lEaK
HA2hXYDuzC4ZNo0R23+z2Tb4PAHnh6qFmBroda210FiCxGzc/JPb8RF4EaGb2aGkArm63Qs5ghEb
oNUFKCJ2QNFBhDDrntLqwCr5Fv8VOCdOAp7SqNdRjLueG1ZYAZOkHBHk2MrkuAZzKjd3mMTbrp0R
gKwAwgHxrnkBL4kO/RFZQbyMO7Rs2WF5MrPg1LX263X3urZqAN9B6o5jUYAL5FwXq+yVCLjTsIaE
Fi9UnbIDIBC6U4SA59XM07fr4i7aYribQ54K47MczeHCNqMe8wx1jExEhvx53x4A2MX6rxSvv+nY
KZlbWbfZ4DeyZgkxGf0p9jMtrPEaq9ijz4aC9l2IpDqs4WS3JdmhX1R1VWY2D3Z7jDIQVzKUW9mH
RN9L14rBSA1JMXS1cERFwS9UID5rMZJqumHjADxxbq2TEo3vSmPomxSYkG7e2W9K0s9v7YCUaZtM
xGvS+Ck0jG+DFr4adp3eKXSad2mvotc0BOLl9U+8DIrwfTzKw9Q2xh9FFLhMURsF1Qi0TKM5u3wb
ivfrv38ZNpz/vuCGi7yJSI4JBiSJd6nyaukvY/aY5TvT9kuwZ14XdnlqzoUJRUqSFGQuUfVwg8xX
kc7KjHCLIoWk92DNw2roaMajHgzleAYLu6o3bY8KDlANQbbkEuvVTL8ZxhelGEHFfEr1L9Vw0/Rb
NbjVQYx5XcOLfgEw9nA0QnRboo7FgfvOT2xh9SyrjNZ0de2rlvq8Wlj1G4v8skwP0O51M3imOWyc
4UuQom3PuZUiIH/Oni+fW/9+AkaxMecPGFjRZBTKqD32MGprKjda6adB5VbxsSWbCOS4pXLfAYyk
T3CMqTdWmlew7ahvZjxZ0KlEHnR0m0f7ChE42MuA7OK1CVpEXgrksWrfUCNPRWGyMqPtYBMPA7Mu
S55JvZ8wCD/atVs0H6QI/VS5bctvOfmnqZ8d+544u2TCzCkw2gGFl+XPnXUsChkWzUp4yFf/t+qC
NcexFcwFiOJRokl9sD+5I8CCwglsrvdj5xvI+U3Jk9nJioIrh+hMrLDpyThizmGA2H7adgNghrGO
z+imgrGFJ4DBSR5Kl+7yTEuDv7eXodMwpHYTQhzDE7pFy7SaHdNxdFsMPYKMhk4/VVvWRrxydJcq
ikDRcYlBZaXoTaTHKPBZZhRPwNk7SwsmOr790ng/O0HxpkDPxrluwTQFNO0gZ5pHgAfkbh08F9k/
jnnUukfLUtzU8efUL6e3oU59qm114yemUN3BpK6eD64CiNbSuB3GXaOmrgJa3esH/PPKvfaBwgsk
yENiMg2Lb4ZYfFDyzLB5kkMczrwFEPV/sklDO7u+scKHOf7GypsUtdRWLfxiBBpDjKEU57EzwJRU
3duYaaqtO72hspttdb8WUabgA3urV6epwTqGs+4rluekX+LoUIFSAMj5iRP6xHqyARYcoZu5eutK
1IR+EmZLVkv2FcJ51KtgtNIAX4F6v0uCn1WjuUWXy5zuZZiEA0E5WxqalJEWF5VVnbkstNF0s+ox
17cRkBVI5kYxJvgdv3PeLfZVxYLjZYx/PsyRbVTn61AD6fxFYh1c0oV1LL5EUJgBwtAwGnxJgzpN
Uu07gG8UaQXKyaMTIOitfc3gMfC92jyhThrOd+P0hSiYwk72HaByk2Ry9e4IcnGvsTe5CbCl2ADh
E/Jm2btFY7w1y931b14J+vjqEVSgKNo/LpiYlDQbLGeYTNCPvAf6DtUnxYjcuiG7EQjXQT97LZCv
wQel/SlT6+dNxfvK0RQCZAzxpgrtnrI+nk1MeQwY9QAztp8r/U/SolX6upLrFvJbkrAvoR0ExKgh
Cdi0eBigvTzatsj0045KnLNMknAX6Dk2LUghKTRUP8BVORcAzMweiCxJfYFHJqyeeA2QorKtKYLb
QR+fbxOU8vGv2bHsZj+PHzsl2ejwTaHmzcqdpu504xjGaExAGPKaOe9G+WrZM/7j2zAB96Rw6+6+
cNDnW22Y/opQc3Jkdc5Vb8AziDa64Clais99O0bzA2Da4oOpEtyNUetbtfUY8jGOdjS2qQ4EN3VG
Jsfyc8f5lgY/6loBi0wQ72an9wEpIPFO65a/+CDBb8wRqUaQvZhuAZQgNpWepoIc0Dk1kQ4IqxIZ
nZtGfRha6lqxf90gV9YCaWI0sfEsgIZp3vO1yPVcGeIcjqJoI+SrlNugzzZtVspQJXgpUHBIkGMB
nJaTVVyQ8aAhBUxUFjzwaCqJp4RoqUmmCOAmUwt2l6BRtvh/g10QoHUR3CqFi3IfYIx7W8ZEv6ow
h+ZHDgZuWuygCyqjcYoEXgasZofMGrbxXGxYK4NrXwvAgT/0W44QQGRGMCVRDjlJ3XyMISABHe3V
aKmvj8AlY+ZzEA4HW01Pjtp7OYke6aDdx4RszT6Vzd2uLv7iW4RYoUudzFRNbHLHkx3mrq8PKr1l
s+U64b0xeKiMHC3z1OWSk8Z/92LTdb4KcK5ArRfsOgMopxZzuWlypFroOa2kGrB2ckxzIUHwp1pP
plgtsMq5cxdab6NxaPJ9OrwZ42POjuBZIPppYJIzsxben0kVDg1QpMOI2NDLtL5o81ugBLtMPSrF
Qx3/ylrgfW9VUG78xUEFcTq4LnXgEoq5CbPFq5VO0JRQnIuA7HNUN1nhSB6tfMEutmwhRljQWq2j
yeJi+AxPOeyAnRkUG2N8YgYFTr8kq3DRcoK7A5Dlv7USVhJRtt4qJW6plD1o+VZJbkFvFIf/ZJGD
TMMmL3Azeqz4qRG0vQ+SiGPVFfwnHONE574vS/JMazO4XaOJNoOj3vcGu+0zW3IKZGL46Vw+k7IU
Oa4MOpbmU9PeJ/R9DiTFpNWDttCEv2YWIlisRmo3YtfSWXHVofJ62WicTAnBnaWsVU3gcMOFRNHO
GPG4HMOjw5rNdSvnHkE0P1QswQoBikzOmnOuSFiNQDdVsSUNmvFiwIoE9q1WtaDguFGojLHhM64T
pCEG4JjYSJKA1Y8rvVi2kNil2STYmUo79tMvM9L3Rbuv2OjRBNNrzr06dyA/RkxiZa5i7VSr2dnj
s9PtO/OnQ+5U4ycDybrhE3SXtYXfMOaT4UaxPmxae2kro1pfc3dnHyxELixB5bPkppSkenOvJxMy
IKz9YThlB5hXgM2A/CV+DcOkuImmOUYFWL23oy6TxJZrxxY+CHEDZ4QCzp6wTVbHtIBEaKBuMWGz
iWyn8nWjVk9awNBNaYaOmxXD4BEneY4yDJ/RYQa3W2zquOpBuaBZsgOw5pJBh4gONfAAobXwc+UW
W4l+yrG2WsN05+yrk6muWbyHaeZa1RdqH6oROKrWs0KUPzfXs/0Q1gEpNrxvGfYjqpAC0Wmr4rHV
9Yc0R9EY4OelG7YYm7l+RrhPvGa1gosOc92OgSiEO2/eFEihDQXG1uNiAyYDr0uIqxpfbIymXRe6
bnp8/I5n8ziq1flZIWw0CjriZJpD7TbHJLPhZMA94tt3mXVfTPUvQvOnGn3MEsHcd12o+1uwiB8Y
9pgmwSrzR/VLN3zV9F+ho/ql/cLqQ5uAVW1+LK2bqhvdTgbEK3oj9A+hrw0UHuhxA7GCyNdbhUYR
FVGdekgZkmgf1jZu38c53TFHsqcX9vuvKOA281k1tKYLy5tkuUn7HKKCR8x0axsTIDPH1ov1jfFT
dlhEXy7I+vyWxVnRtTKoigSyeg3vtTt0HvQybDfxQvoUAW5KHYy+vN9XUKceqZ5pAbia2vLWdBi6
lZ6um4X4vBUEiAikWdEiuxzlKfJIX4phS6MbFuyosb8uZXWlwJrGxxU5xZ5wQVjg1qqaDjDPhgV4
n62C6YBkkAR2a5qAUwP4HJwDAi+x84PFytlGky08eYRGsjzcpnRyM7bR/rh3gC/ZUhDfs8W2q0pS
k7zlgpq2PKW5kyL1rc2gFmiaBzyBA6/uO5BcUPptVLUGlNHmNqOxAfANDDZcX9i1kwUOK368cN2j
O+X8W7LWmNmsI9FkpVtVHz0tegrVmxZ12VGTVJbXTHEpivuXhdpFqVfovISoIMO4hvE4RLK0+7oE
inl6XoVFf9m5BI70Z4H2Asbe7Ep2Z/SSAHLVQkDA9L/fFxy+UwDOtR7x+1XxE/V3PyyQw3WsjRHL
suufXYtLZ/tpI3irGZwOG2CxgjHCEMHwVEMUUmJ+ZJr7MVa2ZghS1mzYtrPl9x1a6UOQ+aXs1CrT
3WQPh7npvHro3cTgrMSqGw/OvtPuusB5HArJWnDHce0DBSNue9aBHxQf2ClvNn2I6BGdCegxqtpj
Ve6N7g/bBcT1EBxA3kamE8VgrkjTBk33LSbSgHHPgHEvmypcczX8lfy/lRdCO3B9mBgbgGJJ7UfG
l1a5U9XN9UO3aqfIeABWHpTIaEo8t9NBKUwU6wB0nOinKNWAriNrnbtocPl3vX6LEEx1ooyMeoL1
6ry08oDgA1zEbbixMFlC77uD4he/4pfu2ZZlOGSqCfdNP1uRUvJ9QvUvvmsfgCYOlhv3p3pC1cHX
vNKTdRmverDfiymOfcdF5iDLDokZQAmz5qUBs1b2njUnJe/96/u20k0Nz72QJXjLYAjaFHyykHWY
T8aN4Veec+d45SY+ND/UH7prnaa9Wbr20yzpJZWsqyM4z8Ch9VBxbOwoLvcsiU+UZH9xxy6VE1wO
WhymMQG+tufQbseM4b4wCzezMonxy/aLa7q4Bqo+rYkWYA0ndMogzWwBF7FKfdI/D8mf5hiFUyDS
v4GbU596ilXTW+JT9iWnqUttybqtdFGfW4XgMZJmII0KAlFMPDsn8jj6zjY4oOT4tb0Jttmxf5pc
mTmse9//jreYhApULbacBnuFMpFapyjO3E7DbUUTt6Z+oe0cY3vd9NcFIjWDwAhJAdFlaR2NRzPD
yN78PtxVXnpKH+aj4cVv18VctGp87hjaV4BSDiqki/m4Ei/pgRDIseJTnB+D8T6zE/ROvFGg/qjb
GP0bGqbWMBJny0YyVh0/iGtsNOOBvkaMMYtxTpMygeioORYd2howlB8lO4mCq+a/kCIYS59YqRlx
KQ0GMuZnvJO38bF8K8pNSL36ZjpUz8kXcJqQJ+1wXbRMP/5li4OHmc0JqRscBsfeJdauxqCy3v6N
m1poJ1w7VYHi3WxCxpiHXgHoEnRZXNdi1REuJAgXTDiUZawokIBtdAOFeb0peQdcVPT/tUGARIA+
FM/Nz/O+WChM1ulzwSnDVW/YxU+Zb24rb97T1y0KBl5/S9/jbYRLzd42py+T2+wlH7B+eaN3+n8f
INjIiLF1RkN8wOjfBr7zI76pD/+kJ3pI7gxArNLCPcqmaFbP90KkYBwMTbKU5WDjLuzkJUEM5OY5
GNPniFHPMiZQVmfTUxY2H8BVltilVF3BaAw9HltaQTa9jXrXCn3nPtnSXfxYvJm3VuQpO06zyyHW
Jba06m1QbMMIuo50vinyg1Tp0CQ23+nYDB9z2wAE4cvQVJs4KU99Y3nFqD7W4/e5BcdcsiFoeLxu
zHwjxSAagNZ402oEqRyRpG9Q8kGvNWieJ1qabFVrUvekV5DTBFnXybaZ9uW6wDUfALsCOx8nRAFT
27kPAN+61kY9FHYiV0tLlxb3M9qhrgtZc3FLIYL5QvYYlwRCIuNHjOYuts8QE3X1S9O9Xpe0un4L
dQSrHcdqCvsOL+lybL1uKOCvZ0xzN54hw62VLZxgowiHaFbnkNQ6H2G4t9Jny9pcV+Yis8f9DiCO
UZNVMakE5OjzzSEUsxMKP/aV5c8nsqE+WEj+MY/DS3cT7a4LWzvvFliYQR2KtqoLPnpdr6omHmac
9+DDirephanHsnQr1R2cD0PZVuH36wLXF/A/gUSo8dhZVyZzA4E6MzbIX7ojbbc58MOui1k/0r8V
EznD0jHWtQng8J5+rHvvpUl8/WeNFOluQArY1RJfxqm4boO/FdPPd61kplbrBbdBzNIXG0L8Ins2
ZBCla9feYr+IEJybBVAVOkwKYbLrPUf/ZSl5uMl+n/99cedZMZ1RaFSRnBm9pA1d+cTrqsXxsO6z
6wA9COcS+qTJeAkIgY/1XLeTl4yvNTp/HeKGyiGe3tRe1ha56oc43gKSeuC2EnNbIRBmAsIg0dFO
cdB7RbItwsEdOg0ZhO11u1tdv4UswQp0O1NMs8b6ceAUhT7mhsTVXfQxfHqHhQTBAgp7Kkg9QkJF
0bR6LOtnFj7VxCuqXZeccmQRkiNAawdFczXqFdJGZq7BxV2FChPHPdNRcxKuDlC4Uq0LYIGYQMDw
T271aFSLldpx68Rm6MYJCq83xuops2h+D3LOlHnIsEcYSppJjZmsUHbyVl0KIEhRCEE1/gKK0NLD
oWoCA18E3Cd90wzH1pH4ZJkIfvgXx8LInamKM4JQMLHu0g4QxEVyV2B2+rr1rJ6NhSbCPYbLpbfj
GWLAi9bemBaa3wJFOyZjjGlcMzmCfQFYD0l4Qyomy3ethl/gDflvGYWrbahLbdItLONTBvLoe30T
fG3cttirN8Zj7tcb/YlDrspesKuHcyFVuOyGtovNvuQqA6dD1bd1+syiHYu8uZKE06tH87ckcUA8
SZreDmtIitCFXxPVbXXJ4ZdYiehoLINZVs0gISN4U5VbfaxdkksyoDI1BA/jjFpJIwfb1Gto1IOM
5+s2uLohwGFCcAgOGYBInJt6kSTFaFao48VIz6uml49+kt0qwUMy7q9Luqhac1eG5xne2fBn4EoR
VEkzLckMynBl2pMbGDd9/yvjYwN3So3WP7YZjL2Vf52C29J8AMiSRPqaoih0qODDRAIFNPSCoiSN
5pihDjE8OluyY0/zngFU7dBuTpNvoTvEPdVe13iKpPVuXS4BGSFQdxB8878vfEmAdvlEAUEyoKCb
jzpStnT8FpXO/Wi+GKmsf2PNo2DSw0YYCcYl5LLPhTGG/IY9IyelYxZ2nG/y5Pto2K4Jvqripk/9
pv3n+rKuCgSQORiQAFwKno5zgUqJEKVEetRLbXYzNV8bG2nQ8S6yB28Owpc5B8BUmkj2kv+oeCch
aOAzW+DUAaLpuVAL+Rqr0HoIJbarpge9v5n6v8kL4b5DTQDvJQoki3Mhjj12KCoh11aTZtsEM5rm
1V0TyngDVsN/zKQ6UAf9n4CSO5dTD3pKU4s/BuPsdqrv5wmJ+7q5w6T1Jm/JNqqiByBNPk1J4znZ
x/XtW/MumCfEeJQDVj2UA8+FU2cuwELI3x7oslHGU89+XhewulUYP0IZGsQSqKCdC0AzbzWqBsIH
TOSAjwpnX0G7e2hLLIJfyBcWsRAjXNiqkdnM4nEY6KTcTtfdLgff3DOJ/OvqyOQIh1lj2tB3Np4Z
AWLYGKDDaf5Raa1nynBpVs/VQiHhdo7tgHbljHVjOnpanA9SuiR7bsl9Z/kFi/eNLWk8XN0osCNR
OA8gJoo4BeXQOWpdwT2CsnOa31UK0CJJt+iaCAfTleCcw0ypLt6XICBAplpBDtRJEs8aNwWIaFpZ
CWzNopdChEsGvAMJiQoIyan9oNLu0SmertuATILgGAyjyNmUw/tUZu9q472ZSbZi9TGLrg1whRKk
IdH5IhwadYrDocapbOw3ld053c2kPyvdlyR61AovulVukQWfZW/oNdteSBVfahFi7czk+ZshncEu
8tpi1qO0gbm0u75+3HTFs7qUIzi8sFaHsVAhR6tosYv16bEf3+rZAQrjjxwDm66Vfr8ucdXwfq+n
KdpEkRosZThMqal6tAHee/eUVpvrQmTLJ5hFrjd6WAdQq3d24LB1Z4oxadeIJC92mRhunYtwglnN
YIwWxJR4cWbj5Ob0ezvsS1XWGswf5te2iS/qQhCZtMzS0Y7gmcjph9PHHGDDboPyqR47N0xLTzd1
RHJ/0cyBchPGj1ANQh+hmPFwkjBpdH4dZr16bAvrru9erm/U2vHiFS0H3YpA6QGO67lmgQkeYSfg
IqzqruJpAcwxxlHn5onhTgOmZNWjZRT+YL6P4btehpJAeGUL0UuC1k1gcxHMNQsrixl3LY91XCIq
quUD2yXkPVK/mbHknK1Y/ZkY/hmLDUSFIySpBTFt2+2DFhRxpPrVFqp/fTlXjvOZGGE1226u+riF
mKxJbglIXi2wkjyOlnNbs8B1kB64Lm/lZrTw7kf/BKCkLrsoEg3E9gmGOr2EVq9EZ5uo+xUF4U4Z
nvl8/Mi+O7GsU31Vx4VM/vfFUqJxdTCrVucuy6/n5zp9dF2jjN2klTRLre4Z3gmIa0G0cMFSWDZ1
HsZcELhCdp0dbfs5P1ZzKHmTyMQI+hhjHVqDCjFju6voA9Blsz9H8UOoheECDgKHwyx2MrVBVRap
DaqBfnDcIt44NbJWbo+QCXPk1y1iVRvM8WNqEeNNKHGc7w7wOXCkuKgxGvyO7o2x8zJZvmRdCKBN
Eb9AMxE/vskNzPSbNrJOQ+Fl+pcJBJ9mKLn51+xMU4GGg1AcyyZOPYfhqCthh2FBkmi7IEJlIyGA
MieT7/SO12YjEqexjGVgTTOOOWrz4TAMYPK/L4w7GSgexmUIvL7WVj2nzivfcnoMZhmzRL01x7eU
JHikebYAtJxCvcghXtmRU9E7h7CIfNw0hz+3CYB5fEKYGAD0EJTqMyXInBRJ4HKkm0FNdnVCN1Pt
SG5j7tyESxLgMniHwtY5spBw6QPMxskYiGUxV1248bQD0Fxk31DLnZLtdYXW1m4pSbj3IyWfg2mE
QoWynUfdpdb33tn0MugE/jPXFBLWTVN0NYS6EGPO99bg7BgrJQ58XRPO146jZAK79NzeQI5goSSK
jFZe/JpGJG/frG4zyGgl1qwadbX/pAguLk5BCR7xLHFXPrDuMEWbcZT4HX1NE4xfILNjAV0E8D/n
mpRjn6dqYkITFx7nZ3mKn6bji+JlN+Pe3NY38cE6op57r7vFHbqXbx5VH/Ha23XDWFN0+RH8IxfH
N85zpxv4R7TT3Wi+Kl3sqTIQO5kMYcvqcahx40KGTbYkfB8AdobBh+t6rPk+FOQdSwdQNiHiiR0z
PR3RqYxEZDJ/L/Po1Bv5TWok2wycBGZlu7YWNRKZa7GEAXQYnp0D9aUYiZkMbFltCL3ivvQ19S7B
tVHlDNNPoUfLTaejICaxfr5U4gFbihS2qweYe1iq8BhVbt2hI87Th/xHX2qb3LG3vZXvr6+qTENh
5wgQBIyAYlUBGMC8lowfQQmyiqxv3lmvflWdkG2C2LnL0Y8sWdy10hVGEDCkpKJyBOhDofSX9FFS
lRNWFy1kWyOODxrVPa0HL7LV7nHZIBuZ+JxDo++NLfpHN3b4oSrhQxZJLoPLc2qYBCSPpoppc2BX
8kVaHJEhi/IyHpFkzjrH7ckhLr8l9ju1ttfXet2Cf1uT4HIUtUvHrIS+s6WNO7VEvtC01d7PLeVj
ZMFXlWm3kSmrqFwqhyoNiO556xoGGUWSiHDO9alU+BU03OC1Zoypi8mzOvh1Xbm1PCXkUAsQEYaO
zITg7MiIES/KoF2u01s1pd6UUR84qLtKSW7y9Gtr5wdzDDE5M+1Ds/txXfzqseH5QySuKfJTwkVL
+76vgSWANxP70aY5TkoMhPwekcRHrvwpJiFCVjRk/BYm3LX4Uxw0jYVcmB48lfQ1ndOD0wDwWvmb
x8xSkrCoJqvahNZQawJtLOKMG6uwEI5b+25k90mr+nXUuvYsnUVZNZqFhvzvixNR4E+2PUBulJR7
Pau9BGD9ZoXpEye7HafJQ3/6Q9gXnp6o+6Brn/OS3lvxgEnQNttVaedqvYzkbXWLf7sLsdLMgZZr
gCfh+KBgkEVbgNNQ4geo3k3frxvT6kFdSBK0H6zaYVoE7cn4jRiAVNlnKH6hSSQA8AHtJaa7enku
pAkumE0q0YAth0vGwHDgBGwV3dWAb3ldJ5kUwflEQ2oCbJ5bEqAVhg0xa8CKy6gzVm+ThSqCIwWe
WRdp3KPPXfsOnpFTBLK1PngN6mhDaLyJo48CwzH/L81E2tW2Umgw5hAaqLpPAMlhN/GuVFrJxbwW
+YIrCK8gA1gJQDc+PxJW1pSmk+KBF1rmdkjoPpmz3d9o8luEfi4Cgz2g5lTgV5o+PCZWhG7+6DWY
Z4mY1cO90ETwlcxoQcExQRMyhYe6KW+1/kkrbPT4yEBu1kq66JYl4DrDpCGayoRFI07bACTIQfAZ
di6gx2bzKWtc03i1CFhUt11wD2jagvRu120AH3t9OaXShfWMEJY3pIaiOhJpjDzS6BjZQPK/0etN
1n2n+BIgvAJvXEeL4LC5Ln3ViSxUF1a5sYaqq3lCgMU1XpfeTHdh3Plh/qVwXKJIrHNtQPVspYU7
KQyjMsrxpPWi+c7sNyV6/s1+N8c1wjfAVj9luj8mkt6DVUPivdD8QBhgBTu3V/AUDKAkgcwyiA5F
DeIPFKwLW9l1UPH6aq46f0y8gX8eFDmYID8X1U9mDiwKpAaA/o2WRG2jdASgHo03k3fEln8cEHJs
A26wgJwC77cgbWIAb1MIQLLxFAGdUpr9bCsHqHkhkLUAn/Tlum6rCWeEn5ggBOOZroq5sJA5NuCO
IA6Nj2TXpOWpbSrmm204HvpkoruOGj/auGqAnNgx3xjt0C2D+TmnpSnxDZfrjFCYgo4IQRRqzaIz
HVhtdOgozDxiDxt9zA7UAUJiQ4DB+TUcicRqLy+lc2nCAZ17oMwlNaS1s+ZXur7JrIdq/ONkJhfi
GGg+4PlgsYNFj9IxtJwYo6v58GMY6fhgW/0XlrRMkuxZ0QbGgko9INIA2CzWL00CTFiEwYBWV741
4NPq4o0UE+PyhgUVCeJ4Xv6wMCLI928RmGndOAC2hx9z+j0LDnPmg2wF8Bf+mN4w9ja+XjfNNZXQ
9wNiVmRckHEULnS1VZGGCwH0m04bxd6b9vP8511SBm8t+p8IsQ+r1AfgUpUQUVe3Wfi1ohulkFwE
ohbIl57BYYixj941ADoFRAE1OUXwV97g3MvKvp/bu3y5i1KEtSKUVn0wQUoCKJ4+bXbx9MqmGag8
vmF/AJtAwwA5sFRBRAXsCUSxkT8XCcA5n8uk9dN4y9p33QGiKogj5/fr+3jxOvv34wANDBwx5LxE
j9YURZmXkwYs0O7LON1kxsHItr1R++O8D6efTXCTEy+VcWJd0MeKYoUDns6zoTgFAOcG7j7TTQr8
kTiLN62iYDjNtzXbY8EHSJu1qHZZ9n+cfdmy2ziy7RcxgjOJV3CQtCXteX5BeNjmPIATSH79Wdx1
7rFE8YpR5XK53e1oJwEkgETmyrXAGm05Es/pEGxS6TFTIZ2IvnAnBl1pY+/rte+b39HfnwcgMCib
cM6jhft8NxUxBAVDCbNi6sKNBxSmmo6S9p5Zuzr5GMbHlVVYszdzRKkIkA2uMR1x1G/B9ahEgoaK
X5a7VLqJypfOfjKMI8q1IWqokn4cLBAaBF9x70bKg1nylUv14uKZj3/mssi2Z0oXT8tjvOftuKtS
iMKCGqWNXlTJSdrXQQdUJn3mA77IW5mMeQF5ZnyuRIGI0eihOGyAfbUB99IhZaVvsiMDQXYGmrXy
Nwl/xf86B6NAXU+dakHAGwGxMIvKOlnYgks29C7knRFD2hraBcZBU16r7rEoVuoZlxkuwMu/K8kI
kYBtnJdOpp7JbpSAXn33f/q7r/tf3u1T4K7RZV/2H8MMSjMggAeOCrx5s3AlkEqthaxX5Lwa9Oj7
lB7oZkMdb7tS8ycXAR8MQdYFVIC43SywYZzvF5WpaaEGZeS4R/fovx//+eH7R/9IYRY/8cP733/x
mw3dUfz0v//95w896uX0cHDc7cPD9s/D1t0/vD68/n7drnjXxUUJPjsU0ZFgxE/Io85cO+ONobMC
yW7h1I7v+5Hz/WO7pq1zSckwGULGVoGyCcQi52AcWRRZkg2YfHfvur7rY9AeXYmTllZYQ90PyFgN
kAQIqJxPfKWRLOMRj9Amv9+/7t3jp795+6XTN29liS8uCtzxZ5ZmR5ScBwojISztj0csm+OtDWVp
YdDKBF1cKGEjrT4bSlSQIq4jpCD3R9d9P/pfdAN3cLYrWYHvfOPpdTwN5NTObCBKlxVhUsDO8fPz
5zN0NOlIn3v6OEK1fMTv8d9g2jt4zvbpT+k8/XlCDwj++TNQEIFP//Fw3SW/Od0vv2gCUaMghNbC
KUw5id0qMPHkYa3AU6btsrvbYXqp42LsW8dZGf73X3bN2LSVT4wJCxAqg0/GXHg/9R832Jmw5G7d
FVPfb4ILUwAUo30QZxwEKs9NyX0dDA2pJ1PHaQf4u2nbTwcBhofxudPP/zKXJzZngUUA3dy25g1s
gtOE4peEgqyUvmK0SKQ5X5u3zf3h/nDwVhbxsqt/cqsTw7MLpOWdGsoJDOMELKjvP28+nNu1Q2Vx
v59a0c+n1AoUFQIb0/DcI1hAcYLeb+CpL2tuchEBfO+Sk+HMfNKM0kqRvw29u/5uQ2/XLHxn3i+8
A8RZiDuhFmLMSbe1uMilBPIZ00rtLfre+a3n+pv7X6X36/uodLbTHli5epe3/4nZ2fZPNJZlowKz
k38k9L113l9rT+A6GJzGrb3OdS3sCoqbUqcN/knx2zcoATiNB0Z5atIc/2D+Vy4mMg97vmf85MNm
F5Odh5C10f9Z2ukadY/fv2DjTJtnulFxjU6bdfoFv+LHAf/5vZmwnfDDnbbx9f1kTvvlyirNwZ0S
Z7yVz77q+9t895/be/qK6VvwEzfC9GPtC7TJpedfoALZhBQPeq+BbTp3+aIACa5eQXliMoyI4vsH
jshH+obR3zo30zHpPvhrQc1FTAPclkFQsUJ2AMDCeZEeEP5Q62zY7dqhoi3YvVTSUpIYnpauicp9
S5efDXJmbHYqN3EuxaGt4fIr6F1AA4r3qNPRL/xupD1+DabIzcN4KYa9Odw7j7vHzc7zMPw/fx5+
Y1p2/rSRXh/22wf34fV1/7Bt6Z/AFfT3WsV9uolnHzvhs2QEBKhDXgAxjERkOVoSpvSpzCoHANmC
exC3hMg371lrbUZrjHZBlacrh+zCkgDdZqh4roLjCqW2c1ewmcSHUQcAs1dsneL51rrQuno3BvS8
JXm11smxaM5EgwMSK+g+mudtqhatAd3YIycgfeo8pBLxVMKosqZycNlSBzYBuLYMqnBgt8Fkfz6u
QESyxiZDSgU1OtNpwawW5YACQ/1jqnC/B+ylzv0+f1OtDfQzgOpOJc82N9c3++WzZPYdcy9MeiK3
ExTZjCE8qYKNhvhQjMcbWC+PQFKw/GDh4FQ8DhIeOzoQaSVTNh2+M886m4hZDFiPUpkOKj5AV8LA
EUhnouBIcyMqkBlJvCxgXqUa3vVhL7jzmdHZjcC0sjXiCbDc9KEXlzcVsIYoI0rdVuo//oMpAL4g
HGQAszJPjNeMtCon2DkETCRSsCmR2awiV+1cxlYuuslnLqaS4HWJEgtq73PntZPCQgvtBNUkd2Oz
y7q3cY3Fe9kEWj6mRL8sz4s4sax3OZ/wyCFaj4beHZQ/afB+fcYuA5HJJ8lfI7OALqxCNkKPFAX8
2pJriIDINbRRg/Y9Q8nZM+1Y3wbJKD/lfQrIT1mKQ1OC3dXrWynaJWlkrD2ELu6j2QfNAj0eqmMZ
6cARh6pryU4VglfGdg22t7onFj6QaMeJH7XENa1jZDiVsvYBk4HLlbWQAkEFDVQMs7AarF76aE29
9xY6uxrFySRP03emfDRqpzBQ0JJcUjkWqJ75L30NHndZT/oe/l/rs/WQBn0wBg4XLuRN2NyOFqNq
9NMeXCHeZNtPK7+uVka87Gd/Tc5mnIiEd/nUpKWxzzR5HMpjpv+57maLZwD5a2IWVxdcHpVyMgHF
Hbn6BR3DzL7rRghXraEV1gYz/fnJ+0vPCtlOJ5YBLR5ui/ZTIrKvhmu178WD9GQ8s5OcJMBJVt1k
pQF3SwkA10bYjoU0t1V51hqa9eLpPvOJ2bFdkDz5h82gH+8h3K2TW9M89OjRgXhYcwMFkeuLpayt
1uzERmHfiFsJq4Vy4vjO/tRU244/05/BrtjFjyWtNskzHPKnsRINL60dWIWBS0elhQBuf752psbT
in3XNcuHSPwIYihvrHGFr9iYk/y2aqJkokMhhycMskcJVdutgNTF9SlcCm1ORvKd7TnxQhXaNQIN
nABlpdozdKe9tnHlTiRU0VY275InguEezcWAf0FWfrZ5obKlVyREgRZCVqB0yCCWMby3UUtbYy/Y
5vqwFifvxNhsGyupYfadAmOCCc8MHmIg4Kvu53Uji3N3YmT6iJO5YzgBERXCiIVrT+2OmemnEAqU
2e66ncuUAraVho4mFFwNAFvnLx+7yYNxqHGFQ0WeFr/6TlCUu11D8Squenb4lEIiSCnwRMidtnIH
7S7sf1TtymcsDvfvV3znOU+GC6W+LpJKfEUO2hDxozdutPSJSStba8kKErJ4TwB8rUKD73xSCcEd
biYodTfjLVoXiH0r9S7aCq5P6ZJ/ILyeSjrQqrog8DLLLqxFBrbiOugBWfuoQdEl4pVenMsUG9YN
RK2ow069OBcvx0EokFWfrCjgbnbalKc6FJwKe5uoHFQdOP8TSICMaQU2Xrs92vZYenKMzp1jb1p1
5Wh2avMvISFXCp3FIiCqM8Zh69pBqn7JdWqAtpGh5cMrjFzmfj0Ao+vpdtY0ByBie3kDUvIekUml
l7qra3mw1rq1tFg2OJPxKkZqD3Xn88VKc1UBXByiv1xR3Zx5mQKJMZu2w0qFftqu80gHVTjEOKC5
QqQ/u1fKElh8ycJE8ipofTTv/wFMVqfXfWLRCCgB0DQ40ZnO9X5Zq4cSxHPx6CnqfQRVUTSWrJyB
i/NFoB42ScROGmnn82V2YcvHEUiDqUXL7fvPSqmo2RuDC0aylY20NBxws0Aki0zIZW02Zwx1Bz4M
OJ2SIaN28dCl9/9+vjBXAM9MxD4X0C2bdCA8TjEYY1IpbXdx8+u/GIA6kDxBX/B4OZ8tEsR9QPQQ
mvDCArOd7NjQtllZ9O8Lbu5a6ANEMyX4EwxIMJ8bKSo141UcA/xRs42CNjMVL9rMlUxXM16DWLhc
OuS2TMkaFHJxfU4MT39+cpx2ZdANVZqkjsXzH11nOXqgrmybJXc7HdtseypgzoK4NMYWqB+GqgEX
BIyG4Q9rmKClsA/yuJBhAbobD83ZQkFJxLLjEcJflYV+hJD/Qnugg2dA1cX3pAc/qZ6nB7R/rHj4
4vAgAIeGN2guoCP8fAYzlB8b1sEsuHpDdFZqbhJbP9NCe82l39ddcdlNcE8gQQ0OfsCwzm3JSBbn
5qRl35WaY7KDVdwN5m0Y7VTtq+Bbw3iQ1Ger2143O/2tF86Jqx9XFCp7eL+fW9WjYkBQgBGaVXiv
gkU0/80hSGonG134100t3ojfeg9o1NDRj3ZuiofohB1qHOUSJ7ciQp+F0A5NkHjXzSytGRL9AHv+
Y2YWsae13haNiZN8YFpHNdE7mVXQCDJmcbtGTL1maxal6wkUg6QOtrr8w073eXJMy9t2Tfh68SGM
mwk0oADPgHt1ZibIoqHWcBs7eIx8tXXscLmlFoi3WlOnWVjdJ3nqFvxnVK2B/xePEBN6OSAx09G/
MdsAhd6FFlfhHrzB865Wqi0L4jWu0TUjs3d+LFvgEBxgJBLJq2Dys5WtmVh0c9xV4MiZ4st5B4o0
WKQfJdwkg9R+8SDalWJwIMC7tcUnr7oVT196iKB1//+szQakyXjkiwKnYquMCKTl1kPKlQbihx1K
b6wjt4rxdt3pF/OphIDAFFsYPNHybHMBSSplkQSTRVg+iDFzlDJ6seziNZcHKiBibuSK2+Qg0mTa
u0YGV211t7VLD/RgKxfe8lz//ZTZBmSAi6Ypx7VDDOFwCVvvtuFeazRe2q+YWphoNPYrSJrjZsBL
eeaedaWOPPvWg+whAl+DPBqKFFvTytzA/pTWZFjWrM2WNWrtBr3uObYh3svm+MIDkC+oqNPgyURu
zHx7fU0XDhc0cQNqAQgJYLlzupu6rIxRFS2ub8PaIO/XSr+N5tEe+colt3C3ojUYpVEcmgAFzKl+
9b6SoirrALAEAqt6Bp25Id3k+lYBTL5S8XouV/LFS/OoTHD8SfAeKiKz48zOWqggM9x06Xjfg0kq
7/eqt2tjr2vqFXj4gi+i2R4ZcLRZExVDPL9zZMmsArnEnVO39r5HXAHab4CJwRdCWWLdm/q/1WAE
oAsGLaCg0KgBqbHZ2Mag6Fki4aiOhbppJZs2KGkI7LN/7xsnZr4rvCehXVWrpdFMZhieRXF9LGuH
larfqysn2VJUAsYvQMig5AbKh+8/PzHEidE25SgQIZcVlGYDKU3AwKjy/ZDqD1JfRw92NGi/GAdn
7pAXiR/GZgtGyNDMV+nxLsrW09yiaIWECChTAao6X0wptNWssRV8S3wobXROiAYMblPsTjXNl2Qc
aKinEP7j+lwvuuuJ2en6OpkCaONlfReqiN976YEX2Iih+VqE9kYi4z23YqirrcqHTkOZhWVnQ53F
1QbrmVbnWuqU6ldfen23UfVdQA4W2Vn6HWleQB7GjZQa8U6wlSfk0nlwOs2zQ1WWMsUaBMYb9Z+R
/ClUPx0nzeUbMBMFpKbRWpJ1bYJn5+pYMx4VUANDeVcC1PONjy8ZC6haxI7IPpV/TfsxuRGaCwBY
RF81qL7O17MVzVgEBdyokQMq1dvG0vzOdmQI3It6pcp42f8zGUNOAfJw4F4ALcG5sSToWSdFGJtm
ljJy4xEAIGIA+jjT0ZGvsF96EJdeEgr1RpWVJ4kpmiusxnSQACa4xMNsd92bl05EgAzAQzIRetvz
TB8RJY+NHCQQJbM9yyj3erwBuYotJRuerbV5XYCvp+PwxNo8owd0c9CUkYH8VH7XKuDv4xWHxPAD
Di8nLHRXZLGbV+qRh36puKpj7czouYwPOKSl7FG2aHzfT+o8a3wsCyEnvmuqgyN9NunLni+LpNUS
UmqYhR510YSXd7gaViZ66fqGPulE+qIatmXOtjBJWFhJzXRaJZGVuEOXAF8+WGKnViOP/KgnzdP1
pV2yCPAtQI1g5UNKZuZrHUfFzM6BVUfLVXzXBjXyZPKYHHmnROgbbdaoCaYRzA8pvEamdhPAiNHg
fT6JeHwYEpDMeJTXkstadIJAsf3r+pgWL6BTI7PTV+/HWhYhjHQSIbQvYwf9iV5qaG4TC1p0/WZE
JiWPyQP4nNAaFf2+/gHfLno2SrS+IoQAVhs0mwAcz9ZRxtM/lkbkiOKD5sa7zBMe8fSBSgDKaJv4
T/BsHXF8DNRy+1+t0zYrMe4lZnP2AdOyn9w/ETEzjVn4AMDIfGk7RlQ52H+aw/tv2x9uejfY93v9
j+rptAV2YZ88AzAfO/LNbTM6nFHID6x80YWfzT5odoBaKhaFxHhM8cEz6wJ1Pj9C90+w1lB4cVTB
jgbuGuiJgjb/QtmnTseWtS0DmLK/A7GGU3NflPetWvulWLnjL+68yRSa881JbhAw0pkrJ9wAJaMO
U3bRkocEwNUHkdZ7sFtW26IDrlQdxE+tHvp9EvW/rnvYxVkE22AMIFPrHfpi5geFCLRequwpywkv
Z1bu1crK6C4u2MkCIm4IiaCR6YKZIACpZZqb0+PQaD1LMiixmn1SRm+NNTjd2DgWmlP/w6Dw0NZB
sQcAlTzbNbHWRiHibgQR/D4G4W5jba4buDh8MCYD7QZoAvjGo88PuyyuiM3ROcvy+3F0E/7QrtXP
v+/C+daHtisKOOhERC12NggLfd1l9513+ezvYignbzrfBwHBNthYxKnd0fME6HJiJ3PX9tiybRPa
Nlg6C8TFk8ee7HrbrHolsvFySbYx+pafch+HqyO8GhxYjuRwl3yNpjMeA78fab1fbehYnN+/9uet
MXIclZrew34LvVlcy+ANd2x3dIqN8HajI0JXcVbur8ti+7SmJzZnaxr1XdyGOl41YUHjHVqhbqx3
qaA/UaH+1WPwLhiSPPZWHtcYby6hP/BTPNdAZ0ZA63PRhVWqRQvG72DqlH6DyqkMZE237QOQowQA
udx3iEc4WuZMmaKp7rojX56m56anzXuy0GXTAyKswbRq9bte8YRiIt5/HBv3up3LUHQ2xplHNZGq
sHyEofKg/a788T270SEGV8WO4el+lNN2e93iwtV5NrS5D8VNrcepDIvy4OifxRa87XfDMXjstinN
jpB0dQwnf4B22ouC6/OmXJnZBX86tz/zpzxWmBxB78EJd9IdeQpe0x1/jV3wXT0PgTdCK4fmDn9W
b8e10svl7jm3PHvSKGkj+kYJAfKxgeNO3sK89Js1ltrLS+vcyOzSqlgk4lpgeKMC+q4W6qNq+ViT
nhaN/BooDc0qQWtBnOvLeokhPXckaxaS9RhXwiaPlTfdQY63hHIn+hoIbQVV74Tb36h72yeu9nzd
8OKkKgShGFSQAfOYjbcUdSKPOiZ1kulVwZdXvLK1QtPibgTDF3KpyHmT+bGr8qCTuskGJ2a3FQb5
SkblDjK25RYPPf8/DOivsfn+6KCZgLwfjIXalyF7I27hQF/bBBdZk2m1TozMNoEFiV402sOILh2Y
7nbmIQZmMc80v1JvasUby1+q9H59YCuzaM3cH1pXZFAYbJJIzd0qjY9GN+g0IYXkFRowqNfNLTrG
yRBnjpHJLO+tIoZDag8hu+ed0671Ua6ZmPl8SOJwtIIIS2X/BCBcQ0bEWiPdXd5YE8AVyXPIQMzB
DlCjMXRhYBwGOUqKM/JjgcYQ3P7alqU7I3q2JPAcy1QLkPy501M3NiGUuJaymBziPOqBw5x8xbS4
JxcSybUSz1R8RV/tZI2qYU9BVmIlP8L+LmvRqMtcM/TIKrnSotOc2LXO7YYV2kvLGnaH+Ek10aq9
BfrVRT7gurNcVtOwIWCGgB4B+cwLuaB6bJEAYbAj6W1EdYxDMVHXYoWrgr6ShkOG+priSrV2g9La
deOTm8znFv2TU9IbqGzULs7HyLU4QtoY+iJhMNxqEveSdI2depqmCxMQHgKawUYr3IVyYMSMQVEx
vITbN7oluancOKLXPs3C2gVrd/zl+/x7Nv+fOV2ejp8TbwEfIi8GNQG3Ml5o1lfZK27AqF4/QpeQ
VjmUqgs/y8UOAeP1qVxyF/3/xokFPTdsRnI9qNByAlisdrlm7oKo8i2woXUA1lw3tRge6mjWNkFH
MjF2zlwzBXlDm0ewZdeoHHTaSO12RLNA6g5mR42y96b/vaq120RJt/hWd7RXKhnLE33yDbM4kSNv
macC3yBZMXuuLEnsMzOX3HgsICAmI30mpGDcBL093JSRWt1lfbVpQKG2Avn4/0wG6lHfbdiQzDif
eCVMM2iE4ENkM3ZY43btNrZ+SY2fGH6g08LsQQhCO2j/9msn5OKaQ8gFwirAowNNc25aHQjJACbF
HESfgCgk2m8y5YJWApylsx4JLfQcAVpnAER1biWWek0qymqKM4yb1iy2ISjDxfBzxamWzgKkFXEI
gXsEbO8zB7bSMlLsGGGU2uGI7SFnkFtSRo0GiWLWgr+ZoaoRNxmD0oH42ZfFOwj/HrjOkBfOtBfW
6NrK6bR4NALTAol5IOBUMkd0gY0NF1OV4eyoM49p7DGyxm0D3StJgB6ERQ96m3lGn3lBuhIxLMbq
yIGgSRN+BfvzpU0ARdZQXXKS8r4y+01U6T/TIaFZ84geSlcJwi80mkBn5KUTLe3KD7AShp6o1F1t
JAjUQDdMPq6v0LSj5icp1gVKRUgFIxScLdBg1Zw3Aw7rqEfTVwflvGGDxCNlrL8t8s5n0K+/bnHJ
v08tzuKmEn0mwzDCIhQpOdUQrtVy+hEZUG+R1mpMS15+amvm5YrUjL0qYCtBNE1ERK3ytRTb6wNa
uoxOjUx74OR2qAwJ3eYERgacj3HMaQQWfHLD8JDvvOumll5Dp6ZmDlSkTRsC/ADmukZ16twDh40V
fbIkcFW88waQv5Xtypm8bBJgc/Qn4jSa63XFooySblILkxmHpdipEnU3EMj7mOSWTdxu2V0ijSug
X20poofYIVKjEKkBXexspClrTQmEmIjoN9GbjswznrGH4qjR1NlL3uCwHTn0ro4e4+xYuiNlz+/c
0Xf9TfTM3vlvfWWNl84xC2RThjqRdqHWfr7GUlYZQ6jgUEa+iMqWfRsFqzHborMiQ0oA61IRP80u
4CLPRsNIoXTFHiA/7hc3gdcRt3dU39gEfuKWgjrpymZc8t1pUaFCMWX+59iBokTuoKihG5ab1lDe
Z0MnMjfBqWm4UVoKJw4a47Gu0bm5Em4sDRZ9ewCog/cNSanZYKsyw10PNWsnG+4SzW/QninWosSl
kwa1T9yjEPgAZdjk2icbU256kUeGAPd4+0Mab4PwJSIvpu1f35OLI4HMG5YMbbIX/WOj1Q8prlNs
EDt6atvuNa5CaovRu25mMSRB3+wkUQYPwevpfDQNYSyQe3TupeRohJ6Z7EXuD+A8bO9lwysUD3RY
qnlQuufrhhfHd2J3dl6HvdKGIhynMxT52STeafyxyKSVWVy6h05HN9tgcRCNQTZ1jYaWXjqVZn1N
Rrck0kF+W+aWH5UtuOvy/PP66JbtQp/WQLUcd/LMRwyRc62eZFPGKHOizN53FgReR+mOSSAmUCAT
aP65bnHpKJkYFv/Xoj57TLAmizoN7beOVgSOHUNWak17azHEOTUxcxW88HRuBjBhQxeobLGzvDC4
D8RbCWladauis5ytlfCW7gmCAA/oPGSXL+4JZpRGPU7890lXeLbxAcCI0yfC1brmNqqgL6BnB1kM
u+uTuWJ1Ppk67vek62DV7u/GEujXezV8raT7Wt9W3OH6ircs7YWTQc4pWIhG2kTSYE7ET0W6DzXU
I9foVJc88tTGbL8VfVWYgQobelKDnIwaekjVqQA9uEMDXoCVjbc2pNnGGzI7GbgMc1b4IwVPXt57
qz1PS2l5dB3jHofbA94+Lz1qSdDwGoGE0wI2GfmK2gUfoHAwf0VjQnywQOdPfWEnt1bfVKMzVIF0
l+Uy4OgiCcQh5Gm6bwwbcNbr3rMw9gkOCNpcPLNAtT0bu52TqGzwvkYWaseCm9rqqd2xlZtuaTdC
XEqfYI4IH0ApeX5wg+ytKrQOiUIhuHGQbK7eB5mxT3uBR2VFNkOnChcx3BGlIVAixcX4H4YJWI6G
+A3sWdBImX2AZdVlluIxy+wnW79H55SyBhu9ZNLRUVU+sTE7crSuHHOCnLnTRLGTJKOnNwUVo+xa
rPKaSDqojUXDzgSyijuJRpwk66icKzSBwO0AaHevqbSRPy3kBK8vsonRzV44Z18220+2lXBWT4nT
KvCI9ipa7KGbYK3CtXCqw7ltE2hPIK8vqAjMLq3BuIJXpVr9SarnsHq5Poqlv1+bQIpAqCMGmJ88
YPwH+aqFv3/EPA3QPsKFf93Cop+CDwZSEfh8IGtmIVkACYjGCPC4KMw9abZ97dkFtNk+9BBqfcam
F0i5rMDwLiHdcJtTm9NheBKiVeFE3Yd+Z0d7IgodNuDroPpHsSG3I2rOr/WBuPpK7ndp04MVDNCn
CZx7obOUmhrkXIvpuSYdUnMj4dGWr9UhF64l89TG5JOnw1JkJjfNNCwOPRPkiNwxO7LoBWCvBEyP
ayHo4u6b2oGh64zAEKmNc3sxCy2l7vE8aZ3OlV/6iHYUZRAHsrx+BOWbSfBG2jd+uvkPelyTDAQS
+egoxAtx5jR1PQRmq+GdFik3enhT9p92tPIWXLw9Tm3MnKTIE73NAzyM5I1Fo23gqR/s0PpkE1Lz
MXCVlQzRooOgdxYpIlwOYAE8n8yM61EYTuLNtoJb4ZfIjkOzYgLgLvwl81Npek9PKGo89+aYySbu
qyFBM4OTShF/mahsfhpy0r2i77TctiVTP9M6JzsWxdKtlcfNTZwpmRejx2nLCjncBXHVfOg9k3/w
uGBbWQlGP5aMANkHs9A2RRcwH8D99kY2x06no5WPH6AHg7pF0Kdwj16XSyAV7crNhrg9NlEKH6nN
0onqVj3WgyXdVZz1Ddprh3HDFR78UGMlPZpZWz6wsu4Pehw196lUtchKQUgbSIaM9GDqqAM3kNWf
UOcF2j3Xa6aC0aJsnts2inArdNGtYVVG7UYGFIacEkCliuahBSDfiNap18ZM9A0mTjziSgl2Csj1
PKhEhiO46219G5Z9UaI0xatDpGnTl7F416F501V5m4PRVg+BtiSF8LlpVL6cC5Jt2oC3W5QKxM5k
WRQ48hhqL0E62jfCrKEWL/e5FnlMTwfI+2ayflBLmW0DQfqYlrVc17TFJPoC3f2uUY3SR6+YmbTt
2jRyWsvoiB+bXbTJRmK+Z00IzIEsS88xrrjPkdnsri6F7klKqLVOBNRqSiOAknQXxFd65w1yorxp
o4qnftCb+zRrlR9tWqlfehHJ98JKY6+olAhvSoYmJVfKi/QtS0zBAVQu0t85M/qbGJ0xr7HSdbsi
V0anEkN2xP+9PYa2nUOwztKOTBoUFGC1cGf3anxUIwMaiuBtLClHWeiNcNV8EHlAYhDzVlpJS91O
hc+yIEg3bRmqu0Ktm4ck1rgPwClpnFjThhuo8IlPqwtlQK4qFJVscO9uBAg2AaUBJPbeToP6NmU8
LtE+MoU5aGR8CpIsfyzy0SzcuAzLXVtw/hHoZogiu1KJH3oXSxVNlWE0btQwbd7jxJJ86ECUN6yV
tee8LTW2A3FVtG0TdXxAj13uZ8lgOBKTrAfD4mzXKLWB0r2OGr7HW84UauYonkDRDwInm7Su+4e0
7IaO9ilhB2FI2dZkEgQ6o1JSqAWVnZ85gDrPGuYlpBww16dAMerchfxg+lzEev+kBo3ySUoSO0FK
5IZCDj1/zrWO/zBSZB6pmpuNDYGukL8VIiUPjAQ16O5KTUPThJ7tbQGZnrHtej8tavGs8kGtaCBV
xR9QE/SeAsTDs2pGWe2kNorKNFMLwOSziIRPWsLAHhAZoaAB3q/P6qBKfsFaLaRyIaeQWWC9eNWq
QOxYmlVQfhSmuRelym4DrcEGLmSjxy4a9B00mbq9EIn8MRSaQtWE6/h0w2YZ4LyFdZtVSHxRBV62
4yyScHSYVTKAi2SsbvRKSu6HeAQmEx3GfMeh/ujnRoO8ujGGFbKURn+QEHv9htyAeCkt0u4yOyUA
tKFYcJcjjZEHAw/dsiqqH4HNwluchq0rVdnw08pU7o+6JuEJmfchra0S8LRxGIJ91EV43ZHBZBuu
x9lTj+Pal+Na7SgMgbaElNwH3jI56mURP0psCLdmqBnYDkmJjWSGjRdoaMlJh7HzC4ghfmSklqg+
hK2XDYm1FbLV9dQMjM6tqsFCcUBRAc20WpSl9cECmY3OhRfFue4VXWKITWmaFXHsTDdGCmbLmkBR
NuKNq4Z1GiJvUQG+YpSWBQoCUAh4rRU1mmMFVuKZSpI+2yAzr2le9xKIzCEaMzhjrY+lQ+Q6+YM+
ExJAUZU3r7wgzBu0qvywdNZsuzBN/EFP6w8tkJotB8ubU0lt41VWVbog2BQvYS6Nb7rSyn+EntjU
spLiATAx6xCAS3SPPrtxp8AR0WwhAZF2PaRcDL2nxNhEvIF31jw4MOSaDTVu0ox4EDVqqpQO3LXz
NRDt0o1taOh9gl+CTGbe3SXUGG/LBJGrxm5U6Yt3GztdSYOvmZji85OITgZJE0jNYKK1n0gXURCE
yGv8DGs2pj8/sVEkVYeeYkSmdvGHTyTud335+F9W5O9MXQSmdovLCMMocVRw480uPlnmiGotvbv0
XDldkdnKR4oaBqYBOzlaarSXuPv3iRiQDPwdxywklDguZ6ZjqnjmccDGa+NVsV+vz9XacsziwDhR
tQ4MaHjS1jdx+1aRp4Q9XDexMk3fT7KTFYcqM/SHK5hQoT2domukWmlDXByDTiZwMtIp2P7nLoW2
3GSQMzwMMuUmAm9BFoFYZ+0RN70u5rEsCLn/z8hsMToNcgJyAyPmQ/aD3wa341ZyTLf1BQSHnPKH
vL0+a4uvxlODs5VJUkBWQTiBjIqj4G67H7f33R7Qq3tt80Jc+bD2yFkK1gGZl8GQABUeMi+Wy7YE
msEG59iQAe8h7m3poTWOgX0HdPL1oalLR+bpu2CWrdD0tK9EgneBQQFh9av3ZncnvMB2zE18b7qW
E4Ji5725MSnZlH9yB1fEi67QrUBixbv+LUtoDMhX/X2jzF6V4f+Qdh3NcfNQ8hexigkMV4bJ0ihL
1oVlSxZzzvz123DtWjMY1KD87ckHV6kH4MPDwwvdsTRj+D9I3EF7WOKVjHYQxfyh2q8yugaxdKly
0nmliybLeYcCLcpgojBQHbp4zDZ9EZUK7RiU2nVNySObRrDL3Of5CQLjzMO+UkObtgva/fxeKZ90
9s+WMe+soeIVf9hZdqd3ojlubn5FlzEoZaMjgmCy9fwstkmrtUry59OqboaWGiQeNlaP4ZXwGP8S
fDua02PP5CkYcybr1kz6SQJYaiG3Fm8J+KBx+MFbEkebKX4N9M+k/hKAUuO8BsqcS8i4IvkPHUg3
ikEh13zmO6SVXf1D9hJ/WhfPAji6hks4PDZA84puPjb3oMt1HQYSbS65bzC3lG1/xW540zlm7mCY
5S5YtVsUIazb8CiqVvEMCH1Zf5GZ3bWbJQoDaqJNtoKoyFd4kD+al2RtCvqQLsRukO4DG+g3ELOj
hZ3GEPUDkI6BlsfyZbWsYyfHVJbuGJ/5DXmIfuG5d0v1Em+bZ0twTrhZCvS+YaoT0rxo5mOyui0e
dape4YPelA/d0brTK8da1wizXNsN3eS9vJv3eFTbnkhNmZvROkVm/CCxo9KOqCl1bxZxjgiLlTXI
hEwQt1mRM68aJ/bAL/UrWUMdUzTWyKu1Qvj9e92M54slTSoQOIOE5GXEm2xzVEwnexm9aiet45Vo
DoV3vVAxVxAToLKLLNq5Y4jbKFMN2klcBrdx7IzGqqvWY3sTiEpLvGjgFIjxe2BKmu2BNvhKzVPf
vGnhthdRwvGc9ykE/QknEU1Sw1xj6loXcwu1yHWoaP8hpKHyHMhUY7T5QkW4xBCjrtI+RQjtjjOG
lHybCFLEvEv4pJjBNsgrbd7KEOzBPi3WYbSyXRenYAaMQTKqeted2OW313HHUj5CyMHh5cJcClkm
WVqfYQRJn0GHr/ngFHECtPVI2Yv6z2Qb6ILAfU61I0DcgNvh/NvIudYPtg2yjRgkyUtS+Hgz1g6M
z6ngYZ3rC7u0tXMwuscnhrCURRZMNRg35OoOua5ufE5FaW/u3tkgC7Ix+KdcWIIURmaGdlEMXtcF
xHAlx7R+6hDYJEbppBERLOjS52NB32gsHUVt1B1euFjQHOuPkfVjad5Ce7lHnXIvF5afVehQQiR2
fRc540XnqIwHbgqr1rM/3BRHOXLDh2Jw68xJb21/uY1d0MI/2WsIloN/A4NjwW25FQ3pXR7o8x/A
OOIsrCU1VLDJOVp0VOReh0RwBDhjgOcQjP8zJTmXpgQ7O62UFXmMnqLIGzx9V6+rfZ04S+SaOzf8
Ib81ju01q+s7zDciBBAYiUXGny2s5XmF1EsEcD350jAjBTIjDXdt8UwqwbcUITE7iQzNFLX0RPTy
Dh4GvZyuFt8PQ+x2P/7LmlBpxqihaV2Qz3QRQZbPmMBOlMqO2d0iWTZYT3KzGQLRQ593zKnoFpS6
0TeOQOH8mBupNcdaTrlToIaaViOSrZhbUl+uL4hzIet/tL3+D4bxJnEkJaXaAEbaBDflTwkSnQ96
46eH0SN31uTkomlJ+gfPY0sKCKkpDW26YPVj/DLyowV65mYMLJs/E+1rmkvMmR9bQ3CZ8WwCTffo
p8M8CpTamOPdt/0YNhG+VCgd+nArq7fZuFfL+94QJEw4jzks6ASJsT45J2UfddQmlGq9NPY+6ezO
0QoN4vFV7ykoEmVlvVahQzq17WdF3q5/Qu6GYoV/uDKsi1xg31jL0tl0QzGwZ0u6F9Z+B18dfl3H
4RrkCQ4TmluSlGl6ImNHrX1CwPyxklqRw+J/te+1MFF5jsrE2CoL7rZ7417ZRkg737e/c2Q4N8Zj
Z3rSM6hdFjcGq4dI3IJ3C+nfy/vTN3tyraaTgcxdjG2chtfZbpx62iTT7ITa1xzEK3W+lbXN9Q3l
fjiQJxJFRskcbCrnJ9y0ZnXEjCkugPJT12fXUL6i2Quh5HIdh7upECaAiBxanAF3jpPPca8mBAaa
Lpsm+VnFTxImwasjEXU8cRdEOQKwHhR5WY+fgTSkDBPQ1diZhJnvL1Cw4skfu3JTC063CIk5c00W
xHPQAGlU721rpeevWmu6hZAOknuDgrzz75KYG1SuM5AiBOBhsWvrZhlKRzMa8DUmz1WrPzRpf4jl
yp2iJ7V6KeLoDu0ljhQv/mj90LPSmavGX4zYNetkCzLE7fXvKtoEGmCcWGyfkdrQa/w2pfZa26/0
GznyGunhOgo91hf+GiwaNL5FjxX7Ug1re1SVASQ81vSe9V/DAAKtrVzv5sodP69D/ek9v4bFfNYo
xz1o6MCCCvebui6O0bBqQRwQdh7CMU/GxFDilr9Ez0S6UZewpk2pQtA4zVKD6XOijFZKD8h0LJUj
imvO9YVxvxR4MP8PgPlSqSZVc1oDAFQaXqId5s7LavBGibpjuC76BIeJGUy1HHKjBw6J3+N8cYhy
r6S/rq+F601OMOhaT6xO0iXIKVOMuc+dJH2bqtBNlchN+gdLJKjB3Tf0zuvIV4IMhCXbGsOhzs0Z
WE2Fcu/b1Dqy7E6yIM3OtfATFOZii5p2lDUZnj/CkTUSvwscs/R7+c4KVrr1dH37uNfMCRhzw8lh
NmoKmjXRr3BDObRavxlXtvIEGaG22dTxj+twgh1kZdEwE4aetPlPcPDWl+upWkfak5BnnZPOQgyE
sJgy4KBNmX3X69WsofOD3tv53lwNb7IfOpDBLRNnviuc9o6sjcfe+zk7okQa1+K/gdkOTKUq074A
Rb3bStZ6UUC0YXQ3QWcKXC3XQ5zAMFcoiaesCtAn4YIg3Ykhg62+Xv9OnBz22Q6yQ++1puVoxgLC
on7pIKOpm81ov+j6g1q/RipuFWVnlb4AlHuWT5bF3G5TNKAwkwKUVLjNitpBNA4h78jB4wcpwc8+
JquoeOgNvEDsH1McuVL/WsrF0zChuwVNAwnq4Nd/E9dgT34S4yqlXg5JFeInDSDoMq3Hqlo12UMj
Yr/gfVCioV9aBj2Xpl60olVdPoDoGTR+qhfPg5svot5g7svqBOLi6JE4tEokUtzwNvXREwLSUHCV
LOt+lX4itYqBr+s7JwRkjNQoQzmUCwCCAe+r2Aa7Yd+hu6Fxli/ZUcFWuLoOyPtUpwtkbms7TI0m
jy3s4fA6yd5k3ivmGxGVCEUojI0GCcxBq7GqOfs9WVgHKESn987+ur4YniPBsC6KuchO2xfUHcZY
tslUYzF57Zp4cBB9tSSi+RGe8z8BYb2Vhe63SG0AUqNilIePNoiYknurcdpkj05qrxpagVHw7rZT
RMYmZJTjxkwFolGv9BCCfTjjaHMuDuNnKuRYFewh68Msux/AdAYwqXxKe28anjXBdcYhudBBZK6A
4R6zWuDKZayh6yS9mXtkdUnTPplG3W6mWV2Z9fKGWYfUSaGOvp5aTHTE4aDuLCN7g8wE5lWggBR/
gCH9QPJxpU1LJ4gheJ7UQNczFLsp1S07Q2aDEDuSS6SgrEFCthLlMiNAqvknODY6U+C2edt8isWc
uyYswbLaAquqR9SNIbrSfOiiQX3esTsFYTYaIVFozT1AihkDhKHildlwm0upgzb51fWjx/PFBuij
QSlKa7hs9hxhnxVB5wZXn+KRKXWi4ud1AO7HOQGgaz0JWeXECm0zB0CoYHRC1VzwyznB8FLqvlLk
gliftxrzD4+6ic5tTBacg6GVdpbjSQdd3vRejR/1PwshILw6/fvMYuqo180wALmvjfRtqLVeZD51
Uy7wG7wtO0Wh/3+yZQW6xoM8oatAEzBZB7KvKwPaJfHCfbz+cXjWjCIzUgb0Nr7QKsvGvLSsEjfx
rKMq2K60PlippsBvcD/KNwjbDlSQYFBbGSBBXTiWuY4G0e3LOy8m1WfB2AVeqSZ1/acb1oCzf0pw
TWn1ZmmhhIF5r4fkvxyVExSLGTgqTIKKgYp1qCEUyr6mQEhWwt8pXIDgy8HYMmHW0fcE/mUGAkQw
4Mi2yC0Y/TGe1qnsWcG2al5xQtNuXYWop+K84pV53R74G/n3BxjMEhO0VjQYwaTp1MhtoOVqPJft
2zRsr8Pwze4bhrkYQzlWSqXFOhUFfau4G7JHWxS6cA8Rmpowba+DcoxVUQ1mDY2z6O3HaOgLaR5J
vJWLbdn6iSh3ybvlMYr9F4j1CRDACBNKMo4sojrejOPzLG307q3JN7qo1nnJykwd0AkY4xr0Em3s
aGpH2Nc7y8p8tJ3YmROMKjh3B+f1dXEd/+D7hrNBr/v1b8a1zRNk5qEOUYwim00gJ6jjLnnpCsem
VBEEY/5JPiY2FMtwjI997rUPkivdgi9zHd6Yfu3V28r1nckPH0eveNYPoSd6z3Jf0ie7y5p/YTVG
tEiwGetdeQxvyxfFq9AB//hbem/vlPtd7zVOc2P413dWYEAGcxpKddLbmZLjqzn6wUHmDZbD/oAu
az19zwzBjA4PDLzZVNAKRDwXTcVLaOtZT53xlJarWFXppMe2X5pNq9iYdprQzlyJJp143xVMAuhg
gEqvikL9uXvWuiCOgwyhKXoNAk12UFPWtNjpMI5eb4nlxMFvxMpOUt+m6gGE2920vr7D3Af+6S+g
v/DkgpAsyJzGA35BWN6qk7eEHhlXVXYThTcN7Ct5CPDg/S+YyJvRAhjm8tjEJnp9ug4Kv3jUQI96
1FFpvourO6nZRwYG1Y3cqcvUgRaWAJZuJptPtSkNHdEhR2VfEF5hNAZqVIAFG5z0WaVLi1IKmkrQ
N5dvizapXctcsnVtVhO0gRM6d6mOeKRai4xf1lnroR9TQYDO8/e0GCijHQjdBmwRpAfRVdqoYe4G
zUOrvWaNhm/+7235SH2dgKjn31gtlhmMS1EOtkTIXu4M64hwKRGNBPNs+RSFsWWMVpiDJGMpeGc4
Zq05ZrC5/gV5d/ApAmOrgazkmCAGAknvxxxZQ2DoNiaoves4vAsSk6IyxrfpwWSDjdSC1lHVJDkk
xtHkZ9p3jSLdasa0t4x+3aqdYFlcG6B6P5B4pfx5jHOvkXYt7AUT/4YMrvPurba+oGcgOHTcr/MN
woaaE0qIOlro4cDb3m10Ge0PovPFc6CgRAG/C2bfsXustw7HICwCrAPdoHXu5F/SMQaNe7Uq9njc
xAfTH3FVLD4E4HZCXW36xy8ON6h6QEGI430hAaEgUWLVLWyjjNzBdnBBHSASMD6m29RLMBAo2E6u
iXwfKTZRR1Jwk4cdKERmKJaV4Ucv1WAC/Syqu1pUbeCaxzcUm7BT9Nka4xgrm8LMwwjlIZ4iT8V0
9nWj5xrIt9GzN3yaxwlZAqxoIP16Uqb7BdffdQjuSkCqpChghbDBPX7uhwwMlQ3QfcvdtvrQwHSR
guss/HEdg9dAZVpIEYDUUMGgLTsBkRtZM6BRGEMu7rKyD7ob7sLfzSZ6De+rX0g8ag9gblc/VRTt
/ij/lsU2fb3+GzjrPPsJ9KCc3Km90YYELOu5CzbHQHfmQJbv0AwKIS+9KLLYv47GS7BClBfNTHg2
0BF3ZltlLYMooI4V65hWADMRtLUOAZq3ehMNOm61pCB2jKB8dac1Hbj3RIzynGN/Bs/cLvIAXk4j
bfBV9ZWE0tSEZJNnZ+galo+yJLgvefHKGRpzy7RtXqYppL1cTXvokG5YMPvWho4ZvfQaLnYk4A5B
9x+utjNQ5uIhM/imOhU7HFXHKhwR5Iuel7znyxkEtakTmwk1C430GdYlSfcBWbWWr0Whp8s3JHhL
JT8uJKf51EDDlER+FL9GCSb/Zx9ZHdeEYlK8H40POfwx108gNBEZ2OVsAZQtDYhVKDa1MVbFU4vT
vI4n/La+esnTr3b4SRaoVljrvHnSF4xr6p5VToJLmFd1t9Ami0oILa6DzeR8R7SYlFlkYdPnnfxb
/4F5wmFTe8RNn4jb75Vt7Y+yI1wrx7HjGS/jLQleD7hD5jtEidQVkoqzO61mX/0ZvKv+8mE7ebkK
fxe3xio/2rDsbXIvuj7pH2YuMABjdFIDHaVK2NtTnvWgVowWkeDkJNqLUd4k3eq6p+CuDU8bShNM
EHgzO5pJsjZpZo+Tqmprc/pQs9Uctu5UrCeRFhEnVLPQ4vwXijkxGNHDS6sEVKR4meTJ/cYu1rMp
WBDnzjpDYT5WNdWdXbdAAW/qpB5bqxBc89yPcrIMusyTUzkmpFSrGACJCiKF53hYRbGg95zXqGeD
ywXlENptTGz61U4wIoyaN/EAVREzlv0B7KCW4ufprzTwYuWAASXoz2Wx6qAZQLA4ni89Q2buKUnL
Ko1oQI4gNIKyeI5Wll9IDi6oU1RegyKdKL3FhQS5I/pH0bWD5CqzWMVOgkwbUChBliZrn8rwRukl
JO6cbu6dJO8dacb7QeBKOF8R4wPfoOw6ZSuZUyqYWCx3pXEnK1+GSO+GcwmeQTAxPPTkF62myiKY
3IM4aWM64G4+WM5sCT7anxlqxk+cIrHFunboyKjIQNKq8Yn09S4JwJwzJk5bgTSzg4SU9tVkb4by
iNdEbRzyKfIVC3034IZJEwyERdt4MFZz3nih8awGspurH7FqOmiidAZS3E0jOSaY+7/uezgO4exn
s0FKPESgU8DPHpDPUMvVqLzY6Jcs/Osw3O8AOiP0FGIIHV2F54cp1CNwlcxQW5mNRX+JQa38HsIM
GyfXtQjPEALP3hUG9GHlFPz3gkVe+iMCbQOcYcWgDGMs89eY1XnRhTE6trLHUt4XmWB1l4aMv2/i
cgIEgUYZs7p8qOImoCJVLQq1do2JLDld2fLb9T3kdBcCBo27yJSgTges802kDR+kJBC7zeKHBjzr
6UrW1uA0MsLQaYMjWbx6cEz70Ln1EwGZv+tSroPVInKNvOViLAuTP1iyetEs3UWVkswqlluXv8vU
OHSztJ57VdQpfXktEsghQRAac3cojLFZxi4rlDrraiThZoc8gUTEk1/yHcTKb0jjYrrwJv8s3Hyf
7UyBX/oj7nF+loEMwnzZgFStjcrx+UYvstxLlQwHDLaOJXIkNDp+KWg33M+lOqSOnHXo5e/qZXDj
Umvvyykr8GbJlUbzlDgu7xSkpo7o3YKWV1nZLeblxkD1x7YBlwU67nJoE6pZWDqY1Y6eArNvn8al
xLfT5NTaqEEiuo+pYVysB73eFhYF3jnWu9d9nhl60qDSrofIzVRm74P8Q3FNybIcSG4f5iZDiJ4l
wQZxlqidkTM8ie3E+wfUnhjuuBiDUIIMfeYNDn+yVd+DnxomqiXkqG3wBAde+TYgRb0ZR6dwdvlR
v41+/3vnyRn+n8vv5CaXlMluZBv4JSZEjX0Qr4fgleTr68eTeyq+V/knnjhBIWk1JGQAitU+pBhT
A8mGrjxfx+AdCRNytGj+whwoovBzw+wxTdxWYENAara6UzH7Htna2ggWXNGlY0mB4CBcLAmtzAQy
5hBVs5AAY+kizXooIMGOJDQ061IMp+lfdpfvkDsWcZFfOGgKhEAA2skYzIbc7vm6wMGCrrwJKaq8
n3+UtR05mjAovbjp/mAY0PNFPUpGOuocA2PY+Vh0wChMqJRj2K5MoFyoqziRgpTNZTQFKERSoFXG
oAdtcjyHskoJgwkLErtGBw3hXWdrYXbTN2k1OTqyfQYtKINnyxjV9FbvSPSgRmq/t/omEvjQyzWj
hxhBLH6JoYIPkfkhRBsJeMPzwoUWoD8aSHmU6I4mTlE8/KNhYioBHd8Q5wQ7g0lYIG0YSa/ZdeEG
7aEw3ieQ+WXFJu2dotYFl/mlUZ5DMbE/bvdKA68upo1ndEJh6rSEY6mfr69HBMIY5EBIC0YzgKAU
Era/bGlw0n9Ou9FJDgT6to30KKJu5tkXW0MjTyEoJNOq8Yxs2ORmtgKB2Oafl0K5eBTQqiLxdtFs
OyszCSpFLtyiNX/iRl+bgVk6YRUKUkCcLTvFYQNgNK2XaFZeYGs52FMradVKENAjyvo/LAeDBdg2
CCojo3x+tiR7mKW2NrBrczCA67u0HNsoC0gXBf9+jBWM0lG6XDDTIuBijCCsQS+QZ0hexUbl5JZv
mWjDvLHK2LOad6OKVhY4VDGqeH2BF6EypaRAdxPCKyo5ybIpGBhDT4IYqFaWPVVN86JW4SqRJXTV
FGD5l8AhE9r+dUyOn8BAEWSqsUoDvRxMZDloYZL1S1xCElReDRrEMMb10gXejKLjdaSLUASrO0Fi
rSSIy7CdJiB11jOa9tD25EsB8Zfpnaggw/brfyaMor4Y6p2g2wWrF4zm3F4I+MotW4IvTpvueQqy
yglUMBPilSa4LLlenxaoofIMXkGTHcFMCNRqLNp6qqn2ToPaipNiti5oo/dgGD8XW32Jcs1Vy+JO
0WuB0Yi2lTkVWVcGYdBgWzHZ6pjjSjdvk3FlqK+xafmt9GaKCHK4FoM3CEJf+HzCbmtv6j2Z2rR0
FWN25uh+UmcPzC2DiHmDdxqgvve/OIbM9Pc0UEaoAgMLSyBWnk6vur3QqR6JvOX2K1gOBft4GYjg
oUHlrHH0sC52fMlcwHYfNnCWtbFXwUKp4Wl1/QBw3CQqihZluYZNIqw6t8epzkoz6uG/KkuVnVke
Ez/tcjAumpXo0c1bDOpuhoxSPrwJK56EWDyTMtUs3CysHELuhCHVZVEHNz1YdGgaGr4YtOLni+kb
OU2bAL5qAiWjUwVkb+akW0lzcoxkcIe3OtkF6nhQJGlnWc1WUsvnul5uKjUMkWSAr2mju0ID02hG
hl2JEm4gISILZU1EZnRZjaE/FQoUeIjgkGJPzn/q2AwWsdKoBC+fsaqUfCNHNBsho4sabSRQfK0T
aLFOH+FCvEQJXXsQsR1xvjwEdlVIe2uQfcVD7PwXtFUA+oRZopTRu3AwnbB5QKns369HgNjIqoHv
T4O05DlInuV1Xs0hHAGcUNDKawN5HWFX16UsDEihFMrMYkEK8TJgbzN9SVQbx3JakZV0+2vy8p+t
06DBqW6d9fzRvD6A9fhY7A/pERSiL4/SE0iJ301vFqyX43XpLwFXNppolcuwvk/qQgGvfYmbJPWL
/tmcmwWz9tMG1LTgjOw9TH4+KBVaA0krcvncLwoeMoqOGI4tSiDsrlEOAbae2D/nqXOnStln0SJg
H+KcYyzxG4aNeIsG1Z8eMHHZOW1m3HaRaPCLc3/gwYLoEPapo62a8UoQt17SXML3NJoHPbgdijeN
Dk48WO2brm96IVUdtfWzjATs5xSPuv2Tx3I3d1Ywx0npLrVXNrfp7CCdBDm/cdnp0rutOd34LA2C
SPiSr46iItBGOACjhezqOWo6VDYaSLLStTdSt7buZb901R94Dxme7uXbYZ1+fP6ztz9DZNapIabK
qxDXZJXLx1krd1NIjrFIApVnh6D+RpsSCM3AXMR4FqO2Y1vK0OFIstlvunlbN62nFLHADnk+FAYC
Vn0L7PQYcmbcfWeP6WRNJb7aMTpMq2HbuqmrvJcH/SNxZFEBRuXYyCkaY/ZIzwXKXACtW3WetDHW
8VrZN/vlNnPwkP5nfhXYBtiMkJ7CXQliZGYPx8SKasTzOGRz4Wjtb7xdr5vCZeGUQaDrPbF506xI
Dw7I0tUUJ9t2b5jEcGTJ6RxDgUz0sFvcn5jz/Of6JVB13DgQs8ILXWHLtSALX6zBaOGj5CeF7DTk
ITORXXCCNANdg5CRpQ9ahL7nKwtIowbNNJZusU2O1s2T8aluoRywkx9TD9z3refiWSjF3vUN5Vm9
DpcF9wvSE7guBjWdozLQevgs1EyKxgD5AjIcotzp5QwR3cATGOqdTz7bXIRm1FQDnMYRiejBQ0QI
MrsntXfStXlTHpoXY1Pv7e0icB1/ZLFYH3kKzJw2UoHUG/JccFHr9wnAyxFzWPBaK+0RvEq/qwM4
o7whBNmFekyc+lXa+X3vZj+hT+OQbS1ynrwr4vTnMMfRkBJIGRn4OV3rk4352LrD3vAqX32sSq9d
TT4kIjb1IT6mry4Kh9e/NRccGWTaxgYnx776Q8Mq7bSEhcXGvs/WeZt5ynifRl4R/G5GLxdJMHMs
2gSTIaqTGBoDwRmz99nQNLqddhWYgWTX7KFKPN535V1sxU6WoI1O1D/DsWWIjKKkYoF2jiDpcG5k
0jyQGtmg0k2LYXE66wPCsnAUqqjHlxorY1OIPRG1/XkWQP3yHKfQlCqIYpk+vxtpt4xq5+YDmdzr
X+uyUoULlnL2gP8Bpwc9+OcwSWSGRj7OOJrP1rt56DzTQQfxHcQJVgaU9Hpv2dEh5RtrBcZEATZv
K0+xmfNaJ80MonlgQ5nxK39pDmiw2mNE04KR2pW7YOTGqZ7l1+uwvI09RWUMxkprGEwG1DbfT5gV
UwVbyjkAoCBGJgpjNtCA1JkPp/bgC7ci/H2p8SvZKazUSawnpT1Eqa+G61k0CcqLlc4AmduqSlO7
qyoKuDfW3UE5mPtlb/vS79ZDG4LiyPtW4GG4S8RFhZIbwrQL+oZsDAikCGGbZjntentaB6iqGfaX
Zv7CO9MJFHON/lZBqz/3u6GZGMUxiH3hvJ9b6jgUNWh+VRrCdxszHDG0KGpz4F38SD3hMKAUAN57
9uGnQw6gROG2dEOkxSX9JYu3oHPokMVAy+/wrILnYLlDpT+Mf2b9ekBwJYp8eas8/QXMx0zJNEx1
oeNMBIu0Q6+RetRr8nH9CFz6TDQXY0oD4/F4Q8B9nm9lLpEgBGVV5fbpowwi1GTXTftOP0ryTtd/
X8eiEcW5HzvHYj5bOiZSmVP/PPc/TX1dBE4yHZT4xhb1nNM/dA4EJZ+Tb8d4skZLFVgHvl2Syr6E
f9HosYVogMBrcdJpJsYAUQQDcwnYlhn/Dx3XOZ5s6pfxiuwqy1UmlBDjY12Wq+s7x1vQCRJbDIVs
ShxHuQJFKW3Z5HqwSu3EX0bj4ToMb0EgUdUh8PRnAIzZtyxV6qRHuckNm/xo2uGvqYlvZKRe0Gsn
KDzwIjQLY9RgDjRNA8Eus3kQY4IgTAgs6A/s+z68W2ZjbTaQt7asVZp2G1m7U6DLm9WqY0+3qvII
kYhD2BKn1n41aSpY+mXnGA1Tvn8Pu8Ud9DnKtsfvWUjwWg6KrzfKjlTFLkmjuxaFBEiqeCbSFcSE
puBU/PM5BDyhvLkmneVhi8QjpurTsQsrFHzQIKlsJwVsO24GojA6kC3iOOTYk4WbHmkgw8TcEBtR
LEYIvZkqBtqCUSyynrOfyyBw0iIMxn2RoEyhDhNBjzQunCVYF3Po1Rgi/GeTPVsJY7JhXU2y0mIl
erq2uh9SfBtlXpT4/z8UxktCoanv9B5rMdBRFx4ybYv8oyriDeLvGN7oGu3RhUc+98WWsiRQ38Fa
MsyrKvoGvGrObAtcCeeMY8P+grATENHUj/LS0E8v3RT6MTc3yexOIuHry2sF5owENprGbFT92NC/
LswgmUxsmNRqiFi7baXVh16vMmfIVBeUeGt1FFUdeNtHKwCY/UOmGEML59uXJWba2OixcC0LzO2z
fZDzYm13onYOzrUMoTgU3ODyAcQOXtRpnShzVcMWDPUGc1rrMvh13dou70ma5qJNTMjaYAyHeZlH
Y9urjYZ3hWnFuTcO4CJKozH3lbZ4HyE4Br8Y5gL/d/nBzu9majYnD2ZaNO31EndzF3q5dZsEz3YA
oVYoTR0m9d9rtCoVZaMFWhtpdZ3+mBMwqAXoeVrjS0WxtS2jV1kjbpKDHdHEME4BdzSh/z57DGxR
VHe5sxBGBa5C5ShA+MV4iwXhTmfriI+72BvsH7rmB/1u1N+FTN5cIKTZkXFDc8xF4SIOFK1vS0So
Vf82GT+CZhv2L426WwrBcb60RqzoG4i9ttoyNUk2IjJQmjczxcUkGmq9DPAxT4k5XppgQyMmW49q
9WEpu85ALDXtl+7OKNZS9NqEm3rcV+oeAmX/avvncIwdliGEw5oecFk1u7O8XSDSHcTv0rTpkkxw
d/A+ErKHqLlgkhW6oIzDGBZMtsKf4MqXXzor2UB+6r7UGh+yfA7aVQQRz6V7UuF30cmkgdYG/zKn
mkhdEpb0PhzHHEpSq9F6Dqp/vqcoBkgCbNT10GzG3CBlMlhzOWJQqS9/k/mhTg5gG01EjpZnc+An
MRC5oTZ30eOpKOjM1UyKotwbASasx/vrRsB1Rrg68LL74/+YrerluiowtVm5ZeEZFfqqP0L9qCVb
qItB8ta9DsazApzRv2CMM0JuN+qhRYhrY9GdON0S856QyjHlbSt6n/NMwES+COMwCHzRVX3u9zow
F0G2DRtXYyQ1a9Y2RKpJJAqJuChgXtZx82rIujG7FzUlQZU2g7iNdD/bmM+zHyRTNKh2GUbgvjgB
YXbNqkfKOgiQBYez3LbxB4SBZdAz/YePg5I+omKkjDHScb5jRVW1ZhoDxkrJPpclaYOsQuvo4fRu
9saNGga54AhxzQETQ+i9QuOCxtZiIxIVYIPF3RTknzSQAOdsLW2lsfK6cn19cdw9/AuF9pPzxQ16
0bVJWcIc5k2bbuuxciDFGYnGh7j2cALDuDkjIHXfj4AJMt8YfvTRQxW/XF8Jd9NQiTFR0EKn+5+s
+OmFnkR6E2d55arq/ZCsOrKT7QC9mq4RC1wDdzFwPjLIVuAddPr/J0iRHlSjlmMxYxuvQEnpJln+
NmFy7/qCuJ/mBIb+/wlMlo+Wgfbcyk3BgJol7hT7swKer1JQheG5UrzB/i6HOauxYWaqkgKnwSiJ
1lsvxRIKrEy0Y8xJRfI4LFBwqdwhfCDxMbaPyyQI6Pif/3sVjF9rdbuvCTXkVklXUbjvwS6CGetI
L51BmDig5nqe3IHn+d4y9gHT2NnY1jrAIHWVOmRskVNd1hJ5N3rL68zcHxYdFKF94iblsEkX+/+3
n2zUYJhJMNQh8OFee/Vp0NdBK8r4C74ZUc/NT82GOLUqYGSN7ZnRUe5ssDMIfKvAxgnjW2ujxOwT
RClcJfTszh+sFVF3pih1xbUNTIOgx46qRLBd4po8R5EC2WF3rD6Cwqlnf8jusyB0TYi1XD+0nJwt
TOMEizH1SBnjyRyApa6VVb+Lb8vb8hlVro25QPOJklrd9Rvz6Toq91uBR83CZuGCYq+oSDdbPHIq
uFcZgrd+lv82RR6c/u4Lkz+BoF7kxBslYdZBSg7rMooXq/g1KT9T2x2sR2tUHfQGX18PJxNGd/F7
QYyLDaIuU7IaC6pKR4kd9UexbzC4A/Emz15rn9fR+ObxDcY4WrCcZOWo4zXdSJqjxb0XTZOL+Hsk
v0rych3rcqYFT7/TldEfc7KPaTe1pI0AJs+b3Jfd+AWMBr55O+yaTbq1nyXH9ge/g06Vtm4eYq8S
hWaiD8kYaBuGoFMosbVRQzZoKhimV4KuXUX7oVY3g/ofXhyny2XcMtr/0ibUgaYW+q/MnGMHzU+r
uREqfnFd8rfFsLoKphZWaCjEvnah3wRPpPBMdCItyWbqvdLYlDHu0GgTyKbgwNMFXDkXbOPnokwR
qQzgBk36MtjJ1p6eSEAxMfsKaWkF5Zq6EUQggm+oMb65DJY2ClOA9mOzytV7MHRConettj9Ac+jk
48d1oxW4F7YVRF7SOpWpeyl6SLeZudt01UMGpe7rMKKtZFyMigmyZcgBI5cfJHGrbmf2AbKPm2h0
Z/t/SPuS5bh1YNkvYgQHgMMWJHuQujVYtmRpw7BkiwTnefr6l/S797gbzdsIn7PRRhGdBFAoFApV
mayR3R9kwxKcTJiWkTIawAumI0R2iuKrXj1dH9LyydesQ3AtfZWWlbNAzMPTOL1DcP36769UMZ65
k4uqYDsIzbgHgD22z/OkfEFHNiu16DFERddk0lue35dp6MWZuf+P0IIjqW29UmMOaJMUz0bWHeI0
vLWs6SYl/KZ2VHcucwYhUJ+OquR8WLd/RPkQGjHw+Lo4gxMnmgdd1hktDqNYIW6qfqhxtI2yeaPN
gZfV8XEuTElOaNVWEECgVQmXZpABnSMac0LGNF52HB18E9LhuUbYkMjK8VePohMYYWOTzq6deMKc
tqAmyGzbrQd+33Pdy4xfkdNIpnHlAQzWc/LyKozKxM2PkwwZ1+BNiRh/yx7NfXWsdyEEcfY4gW7i
kWmv8V72Yr+6fie4wjDNujV6NQKu1mqszRYd121beLU6o5X8JeklPnp9Vv88MAtRJqHx3OgKHpiD
4llBPa/90hTeDA5Y2dm6Fs4uGXnwZZkWvej/pWZDuxnFVy7n6n5UnFts/se4No99FMlMZc1bnmIJ
209T8hwU+dgDo55sQS0zQHRq3iGr4zsKCyPEmugUvL7l1+bxFHL5pJNtR7KwrFKO4TXpZ2bfKt3n
2H5LosCNFMO7DrVmIcvlWkNxNvo7RfaUuushddUtjjPZWAGL+JtuH4Kp2Oi6Z4dUgrbqRk/hBIPM
CssouwZwFSIii+zTSGeK/Wijymh2DlBEKLNfnWlKYFfN5WSQol1GaWuVxrKEqGgatz1YEhMUrJj6
7vpkrjmv09Etp9TJuhmFFSct8lhuMbwlqqtGD8kkifOWnxAPuiU/r4N+FqSbtnCW4pGoC80K/rGw
i7u+DL4gXpAcODII4SzNC6W0C3B2QpAyOOBlx68a2UVxdaKWTlSorYORQUy8IalU8dyGozDQtqxF
r40K7h7qXl+N1Y37D8hFZxISYdxuRjg/a5re5vYrd8DggYTv+N4oTzHXHu0kl0CuTh0KXvGoC3pO
MD6dG0COkgo7aLA6yfRWOw+k9K4PadWQT35fWJpRzadeWQJEbpo72+H3UYKKgbBQ/GD6N7kPG8+5
qFFALSI4ds7HAqlHPnANY8HLb8pCS4FYdNfeVJFMCXfdGP4BIkJqtLPGVE8ogNQSV4ry5f/3C0tc
6vrM/QERTmAVcZPFcdNFBX6PFg1mxwy9KDySbM+Vwko8d0IAGkmQRadYrFLHi7du9yhHdqdHGrHg
0Rs/ihszhlYIqFJfwu14AzonL9kHLL2RVQCv+vITbMG55krTTraBMUKnzGZhGrlRxtFYNnJ3dkZw
5Ka7Abel6ya5claBlRDd0dQGPSHeIc7NJM1pHKG/DRXXqc8hRto/ovawLjzFeb4OtJarQAU7RL5R
fosWEbHkN5ny3MxMB5WAtPPJlG2VdN4ECRrZ63nXkl8oCrijSKDFk3mIqazKYW2cKJdCrTFE6dF5
KG6HWR3yIUbNEOmqzjNSPfe1IXFYlxQt+G/13FOjapRM7sXWADkhclwa3D16RyDYdj65pNLNPtR4
42rF46BUrjmAkCefJV7lcmYFmGXsJ+cWaTMFckURmkXmfW1vmuYwD8+mYro8/d7E39RiR6t9NX+5
vqAXW1JAFQIrpRyz1swwOFIpN8ls3Q7pJ5iyX5pJ+XkdSTaNwtrVvVrkOUQpcBI8UO3b1D+1wed/
ghBFj+Mu7XIrxGD0ZHZ1jlZpY97Maf4fl0osfJltJ6LdsEwaSCOrmyDNWGfva/2+p/6g/Yy120Lz
VDPb/7fhCa4ljMZeUyPAhvR7Dc6sXnuk+st1jAv3dW4PoiehNqhTshKrxIfGLXuwBQ7Kd9sebmuq
v8f2U2NzSbxGYNdnwZSAuPz/xO4nJ6lTEgCxro6B2iKjAwUkyRZexQDvArh14SShxX6OkTd2ow10
MYwuuiucAfIrDim6j38xd/C+KFRCfhV1WOcoaoq+aBQQAqUyvUlB2/IxSCdPx32hMu9DEIz8Nzxh
5rJwnhJwp8FjVF9qch8km2Q6xPZrFjyO5l9LJy/LdDI4IaqyVI7aXhNgE1ovIrKv8SocJZLEw6o3
OgERXG0S9kMSNwAJhsoHQ42rcsdVU/u+KWaJ2a0a+gmU4G5N1L3oiQooUC4bziYI/HZ+n8YnQ79V
2uP1hVp1fRCjpb85ddBndm4YVttMJV5g4PpAUD8NN5rt8aqQDOgy2b6s0AmKYA450UslXQ4Q+xjd
17t5h6qrfXZEXkqPmc7MgnHP2KPF7JhtVCSIj7avS9bv99vLxWY++QbBStqOgMMqwRboP+4hzhY+
O8z++f2rTiE4Wnm9S7cWekumF9vvXNQpUnQtEsk3XD5KCfMgGNE8JmPWhJiHbmK5lw0u/TLeNtt+
F79XH9GjAV5hP2KV5l9fZG3Vok7GLlhUmuuT2VTAhYafrbCCoa5/p/8MfnYGUx2mbnRWvad74x6v
HIblZ7Kod3XznOAv33fiSANC0I3CgU+fjk7GopfgANoErL26Qe/El+42+KLfgQUrfL8+cBmucLDH
ZlNSM8eaQ2uBT75GjrPiS7XHJShi3Z2VgLhpNDA6Xr/HwS20bJK4Z3P1dn0wy8deMWAx2arTJjBi
Z5lEvKenkfXLaA0G1RymGp9zpHq4TnuQJ5asncR0frcUnywdyec66iegduVPJSBemuyCKAX/5lfT
YQg0NtcHKfFHv3fQCVyBlEYfLXNZ1Tm0gCqXGi9tIguTZINaVvQEJa1zoiYjUNT4o9H8pvOq6IMm
PlR7WSzrQFkPn/9Yv1iERRVQPKNyqXGVvsGzjUvbB9XyeN95HeS8Cq8Dx6PVPvNQVgIom0xh2+ld
pSo0wzDbbqvHtyMUFSMZ2a1sKoUt1hpToWWLa3FApTt/H7J9Nm/tIPdrC4S3pqRGRrIHfvOZnCwc
nWre9cvCoQlD6Xy8Eas5zDLez3qPt6nbUSYcKju6fv//BLG0S4XzGouX7kEgrd9kaF4/tGikSxk/
NhvQwxrul2nzLd32NwOjTMZluRof/jGe3/zmJ/jUmVEnuhydStL6oWWBZVWy5Rbnf+lXKAoWwAcO
9ighBOg7hRpER7hhF89dtLec27Z6jlLfkuWSZUBCFEBHpSqyAEDltKmin7N6k49uOnidNOmw7pH/
DEk4681+yKKRAAkvmMXAEK2llcUKWZPx+trg8g4NcZD9iG3zU2yoWmomOF4aDfxiiWuT/XV3uL67
/iAIO3iCfuhsg1EMWonQVuYVPO7C8UUOfaGwFPn3ZrAkx8zvWp9Le/iDKexoEBlHTqUCk+fVS6KD
ay5L88pXnTTbWU1JDFYRxZhZiqvGB+8IWMIViHNkWQrqmJwrxrvezc1HNxbKoSb2eFCHsXwjbZR+
6ZWYHDmHkiKznZ7vsrlpvbg0a6/qWvszHdTguZvU6R2clhH0LkfiTVBTd9ypRUlIAp7cXdhayJW1
1EAkUzrJ0erD/ogMboiWTHN8jtv22LScQmOoIKOHdx/+gULocm8nDt3NVkN+RWoVQzYN3PuuqVA/
NsYntbSyLTgynww8Fu1IoVO/VvhD4XBFsqCre2AhowfXkoMnFeHkUXLdqjs9x0VZewWJ2AQ+aMtg
JDmMMtnQy7eUJdg8gRKCPrMeHFuBcqjrxPoe3f8ssnel86pAoEazbpOoRL2Qn8p4xdY8NC6YOniU
CcpYdcFiqw6dnTnBnpjGjIEzdjPliTsU3b6mOZ7H4t2UNV7Tytq31+YV6iQoOsVjNAYuOLG8761u
slNcz1Ckm1qPPY1B+F42CMico7wWee1kPYUTXFkQWVRRR8Al6uOQNn5jf4vb4F9cok9BBC9m1bYz
Q2MWtlL8ynFFSjyUy1U1yEeKWz2QPYJdksNg2mwcARCc1FArLpJg83QeytEpG9dE70ga/BhsVqLk
0Aggs/u1w/5rWubkE3OmFr3ckkh9dUKhRbGgI4MrJihShZQxXpVwD9V/gn7N5fNLKwug15wpmlf+
wRAWrcqoUSdjjUXDqyKft0Ooe1aMCOJV736SRhI4r4/IBEMcjk8QM4pu1EiKkA7Y6RBXZWpk+eR9
pH9dM7ysGQop/wdEFAhNBqISJSkQLhfNM6rVN6Ca8q8fQZJxiO17ZjkreadgHE3J/Qi3x2pqXbP/
eR3l/wiS/zl1xJFMwWzVZoNTJw99pdyScWYZul6p8b1SmaMc5gLMYL7TyzbZ2vCWA/x/znBxeJA7
1vSuQKiQ4/6pjQoL4BITWXWaDEXIjypWmkOQDl4RNa+Udm4AwYvg17+ZQpCPoJ8NVHiW+PYbVg5J
8gkgXfwUzlt1+DbTbYILYhBuM75Rmvc6+sZl9clruwpSzv+gCicaQXd9U49ADZofvHrmWoxHnlul
3xvJU0Jl6dLViTxBEw611OKL3gfQFOWVGx8ELyyz9ORcHvsuIqATEOEMm8YiDgMHIHH5GHT3unM3
QvOhK26myGvCluWFO4ReUioSh792iJ2e2MvgT2L9MnLSdG5xYlt1sJ1R/Jrx6K4bwrvamn5YTfYv
An+QZuiQrVneJEWH7xitw3kMf9hrz23i6mYMtxt7dolbTJ96161zzUxOwQQzQa5i1iHJiGikfwrM
B80uPdT12mnhUWsftX/bcA6/iCALDX0IBeDzhefcoMtLK9C6Bgw85Ta0arBLUD9PJIfW8s2inZyi
CLs6ViFjA+0NJGqduwCUSaa1TfSHOJXArIVUpzBCbNMN4zyRGTDhnO/SlmybvmO1YW/KRIcY2SI9
fa9qrWTB1nbaKapwWjpJEDpDt6Dqr073qbc3uvP1uk3I5k+wd46O4EbXANGhyAgFpnj7AKnq65iT
20b7ch1rdTjoUMRDy9IjqwqOI7fSrO1J37gDLAEvuGj1pa81/2s5lsXwkP7/feQTS6wDLdsinrQO
MBRXN3e0nYeuJJ9GWGwzaTvuirsAkzoEyHHIo/5CfPCuYw4W9aSuXWrv7nXUFAz9ncFlnRTLOgtG
foYibNx8IkUEhZka/Se7cm5ZLQvLVswbAOCAU9VFFUUM3Sdz4lMSAIAmjZfFFps1sim6r3NNmRoo
H1GTscYOJA8fK/4IhIuLqp9jQq1b7EUBG4VphHVbu5WFqAnMx6NJHq0yYnF+aA8ljR+v29+KrZ/h
iWdKiPf7QAGe0m8MSDI1xS7N9nOTSMZ1yftkg4X2ZGBC3JlHppk2EYA0yFeTPVi5W3ObNH7iPINX
Wq9yhhQudMno3IFzHeJFZGbXh7qy1U6/QKQIx8UIogU6vmCajuk0Md3eJTJZ8rXb7RmI4OGzEKzg
87J+iTL5wQiRxhjK5GNzaBxQhVux38GboAvoqcCVRzLA/wMc9BIg6gWZpirsCRQjzNOgd7VrIGik
KBdUbGiJveTkqQGjdWDt0YkLxUgJ7OpGAWn+/6IKLkwpU31QLdAaW90GfVq57uJyuFGhJl2wMsMT
q6wden0h/wAKNjsERp4pM4ZZN8fKvndGtxolCd3VqYQYgAaOCwjLXCiiTMQKyrAcYK4qb+9GJxo9
tZoCH6wJmTc6OSi8Tb1jToTXIkpmk/WkMCRx19o4NewaSKiiWR7h0HnclZkQQEqGuXZDXG+DUHf1
+S4qflzfFWve+hREsBklRR3P3E+1m0Nfaky+p/pWDTzHcod6ex3p94OC6LJPoQRDaVWnroMU4zGh
XW+C1PiR05eofBrbrYPOt6H00+QYpe+Gup273QCxT6hjc0+3Xq9/yJrPO/0OwX5ajiJmFF/B52Wh
WxrPuTp5iK1ZjGqz60irK0g1XLXR1oXyUCFESpZK2KjSMWLQh6A6edIVtKxtroNclunDtYIP8R8U
ISSKnDJKSQqUmGae1njoJLHVmx4q5tUW1Om9lW0C/cCTo2aBRueVJp/B/N5Eks9YO7lOv0Kw1qlU
1aHtNDgf7ltgQQCpJlpuWRtBG69G3rL9N7tjoS7UCAHFrkhtadpWgB4j4M2zU3ppQ/G+Y+k/aEtl
t+TfDHMXhovLK6r3wI1x0TuOxg4wIkSYYMqgheaPHmV4MXNRjn0HusT9zKBN6vMbaCqmn/Vu2vBD
/PKr9LN7/Y572haH2QtEFw/qTlZYu2pffz5M7GpDLrXqxgEfVtlPSQB1o3mfGJI7y5qD0FEKCT9o
LbcxYV1nY5jSNDdqN6ufKxU+It610w2dfU2X9SysxXSnUIIv4pOjjbOB4YAKVsW7RaLLngVlCIIL
yqo2HZIZCAXEZBoNIt6y16TVk+N0EIJ3iccx46QHBI/3tL6NiD9kPyJ1FxO/U0Cdf9Bkve1rVgB2
bpSyIMRHd4kwqK7OsynWFisgG9X2K35wZBCXigzwMaB6xo3csRASixw7AYlwc4hhBRCZvGk2zdZx
vOaDb18mr9tAxcYL3IDhJTIDI+uu8BXJebzmsk/hBcsAKSMoyJch8rJ2VfhpRMYWueEySvxVHMT6
oMuFkAbs/fzItc0BBU4cw5zGew729vjdLO6p/nTdY68u2AmK4LBVXRkcCC3AYUOD0wQFOUj1mm5z
HURbvlX0WiBxMdBsZOqU/P7/Sdpm0NMOnebI0zt2dqeo23ocmf0chM/dzAxa3CbOQwZ8Ym+c1Hdk
O20NHjxJSAET9LuroLo8n8p0MsNIKybU9o33DRm80Xq0ohcKGeL8qwKK6dlDxYuNTWHc638tt4I3
PsRLSzceHrQ0UXagsXD/1ByCCklV+WmXlRc2VNY1tuJKUFgNxgBQoINXRGz565IedeuOidxp2ZcM
algbaiWS29nKmQqiS2TRETrg9UEUFlAHDUrrfdS6NLLZzP0Z/D+1/dlxvxlrxm2JyaxY/xmc4LrM
aMpUPgNOGeJNoNhHQxlZ3SOmp+PuunX+PpoE6wQjL4JLsDkv0kbCfTCySY+G7BRyozcFizaDC8lG
MA2xxOtuim0fg8S+8N9RA8coJD8iZrkxC72PDJT2hqsy67WWDH5trk8+SDxLFSclw0zwQXOHSuhf
E4je4LIjyC324bGsp39xIcYEgE0TrRWLcLbgavqQFsTKgadpzGGKmxEPo/5ovkc7J2Ho1GaFxRIZ
a8zvZuzLef8DK/geve6RnmwA+5z5o8rCinVbcNCzYE8e+GHeOZv+NmUjaAacN6ToM/bD2f9odkHI
DBZumve7YvbazeRKldjXjA9cdOBxw9XVQFvGub8IW67irRIfFnxTNuUh9NqPbmHXDg6hr9WsZJBZ
drO9rCdzbRufwurnsEGYKtpsADZsDKYZPbNfrlv6WoUnFvrPwISFNtSB9pDvgorLR+8ZO+IvpB/x
9+Ybd4MnihwwC5/IdzRfMZQjeDeRn7DP//gJwqJnZULDNMxad3Ib1vntu3YgXvHtITt+vJZHuh1e
AhcrrXjofvWmW9uV4C9rd2l0f6ZAiCEdyDLhbRVToOyO4332abvozUAr2P7je7FV0WYE5do38mQ/
OVvrcWI/r8OvXTzPVmAxvZOTcKxRR0Q4hk/v723X3Pbvmjei3DR8/NBcNFP7hluPTPLQulZVqxsW
mmBQFYLTSPRwTgL22mxOWrcL/KYEcw1HdhxqNKaHh1G1PSrhDZ4O1di1W1d945E/yh4CVs9g47cs
FUj3wP0izPtUWqVpDZj3ucXl2mjRP0oYnDJ6V7aGsS+ce7thYYcqofxutu8gf3J95lf3tK2B7U9b
JFjFM1IZ9bkgHfAHemvHXhjvcydEPvj5v8EIe3gwDVVvVKxvoMCFVcUBylIfSh190VqZeOOlHjtC
CwP9CmB/1sELKnbKRXnUanSxJec+cFsv2gaPIF7ej1/Bmr81dv3t+AWstZ9P9Ceijg2Okg2I7dno
Ni+yXbV27z/7FGHYddxYQ6hgdiFzRL0ed2BcTeNNBskxAI61q7N+q27mG2t/fb7X7jhLzKOhkMwB
8byY4h8ndNVoYLZ3nXZyZ2vcKrrjtjWWdszQ68CneyRYf7St4evNIHEmaw4bqXGC6mXcxC+eMlKl
NqpqwrbSQ3S//OqDL9cHtxKcQ1l3iUqwZXCZEm5T6kSdIVwOSD2aphGCpoUVbkYtBMVak0F48Tra
8muCZ0R3J+I7ZI1B2SuSxUHPLcot8AW6kB5hreI8VbXtcopOT/7Wl7Is/Eqq9gxNcIR1oNVmyJfa
qzx08/SY1W4QWCCj+ZKApCxpjsSQmMo6IhIvEKZbHuMFD4SaHZInDRwe2lj9psY9kbzEGbq/MuNp
6D4Xlq0+kT2qrT02OIgjEFvisRX1XsKRG5O4b02K4hCtdRt6pzch0/WckdpXh72e+sqcukTBo/kP
2hWsBrGhIYlvV9b1zIqEUDoOq2aqRlgRNN33EBHatI3hT3bvJpxA1/L1uhWt7gmYLKo9VdtAyef5
AddYWjiAPxEdnWANRqnFYVSlYkyrGLgTO6jg+J0ZP8cI42IC20rZugXkinhfgDAddf617SdBcdvn
+U0wLCoUfGfVhM1NBzlCCN3XhqtTKqG10dfOFdS2gqQURwsEw4T11fssNPqubsEQbvslpA2IE9xm
U7odg3Gnpfomz9ONNTxphelmqrFNu2mf6xqr7JLVND6ABQ6kFMUepJM4nd/i/EeCx0ragcIoSY8T
twemtCkezi2J81r1nBYe9vBaAgV0hOHns5gQPVJCFV+uVd8tCFg6TG9fS3vbRQ9gdB3zW1OVaUCs
VdChqfsPprDrwa5Zq2oDzLBJGEfVQW4objj4maFs1OJ+dI5amjKnQ3XipvsXaeEzcME0ozTQx3gC
eDco30AmemPaXxut9UGKycagYmR6v74XVqO90+GKWy+3KfgTluGWqLVEji/KXxMkpE3imaHJhsoz
6p0aoqWIIO3SslTdcgXe8Ncw3VrOL8nXLKYoOPiz8S8O8iT2xLtYGqojvsaKG88ZD78rhqmnj/4c
JL4VPFT5dxUkBXnyUqW/FPtJgr/QEFzgI3kL8RuCNncxo0UTra6gAo/517/WiHJJ9Izsi67vqclq
a+MkqDWUvc2vXaUhmfEP5uJKTsZMuKaVI+nhe9OnqN/Y/GZSTOYYm34sWRFKcoMrjunM2Qto0TQY
SujgUDOs4nsOlpa90+q1xOWs+PMzEGHfEj4oYbGUTfI+3Ichd036WJscQuHppiX/ongNaHj2Q+st
HJwos2DFIAkdZ5yaDld9S59dm79onH9tC3szxQgQNBl7yvL9gpmcIlKBzQJhmxb33VKxiXreUk93
QRO6SfovMvyAQf3OwtAB4gXBGyigbx+KGMW8kOMFEZkyv6nqj+sWv2J8ZxDC9g90SHDrS+2pGuc7
JEaZOW6WsoM89MaIu7pMJHPVMqBMZKlQLHYumCSMkaOArKgwpJz1irFpgvuab23IdeeTd31o63HN
CZZg6n3uTHUzAMuaC/Vhasujw03wOjnbskd1tKErTzrhDdOQUQbBUzo9BMj3+BWNbro0i+9bO8u+
Sb5pxcFBnuXP+IWd4fTl0Dsc3xRk8bNRNG+ZWt6lafIRDM8ZHgCTIPAGJdjSJGYzyXHZDz90M5T5
nJWQwHGQjsVtF4q2YLE/9zllaKBMvEJpXaFth+pH13pO8pKBLkky3LWA9hRHTFNRpwrUBq3+0A5N
Qc3Jd4HX4TEb7K10+0M5Tl5zP/uZFz4pB9O/Dr62SU+xhQtf7/TxZBULNji9aBpv8CK0zwzZVF4G
KYggkQhe5LaQi8Pzwflckq5N9KJSU7cDQ2VR/ei7b+YMnoZNpLyM+jGLJlf52wh2gcRTAaqeULUL
kaNzSPCmh0lcI2JMB+Qis+YA1TaJC7+wkAWC2LizL2IRKIY7h9ACLZnRpoGgtDmo6a2Fi7q+dYbH
62t04Q4WFBy21NRBMAPJhnMUG+oMoC0mqQtO6wc0CYF5qHqabO6HXXcHDXiJS1h2/JnfXuAsWDze
d9AOJxZXq204QOUdvb1GVzW3jVk4B3O2n6+P6cLuBBDBHtACgb6nHiCUjthWFVPixKt0ieNeN7ul
CBISvAuZvrBAKWQJ8jgxU7cn2WM9QF7KKfd8iHZKsBC9QS+6dG4H+styqr8Oy5cR4mnT0lUYn2Ev
Tu4kYsFdMXIC7qSoYTK8lr9qiFeiWt/0YK8bu2yb0behGLchVIGuT+1lgwGQ0R2ko8QH8vGGmAAo
cJuDxPLiSpRsQ/KtNb+GwR2Ztm0T+l39qKtfbePTUTfXcdfs5hRWWFLcBgw7MwIsaVxsFGNrm6PE
Mi/O4WVgcCPLPQcPxmL6sw610GiaCZY55JAm9rX+W6xsibLrUBCWctl74/LB4kYgFB0t0PtAMoUK
fpnOAfZ+hN2tabhVDW7cEreJ3wqF+38/c6dAghNG634eNhacIynzp27Ovxr5X1cqYuqIpaFXAhpO
i7D4uTVyEqSG3euoGWm/290+rh5yWRZtbXVOIRb7ODF4qrZpleGJGKw13+DYLQigaYS6Xei21UOl
Sbb26uKcDEhwik7iqBUEh1J3Sm60undBBscGcJmh3vP64siABLMelVjv+gTDigNwhnzr02PdfLGi
/XWUNX+I93mCfItFUVktOKoxnu3ZDBDihakN/QDltSyr3RDmkqNkbY8ipMQ2xVkC0VTBpINIpTOx
4BrsJCa3UC3vWNhq8bfrg7kMKmFtSGqjKQF/0WctLI7axlbeDTlMoVPeusrYgn6HKVx1J7AcDmN0
GJp3Y8BL7FRvnC70Q2wpuwzdFFW6kk9ZRiRuYhv55KWaFPVGIlG9UZoD+lOz1K3nlqBptx9ZMsas
hkpDAUmsAS23BbqNnZKzJp7dAnWX17/gIrr7PRd/PkDYFqZTpZmF5JFr4oTLu01i3eb9JsVdOcxU
vysKhujrOuSayZ6OWZh+GgxxWIZF6jr1uOHte8O3xWB4c/t+HecyDSSMTdgbFJcHbmkY2wRqPTRn
5KwcLM+06puwRTYEt1DPat9BZbwdhtyP8VyVGlIVZdkKC1uHJL0OhSF8RJOBS1DfErxzE/vXTD8q
832Kju3YuQlaSTpJ8Lfm7xZaSMj0wJ+isufc39nGFCXEAG6kxbvQcphTBAc9fmptLzbf415y+C3D
uDTkP3DCXFcFAgiFAC6M5pd8qvyemDdl1yD7CK1ezfm8vrarNkSRKVieEBBzigdGy2MHvKRgeIHA
yFR5RXk3q1swRf+bYeFCAPltlIBdlBRFfC46woFTZU/LpuirLV5GPLs62n+tsrZYqwNJDoRE6AUT
z/OyziKzjiu4AlVz1XBnKFBj30zBD248XJ+8NdNAtRcqG0EkvMQs56bBJ3Cjd1ONyKH1W+qZ2mOf
3Kvm4FraofnrqlUM6xRs+ZiTc1fjSRlGFsDyvslR5qKpKNIn7V7vjL/ulBKgFl93ApUkc0UyDVDG
cGdNH6nyAKZ+iUGsGZ4DS9BBo0WgNC8cUVpjZyryObjtoFYj6SDMruus1KFS8a9Gc4IkhF0xZIxn
pwBS2LYMvI9MC+76XnILXXP/p8MR9lFc9QSciwChhEPE90tTcabRraZ9zaaKNeN9JXv/W51AFI8h
ZYEELeKJ80XCYRN2+dSiLCC6I8WmVPc8/arLOiZkKILVTVnvdCNqX90yzx2mhcrbnM43XNPv0yiQ
HKFr5wy41PH2RjAeOCTB1UYGdGhiG+X74Hz2ayR8Bii8mVXKOvJppcqeGOgPzEd6E3b9PtA19InJ
qPdWtjQ+AQXL6J0A76m4pceymqZy+QSLfOqW39deSfd9UTPV+ugDRbIJVpw9lHXgdcG2gsJRU9ho
ejMWzbzcCDIKth+ubJCf/ErMcecoxW0WmppkhglsQjhclokFZyLyw7ZFBCudtXrsDAOrOaumP5i2
j+Ks6y5xWaILBLDGIoOPukMi1h3mDVKHtdHjtFTeyvAuwzt4nErqY2QYgk2SlKtWVgFjHvAiZb8l
lnLQ7HFzfSQrlm8v/Lf/OxJhbQaeUEi/wBJqcMwZoEuq9tx40lpZj8B1HCoK5c1hj3TQjNGopGeF
eh/xfQd1yFCTRIu/j3JxaZATWHS4wUGO2tBzh6GjXagyalyr5xrlKayrJ7xyRWgn9AJt5JEHsdCo
8LOucvxAVck+GsZhHw+WcxjtEt+XDlHizRBH3M5RFG+A0f3K1URFcVJU5Q9260CvMKljZMj4OIcW
g6JlMPgt9pq163IjVUHIhLfsJC11RpV5fAmGWX2NwyY8OLyc3sYwtYLHpNONV9JNKC6IlKhm6BAL
kRTXzJ8BT+YHaMpluqfYfb4tyzIHF9IYDqj5HOsu2NZBa/UHp06UamM0YArYamEIRVfaDy9KXRmG
mxdF9FpONrSfFOgr5nj31vtdUOr5Zojr2JFs8DV3YuJNGITiKPshF+y1JQ6/TENOL8hbD1rkNYLW
kuzG6lASP7O/XDfZtY1xiqafr3AYd3yKdaBZ1cA6tH4qbQReIlkGYM1iT2EEQ2qSGUYzAUYzfmrZ
YxJ86buPqpBM3Vp+yzZRI42EK37vgr6lDmjkGJGJgL/6KA1Pz7YGuU+i2DXKWyXeWsW9Uz2Y5uP1
OZTCLqM/CX6GNgpT3AKQSzR+9j1lRfYlxeu32YPnokdz6X2j+C13lW4vAV5ZPQcS35BGh2OGuSz/
PwG2qxlVPKCmdkHc/kGKt7kfN5Q+hv23LmluzHDybVwDwoTux/ZuTugjDtD9HIHEwbC2179l5Vw6
+xRhDtraTpVWw6cQ1JEzo6CeQkuPGG0I8d1krxeZZLFXwicMHOcShEmhrS5yywRmkEMvZgANZGE+
FWnh23aZuDQL7jql+EQCfNdMzVNJ7J/XB/q7akJwiqfAIksLzbRkULQ+c/ti3gfg/ddCOwMnnULa
o2r244DAJ4lvofNiFTdJpAS3qpVy7vZlE30Gk6EqbpuYGrK/Wf+g6lO8izNbKxhIbFJQdnVB+xol
dHzuQ/TXsphE1U009PQGFTHpgxrjGM7DQnItWTNhxKJ4kTDQ3QfpZ8GS4nBu2qhHC7Gm9L0b2N1R
tRsKr0BewfOe+PX/I+27liTHlSW/iGYESVC8UqXO0qLrhdZdXUWtNb9+nbVr92SC3IT1uWUz8zAP
GQQQAAIRHu5V/Iw8zD1NNlMZA7w8tN+353VJ0CqhqgDgJtrgsZwiy8Gn+VSrB6NNLXV8oYXoBiR9
NXrUOaPkyagD09dFKxE6i9QV9DCGexTHzYaGT430pLTRySPPg1ZYgkx5u2yZRpjbHSHvjH0mSgo7
N3rmyUollilaYw0fkXojWaE23SGjZHp54BSTaEbjn6FL3aT+9Er6dHti1jY54F0K4HkEwD32ElYC
bRLkUIR+qJC+yXKwMWrtVSW8QtzKEQ3Y8JwLQ/IFLwTmdTX10aDSEm499hNkX9yOgpMi2KSQWbs9
npWFnvOMaFFV8ARGGYSxVJMetSx9BHQUPBd4byvvHfSWiJ1O6CN9UVrXa80g2MqQCkh8dF/Jd0m4
C/ytCHjXv8sHIIj5v8o+AJrNsgnXR6iYRJOAjYUkHE1BNr1tx8xKBk4gtXJmYOVwuGq4lZDIVZVr
K0JiIKwNAAS03dPd8/z3uDFNa289jeY2MLdbTry7XEzAZdHnMdNJYF+zyK826DR5KHEjgS4FopX2
QD8k6XVoPm4v5fzZ10fhtRnm0EfQKEP4BmbSARKVyhls8RxnWV4rswW8dqB9DsGQhUp8MoYkpbCQ
y60zii8QdoizZJNMjpdx9vnaYCBKMstn4ASCZvz1Gqnq5MEVcP7ERtTcN6BMPqLcySNvWik8Xp8m
zJxFvkA7talS1D7Q/lJ24BITRlMmwXnyviuoOI+C4psTXhEDL3O3NpmoWuG6xKWJQ54ZYZ6DUGDK
apyweCiH3UlCgxOCI284TDGvrLTmgRe2fno8L0KTsEerAMQQUkueAAcjaMIYDnJ40HlvlNUxza3C
qP0ZgDgykWUcqMhoq4g7UqRqCCiqtMRtx3PSfGQ8HtyVSxJLd2GL2cVDp9RtrMEWnqyIyb9Egph8
q86CJ9qfCWntEKQtM/Ds+fY2WxkjHmAGCt/gecAQmctZMvSw1pQ8s/r0288EU8pwMyumGO01I3L+
C1tILsA9kDvE3/UuEPoqzaK2yMBlDGiPspFA0VBQK6jBlPLvZVSC/gZUpBFzgIWGDV+LZiwlfyxh
q96o5DSByKweiDm1nPlbqTpdG2L2XCGPlZoMMNSmIP08TcVmkP9KujMgNaq1ZpcdUGkRpdc83+m1
0/I6K+d9xRyTgN+igveD88eIr+c0o0biIxjNLI/29sxG2oSq1c9VUO0JGEJLkv/GdHN7HVf235VN
5l6TcZpJqQKbaDN0jcglqbfV5D1teHU03uCYQ6UoGxoVQ4WyOyQMoe+BQY1Q/Pkk1LMbpbNC0Q31
X7cHt3wjYz3/M6EKg7+CjN0IRD4Gl2nItO2b2p6Uj6lW8MgHZUC1+3drCEuB7kd4QAHcuF6+cRC7
CslzPPzz0JHH0oqro4D8XlwOLrhezaH4Z8GoOcF9YZFZPErbMOs1EWIQpNjUw28BspS9rrphkJoC
NzpZO17wZlbBC4a3FAKz6/EBlBUFaGHOrGbI7THTTKoKkArIbcl/zQTeI32xdnMrD5ouEQQhyETQ
dW3N66W+a1sCBQYAu9A0EWRmoEpWJJ706AEvtttrt7jUZ2voygbgBeHd4noIQjRmJB6sCcZvdNRY
vcIJgZZkBYwF5lLwAqUp8whVCHUzfYbbZOdO2y95I+yL19D605mxpZqijcl1A05X72LnwbKqoXUI
fRgIjiQmd9PltRaWiSaYmYiXELIPzbnOX6MxQh0b5Aj1tuh5MsU8k8ziJWmPp6gE9/DHjwS1TRGq
ulCJS9yC/O50ahkeZ+8tHj/MGJnZBYt202XI1prDcNYlV0b3Pgn/9ahkbDDXqzf5U6oFsBHgSPZ8
F5R/pgDebB6R+Zov4nGFTA0SnfBG5hxBO00dSCHsVMVzIkO5uuD44vpk/ccAc2yocTNOkA+FgeEJ
GQlCHoKBEx7wxjA7yEVY19BRhn4nTOiB71JIYk8Kz8c4JliZsJxEyOrM01QHqqn4r6LxX/mUhj6x
OcrXFCYa8AYoxoHcBGOIahN8cFX1KKmPt8+dZTfs7FQ6ypSyAW60RWzTqwHE4TqMQn2RNu+dHb8m
ux7S9pt4l23qLU/XcNmfydhjBlVmtBWlAvY6lzyR9+5dsh5j8NHa0v2xP0pHzRY3PF2GZfWNMcp4
tNJMcQBYGWbSj22/pFZV2ZNx6ForUsDEpN0FQmWWbYhuPzCacbbtqp/oYJEzDIo84AJi68dqrFUY
seadyhTNxf/6hv4Z3H9+n9lNftd1UZvi94VRtRS5Q0edKU6nhCf4yxsHs6VKcDDScT7ictA/pGQL
lTWL44yLYPB6KCwbYaW0QtRDntREngMiVx/hw3Tstp81am7fGRgYVDd1i5eSM4H/H5/8nxlkEz2h
Z4TT0MOsIVnj40P6LVqhmSIiPPS/wOWT7l4MO6WcjMFSXnQeLP4hYOBHmMG+YFqxFUTUkgSoJYM+
iH5Km3Gjn8rvxn4GL6053gXYC74NLoQX8cBDzS+f94x15lIujRpICA9bYgR/V+Dkr43ZVGg+c4SN
9BZwtsCy/ezHGgSCkeoBboVFGuVpSPJpDgGiY/ldvkoW0uEHdUc2w2P+PuwrE+iZQyyiY5vjUXOE
ffWkgeEZRwyqevwtNZajaZj6AcMc4txUqV2gzBCd0YApj7uC2pF3LnlVz9XBaijoK4An4hJln8F1
7HVtIWCwaeq0juhkrVlusgN9TMz+OLqgFnrot8Mmcv4Z0TAP9sIwc7aqddmUnQjDsXFuRHMkzwrQ
iiXd3p7UtYPg0gxzmmItUSeQYEaUfmn9XD/6um1gNVa9tMAcaYLmeZIHlKeJTCT68vaFq9w3pukf
a99WTd18qbfZ5kHe0Xvevlg5gdAIgXoxetyRyGAb3aWhCOhUQXWxrF8IajWlPSq7gad/uxIAwQou
gxkgMZMxXUcncjR3J1QTzjnFyVA8CaoYReuAc5yurBOSFqC4QG8H1HZZCIboVZrcZqDJj4wXQ3sQ
A45E3g9TxdXmQgaS4j2GhjGwAi+6vDpS0jrI08A6DLZu+VvjTjb1TWR7bmk2bniIneaQPihoCBos
0G283vcbelbx0sjM9L6+w1lz8BzlfJ42mZXvJFAZvSScOVjMNPOJ8xxdxIGBHjYCYLwBOtvPcX+I
VUf2/nU7wATWEA9uAzzmaHa7NgFRX2JUfQYNnAgtNI/KP3fNz7+Pmo76o/wI8Mn17wudCHaCHvqS
jfxNqqe+2feBm/V2wJNQXfg+Y4iZK9/wsC/8IrCkfDJ7bx9qH0riiBVnSX5kZVi3+YmFQIStASXH
nB/JhLSknLcYkK2+DqbmFMfYkc8fhQ1gheVvmmO478BqBH7nM31IHtHOZSMC2AjPucMrmi32CIDq
P0RsEP6AE7O9l3KaiWmV9YFFpG/QBLQdD5e0MqlXBpijLG0iAtJsGKDa3eS5QborgEPl4RbmKWOm
FFU3+B5FRmYWjb32kdhLiUeb2Up5SjxIO0nbppt1vFFRsW8fzis76tIU21NIBiOXyQBTw3Sv5Ju2
3nc6JyBbGw2yIaBukNFCiWrX9WiSPFDAZg9VKaJ8KoWpZwevRn8VSqrxv+9dlJL/Y4m5MTNJnYAq
gqWcon6boYrN5Z+eAyl2aS5NMN5uZLoo5oWC+UJnook+VMnx7MKp/c0omSCXsqa/txdo+aSDT19a
ZFzON4aaJAMsVoIbvgqGqVillR38Y4lQS/mkusWDQC8T14xJxv8aYcIVocBku8+EU4GSqfVlWIMl
voepRUeTpLZgj5vbA13xRGSq4e/AMgJcwhYPm77vYqWmgZUiQxe/KKoTVRy8wU8xjVk92EC/kQxX
ROs544qyoE5dNqiB1dnl2Tc1U99rd+njYIZW70bfqu2b0Mc142N2/pad3jwD7GbqZ/CG9VyF1OWL
AQJClx/DeKtepTVtci0AY1kE2l0jsJXRbOzpqFjBn8bx3MwcSisH7eiPTq/Hue9XjrIr84wnoyvL
0xsPc5HIX7oCEiBqltFjDh6Z2+u6rEIz42QcOIpzqawnGBod2YSgwLlyJSd5zq30sdmS7bR56SzF
TUzZUezmbGyMfbtFcYZDobA6XHAbg4MIRHUIrK9PIaiVG7lWGAHka+xItiKEnvrdVHMGu3IBoVoM
lDMFc5OMzsBrK20oS6E6taFFQX8iPIfcVvSVw/TKwPwBFxFQ5SOfFzYw0HzWOOQMM9mFB9/Rd8Gf
6Sze0Y1vpYHjGDuyu72MS663We/qYmiLvROWUtnBcu3kIIx8V77bzXQHvW+gm0/CR3msQ9zrvAie
N6HMJumkNgtSAqtF7NbpfVN83x7W0i2APULNA4NDMnsR7oVBb8h15QNrGknN1vCas65M9a7JAZ8t
h4AHH1u+hVAQmGsCMzvljK1hxgOVoSJuOyREAtnqHWD80fvW2P3vCTSQTepU5ghh09f4GSkD3/or
osrD8dD57L4+AvEBaJvA+Y3OVYVtxoUqpBADNIi8fYjDZj7tlDv/vje5SYLlyl0bYkZaKlEC3XsY
ok/JUcMEm8DHF4dwl1pv0qfk6miC58SiKz56bZM50+I0m2itwibAq8/iXrSUXy3m80u/Cy0AdM30
T8YxuTadiDRFYCENbD2W/KvTJOimzB1nFDwQSuRkAaQT7gGBFCM7b3rT4wF1F9ckIAdoHESnqQ79
lEU6fwLcMBqmqQBxQfww4Z0S+tohGf71cmCsMGe2FA8gR2lhRU02ugzFnvtUPNOOE68t14sxwwYa
ADHEaHqBfs4EBl5A18XKVINzWThD/jpHvOEhDV9C79DVjyPwtNQ1ePCK1fmcc0rgkAYmgG107ZUI
4akqFhaEZ0x5ONLxQ+WhbxZOMg/zwgYzm/LQoPHYJ4Ul1o+BbKfpH6353YBe3vtbKk6Zc6Z1caYx
5phZrQW/ESsPQ1KUdzp+EulZNQ4FdW+fnIv9/WMF+QgUlxC2sYlwfUxons1rV4+D1ZV/Al6Asr4y
/zHAzFqvBOjD02CgajZxuk/lL5/Xqzn/xNVhiDEAiSfPjPIGQlrmuga/thDofl8gf5hnj0XQ7A06
EmdqI4ryvpGefVGJN5JSp//FEiHQnfs2gDJbAF+lAc1BRjYUVqI+atqDEIF05BDz+NHXZhCNFIC3
opUC/IuMI/RSIxRlIM/bS7K9UNz5dLKFTOZE7iueAOkWtDyhEwrwdza0qgGNF0IdaDmxQ2QlBp5o
JkWp2Lf9bRH5oHfx0sr8FReRT2eU2tCqsCLQ8b7AoyQoQYCnh0+1jp48aLHdNrcyd2hJx1WJYBEK
leyggiZJcFfi3tJa5NOr+lNuBqgWi5ywdNXMj4wYJHB0wDSvR4U6OxHTAX32XVS8Z51g9qS6NwLO
E3z5osPk4fGN6iOcDT43f8bF5GmhmlIlQKzh6RlFHjSOHkU1eJ9iP3JCuT2mXnGOI/Utl8vC7Cb1
5PkptFObqZwZ7IxdXFPKuTnX1lMGtgzfhHQ+pUx8kNKChFMZANAuB2YfAD4wneeoOd6n/6x2h9HD
ENQdfoAL7NMyi8IiqOMotYq+Jaeo9aHkkDW9Rea+H1QrBYD4bnvP2pZAqyjE4eD8QNUwO494KThc
CXCIbTegFyNS601T5DWn43tZm8DAoLo5bz0Am7Gw18sqTrVX5SOggUWwkaCHUzmBccpAtA5lqgQ9
y8mmEvdqUZm18unpTqD8Cqqd196HvOr58jHLfAnjYHHkh34EGhkrfkUH+GRXf0q7tCbrq4Uwoyns
giO9DxzdabfqeeR495onoW0WtAnAJOKUY07xrsP7sps9ycAVjmfeZGYNOhK1rCIz9g2JR0z/7fVd
NYlOH11GxwBSjcy2DQbNLzOSptYwgDBiD/pJ/PsxQvKt4PF9LGt78969sCVdL7ISql2kKrA1gkk2
DbZZF5k1aPmmczPZsvwwQgWtEpzbA1zyjzJWmUlVPbCh1kOSAv0ZJx0Qklp0kgi4zzxPH08gYZXv
iKfSL69H053rN20NeTtV9Ha+SLoHCOpk9jRJMzWlMIg7g3TgRKmrWi/NQm6B+koEg0Bg0Ed7Z+jj
imr6WZsqkeRi68Wh/xJkypjYJRrD3NDrKAezshIiYePgNEBLHxXBEnM9p7Sc0P+vw12FqLAI3Ra5
HfqvxsQxs3a6I9EPzAfA8Li9Zje6OHaNPilHkiNppqYE4iTE1evAGT2Zs1irLgI+OCT0UXie8W3X
dnyqdnVf4U7sRyPpHOCl6LfQVW1sjp4Uea4RgqAdWdfmMcERqFldhlcxOrTSgNfD/lMOZUKqmYsc
fC4GwHYyW6aaxqijcusDge0KiuXtCN6Yijk4n8SGyIHbPviODFJ4vHuhTmhG+whyB6WTbjtkMobD
6GSbFvT9T9KxfAJwlnMsr8R7lx/HIhJkkveCUOLjJjo3vz+1xg4fGSibXjtlHQcot7b4FzPB+ljv
48AS5pmA3BAoA3qhEr9IX+qPrRAmv25v18V9Az03BOE4A8G9AJ4bxtFIXhRh6udwAFF+08b6oUbk
8u8mkPY1kCoBCwe0x659TBz6djBi9M8EBcgA5VKC1IHPy5+tBiqXk8YcdlAT0NR0XiH1oQoccpAc
3e4sYHlAjOFmZ88R7e/b4+ItE3PQoZkd1Jbx7LD+Y6PsCrLxYs7ULbM+OEwvR8Xc0wrN1aLuYUN7
eofEzQ7ArA/JCu6OxLqftveemQamcgxd2fE5rzTuhDJHA52MqgbeHZHIt/Y8vXd3fwZz1muj+/t0
M1gxL7+0Pp0465BqxauKvRmlQkZnUIvLOKHfQ3YvtYeQF1ytmpjJk5CjRlmfrfK1Rh6FfYVgVqTj
JgbaFEB/Jy64jHmzry2OMgLKTVAeEDRQMZ4BcalYan88I8zNcVT++Nln2iZHqcYRNSZ/K4gNQiIA
3Z/xdiqQsItDTsFiWfyZHeciSGZWL07EhlTy7JxNrztaXL2JhtC74O/vrDIB2ZxHlScRXbAm0sKH
gYbCL3AdPyJjqjpkFHgy6WvXJvjIMSW41eY0OnMG6Fkfy3MgHclfDXF6GY2J01ZtOfuFZ4Y5BLw2
KntSwEycn73ILrxTC2qDkXJk/5ZAwnl2ofeGej9IwRYcEG2fxGFdxqhSQ7bW7Yoc2IroGI3js9G+
BRAPqJLWKsXwrVUFN0umHZXebx8+y65E5hPmG+siQiAkCvxUwScAIBeg19WMAigsjk7p3AHc/daD
ZJVAxm9n7LrejDg31FoUCzAJeDaUmYiPJeHr/DrtFIrIslH+6vornM0c8k0V/k17zjN39eK9sMQc
gLLU12Exx7AV6IeM+D0IWsDFRTNA8its+13h9ZzFXdyI88TO5QoImBno72U2r+CPXSXP8SsyI4Cl
x8NoV63CyzivHUXglYNkJnr/qbHYEGOoNKKYzW11dhS/gI8YYE2b4yML1BuGAoUHyKvq0MgFSOfa
R9BurymlgOgO0pR9vh/G11Z3q+moi1D4iSyi2RpPIWTVLy9tzlv0wi/90MupYMCmBNLlPLYJjpri
dyefZcCBJHtS74ISPbsuFd5LCYwbLRhBUMDYqfnOyHm5mNX7E/UKMFfpeMdDn+H6a4ysnrO3c3yb
H3zDpMqXNzwUkSl4Zi89qcCDI7bMbLW6o/FBRslUh2ft29Yp+l9J6OQR51ZdO6DAAYC+IjRIz6ym
zPcMOfIoCZ4PVPya6ncoEFkg47HAW8YJWH9Q4ewdBDYOpFgByAI8izlxNcPzg0qFpdpJ7HyrbBA+
uMROjh2Ub7bUfe9NUFvehaZxBnR903YmeiOsX4EjA5Spm8OBOIB+n3W7z81t8z4iyOhep41nPhS2
dwqc19u+urYfwGWGcgga1oFEZxYK/A/1QEF4Z6l488FzpvBeFzm3w7oN8HEDFQFYpsRMSR3qeRuW
cIZspFsNEBktJ1uB1JzDcU7RsDOPjTcnVpBDxWFyvcZ9nOR+YiC30teZEaI1loh3XdZH+7kpH/oK
jfjQtVK7T8dGVK0xDbK323O5/qoDXy/oNxHeL5J2uGiFCmkyPFK33ofQmsMfCGvRyhVc8LDzKOLW
ZhVNCWhBhtwjRWL6ergkalrNi9GIP/WuIX9kqSlCUP32iNZugUsbzJTGYot09DRvG9+eoPwnbSVI
ZICdFz2SKk+W5+eL2QW8tMbcOeD8zoLIx4hCdAM4MFcC8NH9ghxbavqm+jffQPsE7HvIKB8na0//
jlte0XztEoLyEdpaAZZGBoA5J9rIy5EjxCdUaFkwW+gBRG3EcZPVhbuwwZ7UqYAOYQobnj5VGxG5
wp1UB3+0tOYlvRaWwPwFznQ0sKAog33HTGggCorahR2aOz1tExLfkjS0ctcT53BdmMGuo+hfQVoN
wjcLssI0k8NJbbHxhHLnd79EbwPF3X93xEsTTNRVojUXSXKYKPHwErzjpDrhZPudaEWDbla5c9vc
6ogu0rTMiSWDuqTWq9lcJ1lKapyCgTpjOD3eNrO2vS6zwcwWbstSBWQc22uKfte5rVUgHRPe1PrZ
EHaFxhnTavB8aY3ZzJIfShOAfYhcgWBI3mcerSB9QewcFG+N7uQ5kFNfYrlLIt7qLaYTAC4K5kxc
iAgGFi04cpgoTW+oFabyvo/PifYsipypXGbWGRuMh2DJhrrLYEOTrOFQ7smjYIWOuuuh8PDQ7ro9
aFc2wy/y95+rnrNhxJMi2olXMjmdnvh6nEI4mU6163UxMh81xKc9j3O9rY4QulKo2SGOgQwcc27k
ExFjQwAeWNzUjzrAKN2BoIkDEmJb74iUiy3a4kHbSZyZXVs87GkR4ROKa0CgXd8zve91aQ9mGyss
9bfQS7cQsDrpAQ/Xunw5Yx4v7TCbgdBcL6sEdgIgCOryJUSuT0VGuZZGVHvfhgmdMV37VIe940MY
rgBTFkraL7d35CKGYD6C2SOKlpIQGTks5ijftR7AGkoNWSjlKKg+Ss26Q3uIlML8bbO8OWYOarCD
02Gm0EPLuGzWIFAoiOak6u62Fd7g5q+4eCLIYd74nQEr4F/VMYzhRUYGS34HgW0SH7yBR8oyO+TV
fc5MJuOwYq7GZaDN9qBZ7NkAFGbGmzhy/HPVCthe4Zrg5UXZ8HpUaC4QEdFBWTKTj+KwQaTStyeZ
vN+euyXyZR7MhRlmicYJULt0NqOcpnetNeU/EWhyz+G+eVN3zUPxqIJD+YtH4/mTfVvMIV7FyBb/
yE8w8TmwQjW0NjCHYf5aKQAw76tvTbU16Q5qdxrw5d3vkQdHmX/zlk3mKPUhC6iNBWySwY2j74GC
tGd8M6JzE/Ayg4sbELM6BylAdOB1Rll5jTyAqFRVY9NT/VRlpzY4VcpdU7zK00PHwyOsOcqlLWZY
rSRMY5vDlpIE4BJwCs9W8sIUes42441p3oYX2ywkSpirwXyQtYmTIzwp878hmLKirDHVTLbUVndu
OydnZHTOR1xYnHq/LSt/nsXiLve/tO4lnCLTEO3bZtb8ArxfKMChMQAxH+OLVZaIvaBRmNEgYpec
1X4/gbjQaw5Ssbltau1AvDTFrNWgJEMO7AgOxGjn5b9FbUf9r/+dCWaZMjQFlAaFiZ4MEFe/F4rP
cuBhqVdX5j9TxtavjBqZQo/MPhe2ihOJWWWTmhIz9HT1jhge76m96ntoaZsx0+DpYIt5alPoFfQU
YG+QXqco8q0JIioVVATFJDPHWn4Dkt+6PZGrY4ToMGpMPzI1TIBgKAHxq96DEHpe2fF8kUDTO7AT
5em/sQPWXGQRZvFqZsH8nFRo99QqCMX2uyS2IqgvGIJvFbzGhvmH2PMPpzm6ZQH8BQM2c0+GgBjW
wL9XiP5/18UB3P0gqtwM8czZLGcOGTjOvrqvLuzNE3yxfdMi83tpgD1p2ua9KUu23/zSyCnjET8s
QR/zcQvfQD/bTD5M2R0shT1OdkxhfzLOkMAhb/G22Ianap+8EKsGX8fOv0fh+ctot/Efwb29gKuX
2aV5ZlfLdVCLxmy+c/Nzm6B9wcz+JAdhE9r1Nsj/2S9RwSMzygaMWNqi6VlKBZJAhOBHfa3WnL45
eZM9Srvbg1p6P6zMXSGIyaG9yub7UAqg0jglECmMtgM9qv5LNdgCr2P1pw/h2idlsLEhTYeHBir1
LDJw7Mk0pB3Iosc9SHccCf+tN+Qgn6W94TbogtnUgH+5EeAbkNYObaW2DqHNa9Vfeiq+AnUHYG9l
NO6xuCwQX0aoVOG3k8oOgEyESHvhBvl9Uf0rDgPB3KUhZkv0uh9AohfDHeRPH53cna3Vf24v3LLN
hbHBbAa1E/VGQAeTJT40x9JSd7orbwCc2aBXY9u6/gYtpU68gSQJ+sQitD6KG91RTrz31UpkCepC
ZGABa1ExsWwMpIyT14uDXlv+a/WJKmBrTnfqBrrFX5qTbaM3eiL7kVPeWXltXRtltmJIDWhEzkab
zxH9aJo5batjaCq72hU+qvO4vT3Zy/v82hxzdhM9FgOhg7loPNbkW+0+84QTnfDmkY2C2kKa25Zg
47XY6Sf0sj4IYPozveObsQf964mcHv5Xg2LbyEFCGzfSbFAadxHdyeIGys+3TSyvoqt5o8yjeARN
j+clMKE9yW8IH+3CDJ8hyMZxh2W9BnvhwgdZesRBnJqoHef12VWgTjp2sUXcxFWesRecfDe67fZF
dzLT3ySmF7o656he9iQz9pnXla/6nlLP7tg7nhUclXPjRr9SB6+rw/DYbRvsQQ17EUoUu/P3cC/d
oaLlhH88OCqvls2dC+b6z8Uskr0G3+K/to5sB8fIzaBN5BpOfIz+oHj0Kmyi81NwgqDbhvf2Wsny
XK8Ec/IBzk5pPK/EuFcdD/T0pgGQFdkS8+somfpn/Et40Le8JpV5ftnrRQPdFG6XmU6A7QkvhHIE
cEFH9iwUN0mTHio/5+Sv1o6ASxPMiePLkThMI0z0QrctCn8bYreUbcaB2K5dUbicwCAB6DRwJPJ1
MKXJELfPG0SjeU9/xwFA0XWqDac8oI993+huRiXORbK2R8HfpAE1CFIJXM7XFpXR06XSm997BFAA
/zwZ6qbrnGDaBYE8s7qkMefgWYs5LizKzHsP3NHi2Hbz6yh/9fPSGcrwo8vmrHjHI7GYV2XhGJAn
NcDeYoAugLkkpVaPQ29+UEBc9BD7zaOaIsMplOrz0HuPrdjZOXi4bx96q3sAuZb/Mcq4Si2WZZWK
iBM1f7rvit5WU/1Th7iaoX2MqAHFPuhvZwxNPgoPal6foa+1EbUXMfFsQ+n2GdXcIvY5iaYVz0Ln
CdomAKpDFZN9/ubUr/QpCiGALTyAFTcCu7lW2Coe9FBS5czA/GZiph3vD0SWs4aqBv3ga5+qcsRg
eYHYNYg8K5o+jUKwSVeYRTi6IR72mpwTU+xHpIWmx4zy2F1X9+rFAjAuXYLU2PNSLABpJtBsV+cB
LTd5UHIWetW5MBJVR10AcAzGuRQ9bFt9wJGQDh9qo5jK6EMhG6Xo+2nY1uCfuT2rKwsIxvj5nYpM
PR7lzEO1EatJjHSMKkl/NXLm6qR8SKfvrJPRbMW70lbHdmGMublLQ/W1soMxr04dPYu3cb0TDUsN
DnWzI3rAiX5WV+zCHHPsVX4V0qrCVE4eIBZd70RUtIZQ4CD3eaNi7ulWUEWh83AcDI0BxavfQWgL
4m8SvYGEQhP+3l6v1WPuYkzMJugGozLAaIyjHIIHCFftsvnrD9kOKqEcz+BZYi7dWsiqUJxf/Gr2
ncdOK0igonvO9IFjZ32VALIEwyhI9Nn2NQiSKFoEuhqrlBUTKONzMyQmOl22tydu9Taf1Vr/nxlm
lUAVh+dwgTuwaGLR9vKQbMfe54HY133hP1aY5YGshljrLQaj1kA2aa6svXcAhjUbVbBKHpXv+gqh
QUefUaSogl0fiHTIJsMT4N+NLkAhBe9BtTblEiXMTOIEKqvj0tFNMBNEzY/6a1OlOhAZsiFIx4SQ
+VQf5fJNA4vTlD/GGbEID3+7diohLS3O6uYAyLANyZk8gU04wFGfVRCmr84VlBTy4mHs3ivlX5uE
MXFoQpaBjsU1BlGF65Fl0D7Sowy5itxHC0UHboI7SYrCTVbQ+8SPmud/d0N0F4JC3hABc2exdh0U
kZS08WtLriInlfzz6POktKSfWGdxU0IzARr0INsC/871mKJcT6EJG9eWjuTWnkZR8Evzx9ghTS9O
aE+J4+fME3pHlP18J4Ry+tnkuooeNi9/KuggPoeAsJ/9MaudOBMaV49CikSOLhx7uerObUN6EHBT
IJg3hRyXn4Oe1u9xMsgWrUnxDm0DHdwypBAA58iHP6IgUEj06dq5SgwPfV3o/yGdP3yFrZrK58FT
gp2vzXFaAqW0b3Vo8tqWk0DaFdMgOL0/JbtJDIDTaIyYegcFzPtHWqCeYKZDSkHR1zXSaI/DqIKe
EHKevRlDYB2i8WgnLExvSpXAiUgBlVRA8Go8I0DF6yQQnHHwkuy+O/QEgAICVM6hZUStIVuQysp2
I5GHQ0SE9FiDvPdZj6fitRbKFyCd72Gq2w55pgXmKE5TZzaaAS6QQEoTs/Ik2Q27PvlotQZcOqRI
HlvUR7d+bZDQGqUugKweKsYzKXZVOIoaAwg9pqK6UWgiO2okRjuSZOAXIcjRqfKg7eFJgpN1Vb0T
qg7MjF2n70bgXDrUHIbAaTqhbT5jryX+XknAUIevLvR91ahh7pQKSNdA0DVIEM/JUwMN4kavWmlS
ATffyGPxpFRh9ChlAMXIU909p0UFDhfBMNyhQ2+7WWpqa+pKLX4MY4QyX5vko2orhj+AgzryIleT
FXQglUXnQ2i7bvSnJBna0epoJr1lfZNuC2UoiKVOaez2hIx/ITIW22lFisJJhbh7GQ0sl00yT82h
kaPAplTR4A2yPqW+V/zSeEbQnW5HNGhJ6DMoPfk0AVtvmDpgPvo2I21zHEDhmu1rVBYUe8T/d7JS
DKBHbOgeNeWsGaH3lhnaZLZhgeSO3Oed22aZ8oqek9iz6iTL9kIqitsSM+U2CLP/Vkmh4K0US1pm
xr73TDuZ2N0gNqcWjbRugONrXwdZufWExjjKPSgIYdWPI1sTG3/bJH30WOnetJN7VFHNaQiJk3tN
uFGg2AYqY6MbTZ/S3reLROt2HZTUMgQoA7Hn1q5vGTI96JLrQsQUnTR4puoP3lEWhORJ1PL+ywBH
izMaU/ww9nmzBf86+UKjWgFa9UifDnEW/R/Svms5bl2J9otYxRxeGSdqJI3yC0uSLTDn/PV30ffc
bQ6Gd1BnH7tcflCVmg00Go0Oa/l2ShTpoawFNH6kSH6bErR1wVUDYMuJI9UHSY1QNLW0IO9iFKGA
VYQgZLz3syzdVX7CoagFCvIHua+NcyOW5D6VsvG9H+tRc/lYMrypF/1sM2lcfQCru4ZbTwmJk4Km
6aErEr61e51LhEPDJ8WjwjXZXuTU6CdXEDGZ/WSg9ifLde/oJGsNU431rj83M8l1FJXNTp200UZv
d+TE4FwYndu++BpkFZ0b+IN3KsgggXtBBYi9oaWKXoNUYGwz3uamHJOQmFDUDBvDSQ6uumel/C0n
FWDW4TLR7L37GkluZ/lR4YcvxsfMwS/ttJcfQwUoNc8XNYnniyghpoxTmKV2pH0MAzimW/KTl98l
UQ6BjxisaQDaxXrVrlQiLleDil0SgUv0bJiz9ugPjbLWbssMeBaiVaUy+suEjSw3jpoENsZHHF0y
XhkLsPa+w2YgRTEPq4CS5PLWwkxbhEkZ3Fpq9RUHsh3UgStl9UebvOYY3DKrLncaNSd2Aq49o2Ax
haxEUxg7REMD4kA8hug8vgw25SHRSohvypPit184Krsu22UoUzM0veqFn+1uIYoKrXOunbSmrWoL
yAZ2aABmpXSQ1DQrcLl3L2roDcGuFRkB8EoIJwAyB09KUQKSAl0qjPlE9lHDQ0yFy0+Z+hdF1DbT
xOumkWlWUcWP3Ph5W9GVMG6e00cLPhhKMJtCxSEB4bgpaSEyxKhvL5cmEWfoqq2PZjvWhPFKfA+g
Ax0JWwGh/BWkTJcFtYyOSGQHpO+G9KbGGgpds4+lgHl9FxVJuEGxzHUIaJsytAgnp3dZ778lUTzi
iZSU9u21W3kWgesB4B0qkh0o1FGnQVYi3NtonwMB9bnqX4LolaiMtODqkv0VQcMmBiBPKrgeIgZp
sNWhtuvK+5+UoKPdzEdzpSpCQlt96d2m1Z7/RWFa+sMshE56OA+MAV1uizQBSSOOBQTUM8OHjtmB
vKxNThDeMrE4dEHzAP5Usyh7VhvD2nkCGcdMJQyrk3Vqg2IpGfmCF2urqwXTT7/41EGgxgWTUydP
A89IMlx3qsJn4J4CQ8GcbVPp48ulw8iJDSpz6kdmN6KZnKpX4Q7x0zb/VTYmC45gzdqBvQqyOYA0
AaKJWtasLdtamq/GWHgqcyeZvjhtj7jotn2sSQFzPDBkDPgHPPQvN68N8MrjEXNaUXaqK2ADDBho
Rgjx33fdYRJ+IYc6u0phNGAY5qENWqX5XNvUU3LIEaImGc+o0q4dKkx1AtYbY04zCOSlSgNX9UoU
wCwQbhwSfTqMmBC4vWprrgHgWfAK8xsZr8hLEWPHywgVYApcqxGzUzPNLofQtzIR9fbbov48Femo
BO0vOFdoRJuJYSlZhlhySmogKnGGN7x21NTZN17pyNa0L9zQUs++qznaM4ru5pib1S5jZB5WlV18
ALWePeiFk0SbPyCpzXDYZdnvmDmcNq/Y/19LQKBdamn0pTTEE4RwGwxklc4xdZqv2vK9xFW3+bf/
VN/3r9UHCxx9reIMDGxlJkZDSwZmVi7lKprcVhmHwlZdmR/TRkvN8ANQhGR7LnlT3IC6iNlvsq7q
X5HUhkpkmvrYh6q81W2FDWlt9b5rTMMRLO5d3ciP0U684+75DatsuxptA1oJf4EJzBt0FUpUijGQ
Gr+2ZG84iM/IG0V26PkbNBN4IGstzfBcef3+5bYFr57HhdT554trexQSUGxHYEvihvuYV0xfZMxo
zgZ4bTt/1aLC5knv8ComEFAdssDs9tFP9hK6RmEKv25rsnoFLBdw9qYLVbJMreNQxgKmINC6a96y
Q+hw6KZ0FcCNAl7s9ba89ZP3VzHKOElAwq4ZIY6gQw9wHaYMnuukf7ot5Xq2HxfbUivKIPE+LjSh
g5jGTu8Uk7dK563D4NbWP/PuZ70JGWpdT6RRAimPIqtD2HUaBErf6OJNjxNviSDwfqufCKBoWOqt
xfrIKuJdIaPHDG1Rl5sG1AQh0kqYB9r2m7faE9/Rw3LUTwpmtRgruXabaiDvwK2NAB+PmEtRdVSX
xpSSxkI67VE6dzbaG5tD9AZc1UdZdtq97jafkWcw7ojVg72US9llmKlSTFAHtYTv2AleMjsEFjGq
E49oylYs8U7+iEDM4AXHlBUUyStnT5MkTL0j6Ya5P8pE1TAsgzxWEV9GfLmpsxgZaqUZR5sLIsA1
5T3Un0pUfwoJ3NMW0eXoPJV8/Zz3mmADoXzY5KD1PBZVwbPmpVjfRtl1M+lVhpl1+IWss0QybHNg
HjB2fNW40N85P3u0uY3xcsdLPgqlXtcQ10wyEn/SWSjfezHYxGkHJm20FKS/iwIjnkrAyFasK/eP
YJpoasawqsMRC+9HgttrAP8XEo+h3Ko5/1XOoF+PKnJ+YwLl+l1xEH7VSL/gmuSfdfBZ/z5wx+kz
+eFNiVURXfPnyJr/vzU15jzNwss2Ux4IhQoG5ynjX5pC3BC/9iYgXBeaTDB/SSy9VO/rQn6/re+a
u13KpRxFIlVo9+GxpCl3XyZfJbfTiufbIlZXFDP4COcAtIMh9EvVsnIcdM3HiqZoI0D+UjmpaCLn
325LWbWNhRTK8NuQk+N8nPct/KUX25bVB78aNaGSNzNhizrKUZTVZwDW4EOCqEk6QQmrxEjsHX9f
2up36RrbdsOEG17VCKOWMzARBs3+ZM4WJjGpGcLwHDdGJ75w/SHmGed4detVAKmjfRQj53QJtMIA
gTaIUKitcnQcD+ZYPnQTC95uXQro4UHDid5cGs6v7wN4wh5ajPVj3jvleF/FDIe8KgKdGXiXIHPB
0wZGBL3pmh6XXTn+eYsD+AQE7339b+x4IYayMH1K8XvnG7yMtoocY7BwI6svfMp4eqwel4UYys6M
hEdqfr5Px3GTghBE27acHbMeAfPH0vHj3M3ynzWTqbdHb4TZlBBIETXMvB746iPRbEPY6oMD0JTb
R3M12EJDNnJkmM6UrmgsuETp5L4MQCv9qbdO2TnDTscYvpfsQlt3gMmnd/ZcBmL4tvUju5A7L/Xi
BAlZBc6Rapa76z3txD3iPXfMW6s5Nk5jNe/t5raiq1uH6Sn8QYc4JhYu5cl8qw5SHTZWJBzCSbGU
KN5G1a+YKxjl49WgXPsrid4+BeUdHfcwtm+02sLV1b1SvAojkHe2cZYj2bBtooe0MGvCam9Zj7sW
oqkLUqoEEN22UNL4HtE68Rqchcf0GBMz2wwWSooxZwVHfp/bPGt4edVmF5KpO7JDbYI0WdxYMWhK
+se0OUjty9DepdFhKFkjVmtNzDOhtob4DtgxAJG83Ew+CoALWELPWrPrI7/zUSTbTc54r3nFBsXG
o4TZ4hOzB31evquDCUBl1HrQ/inSNiTlWRkrE2y2sbtX+H7TP5Pte3A0NtP9bWu9BqrBk2TGbv6P
KNqIol43iD9Bw+KtdVSvvFO+4t/5cTwNM5a+7Cr3sct/kHfM+TOunvWTuRBNG9HYg/do1rKzBdMw
Uy/Za3fZ5v3Zt/I903DWbXYhjrIcoZsasIzNi+qC7npzD5LrY2dqlgQmOmJph+SYfrG6l+ew5sZG
0tdrwuNWzzBWiVHbU8WB0+++6k1ORROQc3sfV6+/OZOJ6VNgctHMLHgfR2nkYxtDAzPasmD2xlcX
bG8LWQ1GFkIoVxqrVdMaERwOp/imMDyiSnlbwNpyza0+gojGG8zLURYRF12agpQU7Gio1jRjYE0k
OeaDYZGi9jKtYlQh1lz1UhxlEaSRMJ9XQByARkA+R9y2OnKFm7Jmotc6aBH2/tWLCrDFagC+r4iF
G1xpCyi2cqOYgz3se8Gs9uioUz7aPbfpzexhYJ1v1pLOe7q4/orBSJBRh2jZA6mmg3thsmPHcORT
VVjGA4hjPLKdHN/JWK8ZlmTadwKxQ2pTrK6hf6bBDjATY4K2h03LQpNas/3l6lJmabS90jcNBCno
SSyB3wQwZ+BM3DbN1avAAIIY/qGzA1jglwsZ1mmrN3MMW2YOAbSPnuxJ8lrJ28Q322jPB48ccFoL
QBQcIvEpziw/YKT71hZ0+QVU7Mn7faD1cxazSU/JeEYHgYkuFhRdTSMKGequrSmaeOBO5sIPuF0u
tdX4OJ30AaFhOAJI71eZuhKrbMoSQVkmV9WdyM0ixlx4yCIkwFTfbbrCYmzc2mW6VIWyw7jL0qLN
IKcBN1Ly2XJOJTok/5GUI9qO7WC0UuM0sLg5VuIUmMmMfAUA8/mCvVxAMOgmiLshVahKUxC+urYG
A6opC+fBR584i6pgxZVdiKNcWZeDKQYNY3iYkuq+zDJbboDIiAlZPO4YC7pyC1yIokxjwmtR79X5
pdWBcKeJd6RmsRaxtKFMo+o4TRobiOjS0yS8jsJZn87Zv3gyQhEgV844dNgqKlIve9lQ8zkgGPoz
mnCUcJs1LsP4VtJkSxn0bIjANUDKL3Avj2AfxHi0bZDUxEDpe6PlpkhKpwFw0hQOmzIcHxiy5z2/
DD7QnIvu0hkCTZppMi5NMEpA0Vn3XWPxEv/GJZkVj8D4G+RdqKK8lKLi0jaRKYa8Uya/xx5k33nL
QpRYSXn/6TXFN6AJAwB8lNtMfAFddX+eQ/GM8w76IhWw1VXrtuJoDug36sb7CDxRQvDrtvrX7uVS
MOUt61IoQQGElR9Ihsa7TcaBhnVgRETXhgohGO1HSw0yKIhZLpeYL1AjVNU5ItK8yff4yNPVL2V6
u63KSqQMMRibxgdjpAne5FJM3Pay3M4vPYHcq/Fk5SM4ueNk0wn1toubTaiMZ7V4jwUMHBDMkZfC
TsyC/zpawkcAohM+DSSN6AO4/AiOE8W5qaax+gaANaAXzImZVg6qlre1vfacF3JokIYhQx97Fmd4
QGfRoxRGTikUH5PP251I0E3xawxZYEfzl9MHRcchADQ3ahcG3eAgT2nSCUPRWH4oRbYsTemmyv3E
jAb/XpLy49CjQVjMOTAJCmLOWNbrWx0lewQUMroAMR9HE6WMQ1pH1Zg3lqR8Rf19l/4GH+pQu2g7
++/XFfCfxnyl42an281DYeBILDYNBqRei3obRe91+B0X7y3/zYQ/vb5zoZQsi8A0QCcC/r+0lajP
2lHpK6yolJtt5445Hj6uEJwEBXM+ro7wvhBfxZRxNa0kmS7lUhfHEMcSx3c1XJ7s/hqsB25TV67+
8ci96JUT1k71wvAyq7unAFHVmMfwMTZwqag6JTpXi20DctnJ0pWDjLKA8MlHz8HAsJM1V4P2/X8k
Uf4sUfpcD2dJqIeZhmgW/GcfWzIT12zemqvDsJBDHXMyaNKgz3KyxlEehZlYwMx20gNQDWq7vC99
S3m6bZgMzf5cIYsnit9H/1nDEPC/jX+q8tccTcJG+nhbzsozDNYBFnpAwwF5A0iOl5s11Vreyfkw
v4VUCzO8Ty64FUDSfRI+yHnC+HB5X1ho4Z/ebwteu4qWcueLeqFgk6BJO9d7WGX9RdBsTY7EYAQa
12idmMRZyqBOXMeDRDrmIKNzMZ4lvpQ73x62+ra2/XP+JPQ2UqsgY1Vs8plY+8oEAR7Dv6wehcXq
UmcPOIWcxCVY3UkU7+OJdzHJYanRA8qR911ZbW+v6QpexKXC1J04KlozqgMU1s6qlzvCN3fyY5D7
krsgNMfeBsgvejz4rQ4Ah9GU34g37fRv/jt40d3QZnzMvINXhwZw+kAqxcg25rapHQ41ok4BnDjv
KW7u+R5YGmcKHVe4K606Mgm4WeuD9FvYEpwmL/LUZ5WRDl43sr+fQC3/MPkjhg5xbbbRzhAdEQAa
rJ7K1YOKASK4dQx0o1B5qWWKvFLJ57OWxa+2+sFsrxlOZ7X7ub2aq4a0EEN5ungoi4AvISYxzLr7
4ntgTh1zoJBjKJ5hs+suQQOBHDoAUZiiY+R4iocp8CGLDJGXtL8mWd034mdDFEvt0Uij9hbQ0YHB
EP/GRIutjd3RUGp7quQjF+kul9wPJGb4w9WYGZb0z0fN+7DwF6DLw2wQX+JSkTQHmNAOBxKUcTuG
eCK/TeVG5++kliF0No8rC0ZmQwKDNBaDZhnnK2PMJRE3Z6rzD3Gqntm4o2uBHZpW/xFBqSUFMTeM
JYICMZOcKgLSl8fHNleQ7cjtgozlj1YPxEIcZa11azRcUEOcFPKYwS2sAG18E1rB/4W1LsRQ1tqr
hTC0PhZOjdHTVrt5xNuCxKPpyy46htNbVQnYrfAyiDRRRrs0DII4NOoKGIZQl6ZSqibGIgYmMu31
mxU9csAonvnm0WJMl1LVrEoaRKWNVQk/oNusE3BLy2CRQtq3M9PIClRTZDWWrpkfCrc4gujIRR2a
upq1aVBLXcFmFSm4rCrpLukrhoNc815LEbMPX5wqrhQ1vQyhFhdGFhecEsBdEdWUWK0Oa+5rKYfa
pLCMsaoF5GQzLl99wijjNGCOByMkHMMeWKLmVV2oVIq5ENcyRMUiElm6WVQixgOsqjkk4fdtM//D
hUc7iKVa1H1bZbGKQUE8H7hNixk9gJ8cm63sGJZ4KvaDldqJCZQaZ/J2+il4fI6sZ2KzHmprHmT5
DZQHSau2b/lmtsw2c9LM6afc7TG8pQh7pFY41sT72nFbiqM8SNkN4ZjrEIcOqCdORIAfySGGDcHW
cHtxV00TyVZ1HoMygFxyuY9gtZokrkXMLZfuJB0K+aiTz4llLaurt5BCeSrDCJNUbJEPClOv17sN
ZmOBfLgfgIhQ6PeElZJcgbeDH1nIMy61ysqy0PwOWuWjqf+gXzx9k2z+QXpVACDfmQWxuJfR5jfi
Xek2rn8k59ururp9M4MkcELQp0dfaZ2kcEMwQl8u6jBEGSI1j+F4Rt/JquNaCKFMkoxqwP1ZVMz1
27z4GrasC2alzo91BPymJs9IgZgxulzHKUbZcvDnFxl3KvP7jLxXxNOG71D+VXUnNQJD5ZFwXsw/
/Yv1W8ilvIsvCkDdn098DXZpoQ5MoBiYAutVNlvBlV9ZSKH8CoaK027yIaXM7uT8tzwexDY1Vdkk
BUZfa2C2qh+39Vo9bQuJ1JYNeVEaWTHbRb0zoneAx5D6XWHd1StSwGsO2mAAV6L3lq6gdJjQmRoR
UgqfsyJNchNQiMT6qRNCxi2wUpqaKdT/iqI2CqObYq9h2hmD76ZxFjqgx4XHyeOO8j0w7NMtsca9
8S4wSosr7mTmSpxhiJBAR6fLpVkWNddKpEdSsimOOsZn1ArTouBhE3KrJ07LypOtnOYLcZSSDWac
tT6GuEI8pNyjEG0E7vG2Yaw0QyCTu1CJssVBLfr/21FTAZ4KffuVnXbHNkFfEsp5oSN0P43sVvqe
1x+qbq9k93V4qondwrEFjNVde9DjW9B1AlwSYPHQqWWh5hUO8xLQ1yZ3QD/HzuafsvUYHrpDswke
WzflTH8TH7I71dwFzzWrO2wluLj4AOqYAKahSADlAKvyXX9wi8AOjPfOuCsCzbq97kxdqfuvAkdY
EioQJREbg0SYlcAc8q/A/R0fviM3es0FOwQUKgrkhxaIe4X3yUqOspSl7kYdYBEahjXwek5tYMrL
BCy8ALwjH1L0cltZliTqVkw0EA5nKnSVAVPg78tkNyaP9Xj2Q9bFMZ8IyrMuN5AesgQhDsARKkiq
xEMlfzQxI6BeGdvG6LsM1kyMIWJYgy6gYepV9GUZFYFxwNjyCUgWQ+KWkjtl+3GwoZxE0MIhK4xo
SV7xPAAcxqGQZAxwAIj10vMEpK6LZJDRWdBIdgX/NgwAqvIigCCJQNfQfTOKLWKoaJ3ck+7IBfsS
yQNlr0p3vfKm9g8hEARFoFv1xIt9O8o7Z6rNnt/Hk9uD+GPCy0cyR3kb6f6+9UczREdkVytWA27o
enjpgsJpmk+xnatolpaOZhHvx+qkNbw7BJaBBxMBNjzLA65YDvqngXaGFD6A7egbBQmZPOcmBXEA
PCABDpNxjGPLQPlOqezbRrq2wktRlLPNexnNUuIsKjyEqo2JfwkdFSFn68RWC0Zme1WYiDIpCMZx
idHVLTL1bZJKEJZ0hjmkk8tzqtkIb+h3ztu7qGAVZVdu5lnQP/Iox9bWYxbiDYpXE/fCa6UtiU8o
YbtT6/yLRVzIobyaoPtSUauzXmiXSusUZY/vXPGkKfAKTd/qU8I4GCsLKYEkGYTw6FnEqBt1I3Ni
oPuiqrfoOXB4UmzD6WNsjlxWnoD+waLuW1lFCSwPaOhVlLkznRKWZlo5GcRoLVHxwd72PPoTMgNu
z0KQXLn3L+RQplgIUoDhBK2dW+iG+JgIT2HHcMkrjvJCBHXtS5NkhFKJdWt82RKl3lJlRoi2qgSw
0pFghLtSRcoUxElSSRZgseSgfW2yye6K4DGLGDHDqh4LKbN9LNIBnaBzashDSgz/JjWpmbPwUFl6
UJdXxAWGWEyQUGK8p3SkEbkupElvnxuGELpnAnNrEsEBaa1Bic1G2fa6DM/LwNhlrBXNo6OnZafJ
OTThW+UEjBtbEpjdwysOG+Sz/+y6JF7uR1XFZYNKW2uN2XQM1QPgAsDAiMm4UbKLMDukDYoBQY/H
OG82k4ZCN9qLA8EOusxUet7zAUgTs+oE8xZRUcHFR1HnNutAfGFwWN20fdbzczneEbJP6j2qUgIw
9duH25u56iYWa0Ad38jnuywSZ5sMe68LAVMYviYiOKIZzXGs/aTOcNthLKww5jMcR/dtVe7T7Om2
JiwJ1LWRl8TQBx4SevnNzzyxERh2v5b3v9gaykuoYTJlcYW1ShT+SY8izERMvW62xng/dJxjxLo7
gEq5qR8NwsIpYAqnnEdAJjSw9j4OBP+U+pUZ4JC3p3S6r9XdEBnACd5nAGK8vaarxoisF65+1Byu
qg51patE5oLOSuGx/MwJ5cjsS0yItWbyqT7yze/b8tasEbMn4BTUgLmHLs7LE6kPco2OWMhrje4n
rfKnAbmwFtSnvMRc0Pl00wdtKYtaUKAbi2kZh50lHOrUrjDAdyg+taN/fhYfq++ckYdaaW9Hi9dC
Nco1676MBsAM4rpv/i580c7x3fi7NMxir4Gxy7GV7YvyQOzb67lqNQupNMp7oYkJqRNIxevU6X8w
Pa0c5W0AGE2ziBjCGJtHt1TqQgEwcExQWyh02hjFw5gkCGkeddm7rdTa/bPUiXLbgRIlcRNBTiqB
8yyR90EPDKGRlSBiiaEccSsElZQ2sxhgw+r9LkJ2jZW1X+scW1qFMju1RUgw6qM2trMQboNihFe9
RU/ZQbCzff4mnyPVDBlueK2geiGQ8sM6IDW7eN6kOnshn5qpfjQ2QHGc0OusRgGLQrEXn7rKNB6S
l/9t2yj/DL+ZVGEFyZL03esvolSbJf98WwZTPcqBdGMscBh97iz1KKG76UMwm324UzK77aFS/jbt
gPVgK4Upejrruc1wKArlUHBrqwGwxbu5Lg7MXeEkoxBvqoWZE+edR1sBi4dgpZ3qD3E2oIZkcAGC
q/nSevwxDY2iAcKRXIR425/SZBdHTiLZYlrbYXQey2Pmb9rWKzH3Xt5FMeMkrmQY5g8wkGGY+VJR
8bz8gAlghZhfwCS70QN4okvstFCsET1WtTkCiTvajmAOm3wnLRzWRs+reem+L0VTJyfXCdqtNHCe
xOqeaKhJgqlT38T9NoyPnHFK80NVvuWSV2kvhmJ2ImDYc0fifwvCp4o3CuAkhvgB7aGmQXhHapyw
P+qlv5nA5aAVT8iSiNzbTNFkoIGyLgDjWX0MAW81zYlMIJEsNpIIsE6y7eTarZC+qA/1FKNQ86FP
nMM1sjWMriBuoskp0q1S7nIuc8p+m4FoPNqq2WSCTXzSPXX0qu4cD0dfOinohCURsdPsFwn3JA1N
QHsaaW4b030SnTLRBuDcCJziYjNkpyjdRqPLN4hXs5dUt3h/E2kb3XgBHK7UICOQ7ZPxIRlNTYht
vdpo5Vlv3DQGXWJ3UNRdRAAGf+C650B7NVDwnw5xtc+lxCrjrZY/puByqT/9/gl1k8w4a90mV01t
9GLplOH88B04hsPvWraC5tRPbqeJTuibcvrG1++5FlooiZgIimL1GMzM4c9ZdObyT8Cw2YbfmwhY
GpVguUbU1ORdzdlG+C3miiWTd37EtOCJK0IMPROwWEabVHdhflaUP/vlJvXdqflpSisyDrx/Qhqr
q5/1+KvH6FZQHjpMmABLUpmczBisuHOJ7NQ80FHb8tCQ0VPEUyL1Jp/rnh6/oVvITUMHMEas+/46
dEI3tQLCaQDDoyxEAxWnCvEBVNrOzTiWsNW2ldvYrROayaE2G97k76Wj9lw5sLAzT0zmOO+KeACv
gFXdANXAPNJ7eTLLRMnbam4TjA6JLVq9FVvZqQK/i/l6Vg/EznbfKBy91g6L9OhP7yh1MC8kUwdT
BQKsVuFS+9Me5IN7qTSnV1KaKUJX6xGIUMfCqQ/jJthqdmFHHobaeZvYrJtgxT9cfAblG4OuBn9n
j88QrdbKIRqUmh6cce/mb8+ZiRvO1g6x+Wb8uu2ZrqMgVCgWC09dc10R6yOvoV42EDtIPwrRqYvC
bCWWfvP331pm6qbDAFBfagrqV6mZ3smWtA/cGHqWduc1jr+vN63FSimtFLIudaNuuDTAkEajY03T
FzBnbTO3lM3KQf7R/myOd4mnWD3jGLG0pKJmQF8kwBmFRM3YSYrnD3cSt7m9YWu36GLHgPZ6eVSC
sdDVuIKMSCVfvLKZ+GwLMgmz7j9RcbKNZPhseiDhxkFs+sBUH4Xe7MPuAdiCjOeWeNt4ULS7/BTD
SERA/+JTEAw+GIEpudk2suM73/6KvcGeHnGrmSizmLWrm53Vu+j2twHjbZ5vr8nVdxgSusPRsCph
mgDN79Th6blgTHjRRxg1Vq6ol1YJ51prR5E1enm1vxAENAi0VsxQckD/ohQGInWhymGPxJuIwVsA
fnGOxMISvN5hSgp1JsVOmpIBVMhWFZp6ZU6Iz8w88rINem+3kpUNZo7iFQuDiKUbdUKzok81Uka9
xeUPTfRUKEC4tm7v0/wrLpwApRh1IJGx5GrM+UNExPNgeSzTV5GT1MgZ8jE/am2U/HBtxBpaXbMO
jC5h9l0FkrZOP/TiCG0y3ZT0KAd6fA0kA/Glr/ai9HZbuesn8x/t/sqhHnqTLHZhMWIBDcR1Nuh1
wfO2A0oW5o0P+jl7LPbKMd4qGP5nnMPrZ9ksGXP96LUE0qpGjw0QbTKAvhH3VrLFqdtqvPlamZ0j
eZjLcOZ5JcY+MgVSG9mSsg2rFgLVY3MIkRn2DEt50D56d/CCnX7HTEfMTu3KchYaUo4V0KgZwJkg
sFTcwc6tzhQx7IxIzc2smrDWc/78G9L+pCkWz9w2S/Ju5CFtsIWT7s18dmY9OqI1v88mTz3VCIww
Uv4Jaxo3rHtr9SDiLQDgJjROXk2BjUKeZ+KU9misQktrtwFjqdkrKkvJ1WMxU0ZgIFcE5RF13tVG
1woDy4pgq/1pPd5SHe5Q7oov/15zKqRD7tJ74jb9v7IdkM2jdDGHevSl0eoAAVd1yEVh6Vt+QGO9
69vJl/g0WYpVntovxrEU1zZzIW/++WIzFU5MmgAIapYG4PoNEMfRf2qFHuYT7Z43W7z+GCt73X8w
H8eFROlSotb6iZpy0FD/IKNZIk/tZi7XmZGr2kDCqU+jrXncFgMim5/B0j6KHXeIGJA/c9h6ZcKg
XgJmDPCLgEV++Q0A/K/1XJqdUXKQhR+9/X17WdeVXAigXAA6y3pAp8CXNwMoGHSgEMiRFfH6Y9ai
PbUtDPS7oJRfYe5tlJGCDkxQB3+KfbAhRWQBCdkUVd80pvLUF/021kG41VdnXQGnRMGFrAfGdZg/
78nicykH0sV6XPLifLupW/Wj/5zMXHWDc7F5BKLNRv9O3am3o520GyxBtQdrtM//dQfM5SfQUHMS
Jw9VomDF0mlb8h9c+6CDpkN/zTBhc3tzVjcfCRZ9znLgMUdtftQpJahx4b8m1LqyqbgbBt67LWL9
ttNm/AIgwGMCijLyIdPwPJ098tSiYRZBfXvnKnspNcf3xiRPCnA8K/RIupV7W/Cq21rIpd5rkV/F
UthALugetnIxHVCltkg+OkHwfVvS+ir+1ZAK9rpoVKaGQJJuvIbhi8zigVu7ZdDlgpaXeaZbpuMS
rS4C0pMSJkkUr0bSw783hsc+84QsuUtZ7R5r2iylUW4wVYspqBNIG43Xlrh5w+p5YgmgDELVQmUQ
ZgGqfpaFXw0LAmE2WtqjId8LVNAZWA4gCJceTRBHSVK7qrc67atW7Lzx6tDFNItBrNv7vhp/LyTp
1AsrHzBWq8WQFEp8B5aBABnnODqm5BfxY5eIEppLk8bOOuO1D8H7wWfNC99hmkHR8zs/qRkWf92x
C8cBNgfZEHBbI4qlVnYkcil1Gb4n/hFMwbAbNBXVZn64Q5MSEiINC6J97YgZOhqAQFEIAEyDch9y
CPaAoKx7i/itPWqHQkoxXeOAy+j2Ql8FOnBOSMXKiEDAHXqFFiimjTT4dQ2KlMTYyW2J3Jp2TPBs
vS3muqqElkd4DB6923ghQqdLy2ki0gHSYGa9DR/17LPoHvLBRgUGnt4KMqfmODADMYRereEs0xBB
oAZbmWdEL2VymEkOcx8yo9QS6nOId1wOBO7e/x/lzN+xiG40sY0In2F0d0RSuT2PmatNp0p+vb2E
LG0oiygixJ+BDm2UpDMDAO2lwlnmH8fo6baca4uYVw2MYmBy5GHylKWXIYYe+WbWJjn33UPGn0pW
Oe7KjfzZmL8iZje2WLBAQcMJQPRja9C+iLYVKpvkViz/TKF3W5crfwhBOhAAMMsNBH2AEFwKwlyJ
wo3dAEHFA6mMR9T6GdWxVQkzZYMEtAGgB1N2LQlR4Ic+HyPxDBqSV1lixJBruw7cQSBEAMtAuXpW
tkEx1kMj4txoz7XkglTNjP1TFrLGJllyqFBSHDK0vfdCbKmpTeZuR+2ZJCUCSoY+a+uFqfo/vQHg
IaHRT9smVeICEM9WZZzE/HfSi4yb489858UdJaMjSwKmmQCMI3BBUParclrBD50aWwV4pdXtByAm
QGng+B+1NzqAAjdfjuJOchXH/z+kXdmSnDqQ/SIiWASCVwG19b67+4Vw27fZN7Hz9XPomLiuUjGl
8B0/2o5KUkqlUrmcszdm9pZ7+u/+EHots5mCR17CfgZ+CKzDaSsFIV6xe1PFJhIM3IID+vvTj+ye
q05STIUJY0E5pBmf1S5gYKIDFZfJeHnjOF9kma42uk2aPAD0YKcQ5bnTMWIDGBArBP+YVcuwOVa/
CXQZYEZcAGPF4867LGioTlM3sLKrYO6ueKxtDTzxJxzLaZYkZ8+rrdgdNDIuxI/LvSP2wJdllqaA
y8b+N3P1PtEgtRlwqagOSoYMYAHJpBHQfne1CXiXHPCThPQUZGd0OIR12PtOB3wGMPJNS9MVuG2B
4ZygmBNUenZvAgtANp+24g1RikGm0QSwn34WYmOCdm4NZcjceN5N5E1NrnnxeNlJrYqA+wDchA2P
K/I2oFNN46Amy9x+fKL6fkqvnV5yKNauX3Qq/pEhHO/J1Gq0WEOGw3/MHwS7i1kI8x89/uj6hyzk
zOxkyB3ran2zoZloXBWNva7ajpRTn7km34fhV2z6xPh5eeXOonfER/C58O7Otwjh4g0Qq+XY9Mxt
An9AO8QXYtKkAD+4rzeSUr1MG+EmcaYwi0gHUQ5YsUNtN8Qf5iy5S1aO4ok6wialHRCbNBUygBzF
4owR+jrZOXO0K0PmJVfc/Yko4drSaM0DrYKoofylKYes+aqA8hpuL+/PikKgIsHEAiqaJvrAl0U9
8nfBDMbHmMC3TBr6HwNQ5SozMILj8npU2t9FLM2JnqUo4V30xe/rAPFHsCkUQyYa0TG07dTVFeTt
0WTsDUZ37WCOic6Tx2sHXQf5RqmHLScy7LHzzoZFOBwpASSPibBTED7OKeanZgXBRu94fFB3iups
qFq64E/ZYLLqZUbeIa4409AuU4X3l9d65WI1catqyxdQYJkLa10ghgCStYPwMPwcMDisN7Js5YrN
mEjTw4tQ28LwpaBfBpJVvIGC1LUDHySrtXY1Fn5X/Lisx5qrOhGjnxqNY3WKqnAso/qKSmj4Ynyq
75OnWzcENW+Jga6c6hNZQqwwFpHWmiFk9ai2jyGL6ztHSlWz/IgYkACDAUyEuPHQSSXsTMPneOZN
mLmFOW7SrKtYGDqaS1tt2oKDNmWFOaReVqahNybteAswkpr12mAeAFD50LezlKpyWULhi3D7Au8e
LEwmHrPCF83JAAC9DrfBVAM41LLYTME61vVXtLbcQEfjh1PdUtvYTmZwE9HwIaolA5trngGnBaUS
glvVEDNXRhwgo14lGQaZvjJKWW7fBqpy3znDtsTDUGJSi2UK+kLSQmCMNA9gFoRtNvomaxITbqHS
AoOh0+naCYDDEdVl/d7HVoJMjHrXhjO9BcjWDbCLqJfMqeSAfu/z2Vc4SAWCogzeQcRaCcBjDArc
KMNjxMJkp93nwJQIrZw8K06ie22K3hXmjGkRXfG6xiGLk3QA9FuhoZxEE/48GmmHJiCFkp92Hxpe
qhhI/NUkTw9qPRWRn874Jda0VvNcOrHmVUEVcbTttZMfzlb+olstbuG21J7VlihfddHUW9AZ6a9m
gC6ZrJ1AEhoRpPNikr8qXRCAHCO3s/su5FIahPOjhwQSUvRYCRSOVSLsiRpTtZ+0GEdPnz0Fb/Jx
/ABqteRpLpOyeM3jG8gpcrPKICVGt0Py1A0xA8PiZfM694vQBNcO8MIAGgIuiVMZFc/LYEbpD3Ux
Vszo8LZD1mksimSX9vmhORUkxgdO0QYahaARfWRE+RXWN+jCmjmr+81llZbr/9RUgdQM2lIDJQTk
hMRHgRJ0mTNTuKwY7J7FXR97LX3qy1sclRSJr1wyubESxwEfBE2BeIFQ5IeEFUzHBba2B0+vrYcP
uU7vC/MXYGM9oB+yzjY2Y/n7sn6rdzWB9S2vEOAffj9Tjuwi6S0ydLTM3G7yHfsBQ6pF91bQ56j/
2TkPse4R3DfSoua5NcLfwVIwzwVMlLOq4pDpwLjKKkRdUbsbNfS+NemdxYlkOde1s5cxbgLYbZSf
Ti0yaduODwTaleibS/PPZmJOcIUehnB0beLr9NDnDau0v7YaqIc8KcAZHOQuRThJm7Q0sPI6c632
Ze6exuoQJtetwlLlReU7TZbcOc/JIuBC2xSAKxdUG0usr3VlV4H0nmcuaV/y3huRBU49DHW3KaPJ
D7QlhpBq3doyzpi1UOtYrnAOEz0qFEyVw1ybdhvTcTdMsrae86MO1ZBUwmJaC6O0sIO8HVo9K7CD
YbIDsmM97KY6d03LLa35r13kqSgh3krLEPRFeJe7dojWoNAC9XfG1DyTGIdMI8Hfh8lUzzyCGHCq
s2q8H9Mf6FN1g+l31JUSldb8CcphoC5z4FCIGN+YXaQ1AE/ATWsglHl0Eoc55gMPnjoVeZRCEl6c
4+jADi14EgcgThYcp+C+tFoBGJ6xBHgRmzFD5FRPQJYJE1+pH5rg1bG3Crnpwp9TiSLtzsAztbqN
MBqgAVu2v1KB+QEg27x6yuZdYXlxIcPjWFv64+8T7NWqGyM1QwQesXYAhU4/bTh9MJrPNpaEOOcE
n8tKIJMEhANQpQD26dTxGNxutMjESvCl0zneZtN9FrE64qxNH2pr8iLNYGlb+FkJz559VMZVGbhZ
/cs0Dun4WtjAnMDgt/UwSgtKi32dXmmnnyaYeaeDtW1cFqHOryYVvfaJj1w6TzzDeU7yjZV4fbor
FS8Lc6+QtZOtOX7rG2gX/b0YVF7+/ei6qWtkiZG6z9wZ/eBlSBimUgcZJdP5pQ0Nj4QsccqRkLSp
nCJMIWQAFnXLzHZLgfEePQ8mGqDvdFkpffm5swU9EidYfV1PZhhPEGeZCcCDGTFuR0DDOrJn55r1
IgGpolEF0ZUpXmbdpMDkSnhbI+2BCbDn82OEZwvRfmaZ5CSv+A1cl0hKE9Bz2WegzDQgSR4TiMIg
hIWkWE45C8u7UGOp4ZapJG5c2a8TacJ+DYkeZsoIaWmyn+sS/B4RiyPCLJ3l5MMINwMAWi/HPSt2
eCJS2LPEJHph9hCpc8NX284byhtVZhgrG3YiRHA385CgQYBDSDjkDGAYiIOxrOii9PpaEunoqzuG
87TQg6kYABQUyouEZGRa1jB7isf9EN+2KAajOGsCn7N4jhMMG/S/m+I3ZnUDcOIaHFggQIhTN5j6
jON9G254kHla53NUIsasY1G/QUSREnBO3A0yTNfVpTn6XGFp4B+7Qo/x+xy8WA4PMda/pfXnoNg+
lYW4sqURUnzcBowa2KRw4dafpek1yluM+pHTsjTaq5PP401lXDuar5f3rXXIp8Kt9UfH/JHlADOQ
XUHn3YpI1QLP6H83Ch3Cp86pUbNgUFV8jYNlBshxeGP2rglM4KbHaEvIguFHx8etad4XgGvBIMhl
w19xVhCPzlMLj00EjcJiKMgJNOMSmgb1/eg865gzBOz3KIP4WT1ff8TogpbKHChOE0NM0fyI+eCF
1a7AcMllXdb8xnH2RvAb1Yi+sh5klq5h7/vpH6t/RjfERA91+FkCCFfaZbSSPVmA8BesemBDGGJB
rXfmaBw0E28lNBMBDiqLXyhI3IPDSGY2Om8GUiotQhyJmudgcwh8gaNuI+Go6agYCZcmzZWJB6WV
YVyhee1+5r7xaXjRb2BRYapyjzGs8HfEyrf2xr6Staqt7CNEg91QX95PgGg5tdaUt3VAOf2u+ti2
l7fbfvT/ehcpoAHRIQbCKAd8faciqpxWmPxTcH3WsdvaGwuctgCuVi1mxh58UVJKKhgrR+BY4Hfe
9Sg8sPSCa9UYwGzQy5olFZvj/dxdJ4akxLe2dkeKfT9Oj+T0ahjaJHfwnlDAbkqRTBpZIzsDMiH6
6erRqjOLAp7bjQbE9oFroA1IxiW14qwp8jroVkdKApYg3C2ppcy5kcL+UM+8bsAvaNTJVTvEfpmH
btgnknVb8dcn4oS7IVbwhFBU2Fym/07rGKTHGssUv7YPNtZS1uAskyaYHzc7YEIXkKZbHk9+Jmj5
JHw3YtBVf0i7r8u2vnJNI3OFtAfamZZDLaY+qZk5dYs+PvcKRfkt8Myfy+104PvGt/doUn2JXXIX
XhcsuVU+0KTjV9vk2oPDYY0vm28/t5zTTxGWWVUDq+iokrgUgLvWeGhJz4pyc1nh87MGISimIyGI
wvpZf7U556gEAUba1VHSJp1XKzGCyUcqw/88vwogx7CXnBJaRNDHeHoMkjks1SqGHE37SqmPNNZc
v+lFwnrrIaeDG5mSF943wMlp1H8qUVg+vKsTLQgg0bj7iF3jR+M/Jft42/nPvxw2/4gff+WNH7vg
+YlZ1TLixdcVyw7lU7iZfcNHam8rK7Ccn9PTTxJMOVOHUpvyZbEDnxe73jk07btjekUreR6slKaO
JYFd5HS50aNTDcVixsAUN5DkDYJ4Q9sAMCtGkmxiJzcROfHyN4ms8DHS7GhrdY4US3zVuP7ddEN8
EKmTFg6Dha/AcBJeDT7gyfz2M1PZ/eRVrPZiHBtwz1GJ9qvLTDTEAABoM9FufKp8wB2AG6jIPrf1
TQM6qkx/sOn7aHo1l3jCVas+krQswNENkpuJCrZzSEoHzNKhUaG2MHqNiSuyi4a3njyQ9q/vRmzs
kUThHNkkIJNmQKJBt2AznnWKcsRdUP2HStQi6N+qh9guRsaoGKelHqFSN7ZcU2tYj7Fo5AJ49xWQ
RzV+Hp1bTYazsb53/4oVKUGDUE1Cq1j00zw0ejKu3FsOpp19dZC8yFbd6x8FxSK4FnKryUtIUohv
ZjfDfK9NPy471/VjeCRDuPw1RaloF0Wp26DfVyv9HMnsdkYXchAzs38B8bAy7XtZR+6KZuh7Rous
iQQX8luCjSSREfZ2GiO2T66pdp+ZP/K/jziQPTwSITjX2MIc3jAhR5UW961+z/uXunRn0PV1Eje+
krI8lST4zLFGJxJKhHiI/kgBQcoLTOT0r4BP3ITXxi1DBzlh0c8DYp675mAk7OtL/cgk+Y/z2WDg
TKITDt1wYBYC3ZbgUSYb77URA4e4vZjRMbK1D+rPGqDjryWIYwsATR7GL/AmyUYzVk7DiVzBv9Qd
kpS0h1x0+2fqE2BnbEyxwaEn0+7vTfVElGA06F3DhBdQoEAm9NUqP6x/osEtK8wfdTda/aolN2jv
lrybVq6HE5GCEWUKIQWQpvDSjtig/ZjVLXeuC1mtZ/kVIQ44kSIYEFBTmnmyoZij/Z76n4biBc5j
HT1m8S7QJT5lVSPwCCw9eMgui+V7tRuaaBiQaSRIFPSoysWNG2ZgiZbs1uoJP5JDTu+ddOh1I20h
J5zvdNMLqudeFqssPyEuGwweHmTJk5tiwFa0dlTqAdrtAx3dnOqXdHB5XQDY3L4HF88owQwb2QE6
Z9BBM3wr1Z9m86+nWHBsl07IpTKFxi6xySqNNHOA0ouX+l1Wj1b4Xyz4WIDg36NW08e5yNE5mD+o
KKbr6R3NHiNZOLe23cdihIoUT8B2uZBsulGzn4tXWrMkkFjUmqc5FiFYFGBtw2hMoYldvirxu1P6
toIE3JSyrJZ409WNtwAlCwYZzJyJAyp2SgYATKO+ZsbXpK3cJv9r8OFl348kCMqkCFbKcqkqt7gS
kAeqTEkUtrohRwKE+4C3FXJ4DtoAlOglJs/GNLrJINmRVRnANgb60NIIJJYGQYwOIvYRJfhyvFMA
flteG/nXZae/Er5a+pEI4XrJeNikpIKIarptF6w/Dww1fXVTg2ajqr2COhKPv+aLdUAIk+8507O2
cnQ3ACbBQNYxmja11Xh6iScX4Jusa/hn0IhLxK0a9ZE4Qb/WdEBavKRybX49aLuYvlLDm/gOiMmX
F3J9r/7oJVyeQ2/XfTxDUDd+WJjURcstkZjcqi4oYmnfU5rnLQu1k2MQBgl5o3oeqpc42pMQrXhP
iQzIVSJIpMCsQXOS5zUcvzrt+vwZUWtWuT36sizJgMXqov3RiAqpyxCEZq2GhjfXit6UrGScx74j
G69eu5EXWGeABCNeBRXt6U2potseiGmLiRuMOCFQADy1ew34f/FpR2IES9PaJNGiEGJ09UFRftSK
d9nA1l4SmEZDlwDm/IEk8l21OHpplomVFMHSKFDPuV8DVdxOUs+I9Z0WDVfqcDsWBXpJ9KJmhdNI
ur1XSiLIEoDmAXnmpQlO7PtPCiOmdjvDFd1qV/kWKV9PVRgKt1tjZIGPTrJRIvK7/iCGH8ciF09y
pC88BYjjG4jUt8U+fnwu9kDF194cYABVX8gebKNb7UH7MFzF4wqTke+sWY2BsAfUzGg7xQPuVHpr
5I4xg4rKHe27Ms2YmewGBT1f+8u7unYC0IexBCjIzNpECE2jFtgtjY0TUGpbPfinn+4mKss/r7RY
YfP+CBFRMnk+dXVOIaSrXLTQeLp9E9B3QreO6Wqo5xaPibNtMsnhXrvkj6WKh3syULRdpDbFVdyW
rPr7IUOoBZ467BFA+tA/c7pFXO/naq5wINpRsYBtTZNma0yBDjgfmlqta3aqk0tO4dp9aaBzEmV3
NKmDvPtU5mjMGkokkBm0pACvoz2A3KepFIDGxq29NQdd96qmim/AvI3c3gREjv9gMH+UFrMjKCA3
qb0oXZc/c7qv7fdOypy0pAbPTt6RDGHn6qEP6goI/Jh33UeNxgZuovnkPmvvZ6SIm8ArFV/V/cuK
nZmLjTk4jCzjGOCtAfK305XNMBJbDWbF3cGZr8eUPqZFJ1m7s81bRCDcWdwonmZikW4Y9bEhPedu
YWuAIYgSVlYhxlMrECmWnyWmH4LE3iOwk8RxZ/fpIncZJ8bVjZ5usenWcQalN5oacrVrPXZLBc8E
oOwk2a5SZVP1Z35LkCV4zRxwSDntsYwVrTvWgdpgo1jqc5vV/LFxFEPipdfEYYbDxuyihkev+NwN
83pqMtpw13SCT4Apo22z5azhmHsbSvp42URkwhYTOroRJrAP1M2A/VOc1Mtxk1tApNSfg0i2iOd3
rbCKgmuJ1QjjMSVWMQKyFsabWqQnJuXajuN/0ii7wewOkr2qWvgYpQZnDB3412VVz+4FfAB+APhT
6DbHaKgQtJTTqFdZiw/QaqRc8Z9LP5iGz0Bpesm5OwvIvyUtxLHAUsQA1GK8R4tKxrpMWgLjdEgA
aJEeWMp1AoIRg7AFAJ+ovGbcpJPEka6dCYQy/4oV7DQpqzIwNIitOWWk92PqEVyzURGAnG1zeTHX
XMuxLGE3C84bM1GwmDGgtDLAocWV5ISvb9e/2oi9FBWvlCaBHDe2b62oZcNwxdPPy1qsWv+fFRPr
/DZuMxCVYcXC4itGxBNHOrIy4V1b95KHxpqfPD7UovHp6JTrCLRJgcxDO5DPoLdMdV5nY3KbOL3P
eQVA2FrCwyKTuuh/ZIiqFUdmQOBK6uQwZKpXWdd1krJJQ2dsDp7MTdTmEsNYNcIj7yXYvhoNVM16
iCRgYKhKjcVa95QWtQfyKzRmyWaqV3fwSJxg83HHe9t2IC4zJ2YEe6t/qBugo8uGdFflIGMAZjQA
CWBq6XQlB8wba9PUoX3YKa+igLpmn/tKlTKrkGVyVlfwSJSgUm6lTg+UTvipBrfqT2vcxenokrFw
uRX9l93C7YlXCGbTMDN5qlan20OVFzgAptHZbCp/0ig71LoeeTkONCej5FCfx82La/wjUGQCManS
FSDS466uqXu1Igcrbq6aUN0X3Y82qu+QN2VaBDPNVRyTbH/5vK/6FMADaDa1NWBlCrtYj1kZZDV2
MVOAI1sbLJg/AzOQ+OFVWzmSImxgmetl1yaQokaxp3T9Xo2STZeWDAi7kgO+eqs6SzGYgE+OnmGc
gCFj4GEOWUrr60DTToFanQC+N/QqThi4ncYQT/RScsGtriNIggxkBDFpKz6x9M6q82wY4FemYDN+
02obiWcprSTzv+q//sgRX1lThMGwXOlBjJU6bmZ8NCCIBat0b28TII2a/BeG/iSqLZtzEqgvBnok
UgjURxsdsooBkRk2zIk83Nd97jb1B6gYmGpJ9k8mTYjQZ7sCqYWNhSQD04OnUHm0nJuIPAESJ5RB
b8gWU3hnDVZhkUKFLKuv/VnxgFPTzghGXoverUfNS6WZQplEIbhMKwXIZQjkXG1KNq3Ze4kTguFX
80Kc7GDMX7J4vLO66vflU74amxxt4WK9R7ceBibj3i4hdpkNQtOnF0kJ61Z4JWEmCCWBoUhQBxF5
u/WCwrvEQFaPleuof+X1j7YBOZ634Lcj6VbscrKZQQcWJA+2GjFLdUfzinZ7o3I5eGsvK7x6HI8+
RlhnHudNP4Fe2+2txxwTbcjEAt1HImR1VY+ECKsKBPTEHGponKYHg49+PckKMqt+k+oLGiYG2RGo
n+4bxVZlbT/Dl2EJNbRtk4CpBbPR/vEf1utI0PIhRwaSEiOoEowjoZO0ZWWfuKHxqlkS33W+KUTF
n6VzEDQ4GDs+FcIzTc+oszgSAJoofbwtO7IpMfh9WZfzbTkVI3gQhcahkRrYe1vXe7+w1cCf4lY2
GXG+NadSBN+hmFRv+xbK2LPu5ckrz2JWB5+DKZkLX5cDwC6CiU9Mpwty7LECVYuF2Ie01lazyY47
GJQyhnY7WLoMFeXcPUEpDNkts6dIY4tDdrqdztUIQEjk8FoWTU8G5lioF6GT2Ux8vD1waiWGt7pZ
RxKFzQIaupWGmYr7zJpv8cRnrRM+XLaHVbOzHWTxvuF1HMG2ezqWlE9QSjGyz6IYyFtKaAB2Luev
5zxsFJyWFg4DiBuY3RWCqawCmIc2Ee4maXnQo13fGrek0Vn9Dsily0qdI10usjBzCeRoIAyeNWR3
Tamndm4hbJxc7cdGfRqZ/lC61ZXlOSl63oYfodt9ajLeuu9852k0cCpX2DANTzN7skzuUvZsH7Jr
cGf5812/edDcDH/XgaKlw1+DCd1hz6Y/uv1bs1V82zN97re75FVz0bvmOW55XXqtP7wZvy+vzDkG
rLAy4okpS95htA1feBdto+fqDbgGru05Pr7gqvIHAFvNB8CBPBagFN4arDclDug8hDldosXmj5zp
rNZN1434AEwXcv6mWc/If5P8fjJwU0iMeyXcPRUmXBGxqocLYSrsAEM75MYw/RCttaq96fkmqJ44
yiaVxCWdP8dORQoHahpArxfHML0Fd8/oYoBloLGiZH2wo7IbcG0tUSFRMXqG84tS+Olahqod9KVC
caRKNioGpisCNvXAgQ57r+NX+dtl41l5jRFgQv2RJ5h3EVNSJRTyivSlJSxTb/PqA68/1ylvlAk9
kMuYVON4l8Wu+V1kbxfONsDIWGITzFiNSpRmqBYi+gOzjQIKwSz0tchhabXT1Rf777k6ATABxvYl
VwwkSHH6x4nBszPVENimm4F/0PJ1DCTn8Lyah3N4JENMV9WmXuktV3Bzcf40gw+06372afxBlqTq
pN1rFbmqzMxT7WFbg8cmnd+oakjO4vlIvPAVggElWRzhM6DpMFRuZX7WQfGQj+VGCwo31l/nIcRT
5lpRYlAIdYBVyyS567XDcrwKgkGlpWbmToFVsHrHrysMmZC3Wbs2k3sqoxRYs6JjUYLjK4u+qmkD
VVVkO3mFSU3qGd1vo8EojZs2O9r/F+dzLFHwdKVpJLSZITGdnpN6O+bAPM4Z8Aa9tn9paOhjuJer
f59pPTUsweWNHAHJvEgd6UuJYgCRxVyyhRQcnJ1rJti3IaApZgC+ECDtDijAgSe6N8B/ZQSvhVKw
uTAfL7uBNWd3vJxC/KA0QVVhCBduwABs7/hE0pbRlrpV9A9owOK/z8os64gcyTImahIxtJxbVL4z
IEu5Yf41tD2SMSjqe7n2clmrtfjrWIxgJHod9BpdTkA7J7ugmW5IS1DZk02+rgXKx2IEqzDjNlQb
A2LU5rEAqs1MQfxSuTSxdpf1+T9cyp91E8zDqIMpCRVI4lGFCdnWN+M3a/Z0ujUAPG5ulie8icF2
DyVIJpG9uCsx/EIdWkMt/xsxRXBn9tho5UzCxh0yc/gnT8m4tdI52RcLmTDr8qB/VCrSvM09AYsR
78oDQcXT50mubC5/yqpj03R0FKB9HxXHxZiPohwjs7qY8qhx8554EahZUlAlJD4hPo0lpYJvNIAz
rY9kLQf2SFYwmn2cNtCa8s6LhxkyIWxOXurUAm7qe25MHtS8as10W+vWO60ipqoYuRmHa7X/Uux8
A/PfZ+ovRwOpm+agoUTZJnHwWHNMsDUleLZkTRey9RG8sRJVKeD98c2K+s9Y7Ae+qZSrEklcMJX9
/3ZCOGAOat1JlEOSDdTxkvpF9VyqP8I68svqr0f0l+v0aCeEUxYigUW6CrteZJuWPykg0CWTW4AT
LDdjV+netPj1snarEe6xSOG4IXpR6GzhuJl0m5jgoPNVAmBa4LJhfr57cCbkl2QNt+vBy5Gegit2
6iDuWoo1NaoHjFYw1QR/9Fs2a36jhZuCt6xbUoYPk824c0gnyeE6nwT4XmeMFaGc76ggwTu1+Bot
JrRp0dZtate48NzBwjhAtJuTWxzzin/YaFPqx0dtdK3heXAOlvpGpagx+roN//kKYelJOnXVoOMr
6N2d9T650ZZ7yb5hXGWgK0f0xgZP3Zfur4pF7AvlQnWTesom8x1vfr9sBqt34zJn9b8LImyIVs89
h8dpXLThpEwfPpDEAAF8MXmdWu9N0nhjZ1LJyVp9SwJw6F+pgpPLgEuI3hRIBV4mKzZRxP75cG5B
4/w7wjOygNbLc9JiAC4IN7DN3d+jwgmGILi+WM/TMovwBSlnRg1DiLyyGiV6ng8xnkoRWUBKJMAT
sIA0rrptcr/b6VvwZu4/uZd/msz4PbmgmXwLFGZ78b449H7LAI76bjz+0kCmUe6BsOKlnvwQSjZd
zEd1TWvY/fJZVZfSBgByBGNUStzsAvTcAzaGjy9Kb2uPaE4EsQ0FiNih6WIwIwBeo/uHaAkhAAef
nE+VOAkoLjXnRm1zG1QghUOmB9Brtu9ln9bX6A8N0JJMzeYRYAbdZoqSJtroQ+p4JXDf/DYelY61
VeUADyOqg9AHCmANNC+z3aETBqA9tEZqtla0h1HtrCekIEBiroE+YRdElf2WN0NwSHk4hQxo++Av
6CqkvY1hvkXzc7ZNlBG9cUVTouUS/OMDQDGu86ShHjLMwJzOefuSldNwCCwnAtZdDeanwLGLmwy9
Tncl4fSng5zrTd7NFUYd0Q2Pxsmyp9YmMElxMNBxvzEDqnoFcO7ZGCvA2qka4x2MJd19CfvOPWcM
KxSj58Kb2zx6VoAHBzKp3L5vs36izCC8a5g1z9qurWwTWBHtZP1SsYBXUR0WwG6knYphKadSDVY7
0QgOVdSeTSWjA3x13R46x+Gv9txPz2Dire/tcYzuGjVMD0AB0sA8QzU/G3r1K651MCGUXH3vW93Z
90WEXwRjYL6pJlpPGP7S2j1HReoQpkR9UIMBuI8oUdkvvdq3N1E9gW6wrtXidzBTZRNEVgcmFjRV
7DQ7r4B2HmacHDqgaltMj1qn2CCfRTrGg8DMUXFKu5GhJqRPzE507XEam/CBBDpQI8sqC24bx9Lv
8VoHMoFV2/kH5WEA1oskBHlwQ7kCJO6aOjuVFOReDdL2EOWGcuOgma91K9VOfG4F05fVWMQt56Ro
t5e95HcO/TxS+tdhOfrpvUFmpAtTFSdGv4kfERB+JN59egi8XwWLt/pduY+9t+GK7qdNxBRZcvC8
m1ZwI0LMk0dN6fSLu7S3nx0ya7voCXid80PB9PfZt/3kASgv9JreBbdoQI2YjFRj9eHmYAzHwhQO
+jYF+VOGY03CFNq3JWEtqJstMtt+0A0/88T+BYLKa1pg08xy2l9e+NXEEXI3GDdZ2gsN8cKOa4Pm
1Zg3bqY1m8BowCNqOz/TqCYbbvS4HiwFkSd6ypiaActA0ZBNAqWaJNuwXMhn23/0FcKFTVte2iqK
Xy4KU7eBMm6Jsp/zLQgUvcv6rkYGR4KE67gHiqSCClvjdnWHnG+X9qxKgmtTVd67GLSas8y2VsNA
cAWgNZ0Ad+UMwlHJUsccSdK47XBl4NqZbI/TJw2+uQ3xvvH68Sah/t9raaq2rVtLAIp3snCa2knv
sgkyVf5ZUFz25pvFTWZ3b6asnWZdP6TjMPYJMGkQ3ZzKCiOqtmhpbFw0UgKV0hivMC2MW8ez0bFG
ySbGHLumSRRcwkjRXoD9A8DZBVjRFCsWvROHVd8WDZxRAcT75CpqY7/CG/3yOq6KAdQFiL+A94xK
lqBbN+V1HyCaLucdTx1Qct/o7ddlGcsr50yVIxnCKwgPYAD16JAR0qreaLzt93UaBpIFWztgwDT8
V5NF0+OX6DQZXa1BSj9wVqU1G4CZN+gesLLdy/qsGwQgstGcA+KZM+y12CqqRFEgyhy4Pw+ItXGH
2PXs1k0JMvTWAkpHziJMmpDKkB23tR3DLAa4F8hS0Pp+nxzpiSdyCGKGFqT06IaIuR8Dhgfj3rvL
Op55EfSOIe2NgQ/w4y5QVKeraXUtaeoUQErllNGRGRo4JdIh1j70NIC7rEkdZNt87HJJBePMVgg6
pTGtQFGHRku/KQTVgJ8vUmsAWE4Rmfuyu6FBLbmIz9YPP4wWMlxCmDRDj5ygmZIBwYx0cQ4A1jT3
zVmNPIs3mGKJ6T+X13BVEobdkIhBkOeInUdz5VipqjjgqwIV1qA/dHRb6bV/Wch5Bgb6mDoY4YDx
AXIJ8QRbHZAiczAAA6Tbm3xyE3n63vCKq2mTebY3o74WgZ+QlQX4E7xi6/08uLYvaQ1awb86/Qjh
iMe0MjlRJ6C0b5POHTfap3MVeM1NvC/3zo3N6t/pP9c6S+8qz368vABrFnOs/7ILR+dBm+2Ipxz6
mxaqQAhJDdkc5vcSnjgwYYmFu9uouY23DLTDTARcPvn4AFvP+y/zYN/NOwTfDyC1/cgfyuf2dv60
YuSlXc0Pfl7Wc+VEnuyzcK/TGeO5qoGP4DlaZO8TdaMZuzy/LifZ0OQ5oZ2gr/C2RtW/QGEbotAu
/V6jb3Rk1Wf+ct2/Kl/2jjy2KcBxLmu3uou4yqkNgiokjoRdTIuxmMAsj7lQDRxInYPM+q/LEs5T
JotWRyLEXYxjtVBmiChRj72rWZxvW0/5H9K+bDdyXNn2iwRI1PwqKUen7fTsqheh7OrSQM0z9fVn
sXFuO5Opm4TrbDT2SwGODCoYEYxhLc++f05t71P14j/W81vjgX+5WSExCwDd5sRev04+rLv+JlUk
L/uLeIWfg4wC0yME0yMYIjq3W0yw2QgOOpACtD0Z94WxYs6fEi+db6uN4VGERfw/CtNoKJzLMTNM
WSWqC+NNk3Lt9ggVxeA2s2cXphUFths7t4max3coqPRl0JR5fTeOGTAqZz3ZZznJy03YaOCbquse
gNxWmD0RxakPJJ0m5hFsEGyxQGcmP9txbEMvLVMlWVlJwghKdIn5lLlKismilli7tMUajKdkmiID
Nr54Xxh8RBa8h0D9A7y26AVDhoSiaaAl4IPVFRuL0DfaVtmNmJj3lBqsAoSMxsZkPfhUhtqRpASX
rh7iwfxkaMAUx+K3cDmBXzUmtIpyNC5Jve5sGr07DPNzRdgU6+sfdFEUYiSI4rAKermC5qZaWqCq
7Gf9wDxbK5JdXFkodqKkLrGdJVH4cjBPxGLs0Aqmk1a6Uo5Zm2NZu2pvSseqHkjaOR9OpQMo77pa
lwU9A+wdwEZFyoF5ajiBczudkq4f26pGmPKLZ9ROtlNgakGfeXi+px49dKtwTQ/Rhs+rZCs4orcC
IyLXf8SCwme/QXB8Gu27MRrxG4b0YJqvsf2DFn9xqGcyhENlVI360oGMubgP+/smXqfJ03U1Lp3p
2VGKg+vNNLedMkOEMbO1pmVbFsu4OJdEuBxCH9PcLsgK+UmeRF17NIraCCFCSe11YtnHsaASLS4r
/bCIUxmCw8ZaQVZ0CmTUqyxepcf8xTmoO4Lxi727iT1MUM2yjyNTSzDCNrFjZN4Qmc2N5wIJeJDk
t/+O7Z/nEudKCSYWqYZVKlxCc7CfYoAbo15vPhqB5eXrMWiDwXfu7X3hq5JO3eUUsHCagt2h3pe4
U9wUvvOQHYdAQ8L4w7whx8R3dvYqg3j3VXsdbkNfxkvHVbpQGU9LkBa7iEBiAcbCgkiX1JBslSC6
Kp7T99Km6KIH4AdQp4/rtr8QCAAsDiRMAkeMxFswTLgXN+ubrsBG9T0bgLk1RQHqn5MFvuQNC60N
JhqvS1xyGvim2MoHXoEDjrfzq9CncelWJcpnBVI/ddrn6a++lci4TBYg4UQGt9uT69bojYK3DGRg
uiH5M7RvagT6G9mFu1z8dW1wv3PUPFBSkn8v5ImU1uwcjJBjeSd8UffVk8XNgqxrx0NeL8HLWPhM
Z6IEheKRhFOjoASZmzeKlXp5/GQ1aGO5nmbdYN+4niUjzgsniKuF96OJme3LIlVmDq7VDmAOrKr7
WgfVCJBlB7YxKuX7n0rFgguezDaqEUQEy42IVdsFxR6GEWJNLgHFwpyAQmFctUb9eN3yFrzVqah/
6xQn3yusjFKdO4hiVu1NbXGP5sWP6yIWjBsWQQDUYvFlE/ENC8Im5HQVRIxDFOShfqTAHoupjNxs
ydej06Ojgsgr5NDq3MD7xFXGKGO5P4/rfn5MshslfY0I2oeBkwAkr76Z0ddK76rsWGfP13W8LM0j
eQQRHlFR0DE5o/C5cDBN2TQOjdwnDyNqv950cHYruqEbNLaYx9bug4J37OiBwepF2cjgbZe+Iqrz
HFqZY/eKTx9VUWzMUJjgfQZWb97jSiR/kTKibGlqxNUtoP0IPtHszTK08LQAo98r1rpm8iBNFRfe
jDhDgNLgVYN1COCTnJ+hkQzMyjULb1Pzho6Bi57s4E0Pye380GVerax/kW29lXy4pUsN8DDslDlY
K8NW/7nQuTLLzqyhGGC3vX4PhNcOeNEJZp3xqXLvfgjIxr2rtvpduG0YAHxzn/q26fGesOzHLAVY
9fTHkPMfQ2fsxWYtfozZg3XdSwcP7a2Aet0xXeM5qb7bjwko0r008e9+Sw6C/20hxJ7JFmOQUyQa
LSB7eKd/2D7QolXtGcf+x6fze95MW9Tmt+PBsr30Aaih6H/6VXD9J/xrptd+AjfzE2fU1yDJa/i3
KFfuk/4+eLWv35obGJ0/rZTbB/JQSWrXl3VYNHTgkvCOhmmD0lq4tz2C/Rg1QPnSug2LfbZqb1H3
um/bFT1OEmELjpC/0tFx4G0kIB6cq8ciWjZzU8ER0q2aK948bxMig5lccAV8YAtjQViIQElAEOKY
ZZ1UjgYTwtpzT1e6IZuAX/pMoJHkHPOo74JpUPAFYVjEbVHaWBO8azfxG3b5wgPpPfXpSN/jFSic
UJBoPYltLGSAZ0L5PT6xDaLEeeHkEDr67Sbaap6D/Hfb/sAGwC3Zknsz9Zp1fJvfaPB+kkxjoTaJ
CXX4dpQFsAKK/O9cuO3OUxXmTu53Qbipb9Ods48AbvBBjkgLH4rXJDB3yQ/6ljylm04SPhcclAU2
ArQJLNS18d+57LzWGj0OY+SGxW0Y3yX1re3+GYnEDy6YDeetRSsMmJNAKRXcIJBei44WFE9n4HQa
75YMymfB9lFnAEo4inMA7xabAUXbd4waRYFhD7RVaECKe1DVXrcR/hUE94H3AbpdKGyAJlkkZCNZ
aFjjwB972kbLn0dnU9pvhrVTzccQJF+K1ciMcjHbRcBCHwfI51iOPP82ST4wxRrAJdJhY2sVecov
dwgAy+IV0hfQ0q1DI+VLlnABlJmCia2BrALg6nf5rfM7XltBvyZrcu/HXnyrfqiyl+aCVZzJFFIq
8BAxMmqQWa7iZ3VTIkTGAdgl4Zbju87bA63y+ieUasndwMk1V1RtGtIefCU2AvCn+kojv/PYDhCy
2PEJn7CHtO9338f6xqPl5GiF6z22BECPjKvpPs3KjVFhIs/Xu9wrmGyLbClLPZUlFlbKfDCtboIs
PMPalQrFfNs3noobzHLYD+1TFFw/0YWLB6ogtMOwsmbh3SJebGMo4NVUOMse8zUIN6nxXE+y73Yh
Bc17XDgw2xLk+PBV558NNAPqjEcKGETARqgBWg3b47aMAVEmRLCNGsvjXThBiBl2XheWGBD8C8wx
aAIyN5D0ohTMK8KCJto4WdMEVNyUwNj1YMTo1PUvcuHQ/5UAGSqKzBhnESR0mA5LBgIg1ql2AyCF
OO6jlrm++nFdzMJpIQMAJQNn4MTeJ//3k5sUlk2FdyTQBNu6A/7qBPiht+jbzwITvV0MsXIOTFBT
iqeltGVsNjaI1YtYf9D7ITALoNBFEj+0pMqpFHKuCna9wx4ICJCi052lqhst6e91u918/8QMHeeF
noqBMrzgBoYJRXkLS0L+kJmHbtJvbXsAfbIMQ2xJG7C7IWIAhROIwoIYNisEcyboi7eN7iGhsWvd
U6jk2l+kS/gwwClDFER7WkPEPT8yUtYFKvpgc0E9Yz26YHGZ2QZ0l0GbpY+TMgZ8yO368V2EX0Gk
4ANSp6rtqQPHCkjl/FJdJdWvKOwCOqFil62NZmMmkryM/8WzgI+qMRoYSEPBSGxfjGXZc2lVZoeO
quNgZ4LiaTJWK5NWG2t2Hocwl+RIl2NgXB4yXhS2gAWC6tb5ocah3od9PmIgFiMFfbaqQCTmbsoU
c/kvlL5q2kMcv7uRpDO+pCVwjjlrNAqfQHk8l4qsakzyBsVWvdlHMZB8O69NbtrJxS6/pMK74JrQ
3UOeDYZZS8Oj6FwUKWgGaj6IQhK8y/Xw0Ge0R+XkT+92D9etZUkUQUKoOpin0xGczkUZRdmO5gBr
Ma0BtGha1d86MesOVVsDFTRif+GpQPEDol5ghXN2UEHeSMDVGRJciIZYK5BgeY6NdqSsELP0rYDb
jiwXxRjz4onnupTBetBDLDVqB9SObG/OiodEy8CwB94dVhTv189xWSKYq7FiiuguJta13QxZU3PO
pMH8J2PThgB+eY4ajEk7dN1aMihQmTyeMp6ElXZqu9KOIa/Kkz9q3GGNbtpznq0W9K9WI8uXFpwl
gPC/1BOiGMM7s8ZwINQrRuzYPAPYYF0mq+tnuCgErx/MChH+xBLezEXJXKfkOkyU7Gr9oRvMlaXJ
tmsWLf5EinByHLaIpnyWZ4rJWm3C9x7UMvr8GSWNZBJiSR80W+EUEV8c9F7Pv5E+szSdUwZPPDxm
o+tjn82LZc53IcKgOo05C/wPHXMx9BupAb46hSeUqhbE6puavIXoshZh+1AnABaV+ItFcZjyAz+e
ZWJVWNCJTbGqGtgo9tu52tv0kOm/m7FeWf9UY7Qb9KfrFsG/hRhZdAzwY+ThX2xYwec26tir7YCM
g7rup5I5K71IJNWgJXNAeoaBSaCzYwJesGxcIoC2t/C1KOPs1L4I+pH9RE/Dw2ieJE4u2QPyJxut
Jd7yFxtaiVbjDQecOj+1t66uY/F925JMEv4vy7eIjqdShOBhGUleuDUU6jIj/w3YAmsfTnpzLMnA
XjRltjE4b1UbTK1kKM7b7U1aoVfuFU3q3hN3HJ6sfEXGYff9L4kjdlG7AUGZKz7R+6yaiyw2OK1d
eNST6jjVL9clLH5IHbDgcCB4Y4k4zyQyC5c1XEJS02Q/qDmYriddq2MvrczwVxcPskrpkkgU3gzk
PCjzwYTOL3jYYU25NeGEkyx/H9W3meoPFfrpPtos6+vaXVZIhc8qXDw3YSb2LGA8Sr0NsxEcXysL
dN8mUJ7SoKx134g3rSyOLt12TDUhVFvoGAFT9FxBTYkaezYx2VQ13S6x9N2c9Icwm7YMrixs+j01
mu9nzHyQ6j+RwpkOpcXCIoJIkPl6nWF5k/PZhSDIDleYuiySv/BneF/yEVw+ViVCEQ6MDUakwJ91
IA7vbfW9UKs9wISD1Ca3HQOSXi4beF+yGr43gf1idJrB9Hl+qHE9T2bqIuWy0YAzZnXN8uLGKNFn
cUxJKW4xVcZ94/4TAi8Bw+yUmmUPCw3RutHp6BkIr3a0TunnZHuKfleHTzZZG7bECy26OlgMbMbA
tJE4qhZjXHYG4BWvQNueVuTHBiAYIWBMrt+KpSwI1fX/J0aEv2gdFpGe26faRKuoe1XQtKjLdcxm
T8qUufTZTEBOYzoMbCem+CyNTEVLScZzyikEUEHo/Hbr0QYC4hR7zKWb65ot3vdT3yJYSeQODga2
8LWsXr9LmsfSsUuPluMmM6M1mbMf02y+N/l9asWSiHgZdDEvAFoPNBj5m1WMiKToCxZqaeVnIWa2
3PljZCB1kqi3KARIxZgR48NvYllkmM3Wynta+RYzjvnQ5B6kdTeO5hR7BZCnnjIpxzTK7BstVnSf
zGALJZm1sa2BekmE4cr0+w886I2ytYHogfaCGKIqRtR80qH3YH6a9RONaIBBwEDPmIedQEn16fKC
nAvj1naSv/el3qiVBWFTNIWbQjEZOFGx9qLE7OP6UV/WA7gkJB0qwpRhXmTVdQk6yBYoDQ3DGkUW
RwChSBIl0Jiyq1lignjc1Tw8KP7ppvL5uuwlLRHr0ZDHZg+f1zjXsohDp4vissJaebwrIsSOog8w
myqxJpkYci7G0go2lzZUTLttQ3Jwn4LcUDYcdHn/z8+RW/TJF+sK1uPND/4UZbZ8FHJtAA13+kqK
cnrp087lcGVP5LC0UfS2yis/Yu2dXQJnDNORgK4FwALm/rfXP9CScQDBFRMhKCCqoAM5FxZ3c0My
kHf5fdsCj1MHjquhWtNrWXSmhwXL30mGCZGyGdIXtenzb9c5MCMBbGMMeSE6oXtzLr2b0O7qJ6UE
9VnVeOncdEesw2AHy8S21DxPvUTe0tHi2Q+oclwDPqVxLm/uwiECNnnl1znzhv7Vbfd9uNWi26ST
XO8F942a8pcoW2gXzmVumIkB/2ZMZuhpoJ1nZfxudpZPSfhG+2anKtYnq8iOqdKp/yU9T6+d8JCe
qTtHkc6v3X1+l913a9dLVsdijZLVjJl86tFj+zHcIsEyZdXHy4yRADv268YLt6QYrNpKDC6aHTXi
Y8+4w7o3PeRsm8sW62SyBPPJhlqbpxayIkCQFD0QArBFaAztakjjYzq42NGRgTcuiTz9rKJDa80I
VOOwoDRPj4NWepGp3SslwJmGzKtm2wbSnSIpIyw5Hj4GiWwRKDCOuCDppLVTjSq/o/gPKFNK+KIl
NGCRJFAs6nYiR/CioVm3Q6pDjhOOwW0RlEUEBoGjQteOjCJkURSiArJuVFTRVT+/iIDjpr1uwmFj
39uPsL6BAl3dBV2jbU3jxskkafCiOJ4G4wwRCcVBvtCsclObYCjYn0+29WxpeEWlmcfykt2Bi0sL
siS8rbLx+/04eAGUxFGnxhw8UIfP9dRrEjYJqwGKlt/zFz8GuFXZFtyicicy+L+fxIuUFnqojpAx
pfZHN9CbMEn83kGT1rV2dgxEC0XWqF0SaWMuF/VZ9GnwtjgXOeRj7YB1Bf1Z7VlRfDf6Yc+7dnzO
R4I3RfD9EHUqTPAoZU/C2E4ToEzR1I+H30aKGVMNaDH6r0yJvXC8SUzJhjd3HOdlJzCbY4TQxhtN
xbcTzLOKk0FNuUhFm9eT1u3nLln3o7W+rtklyBVnUCeYx3QBE4hpJEHO3INzpeZJIBl7z9KfANE8
OHi9rA0TWOqfOvWq/B8FaxL5JIlPS3EfTWLTUtFyx+tXMMxUTQHsXuGug+EamUWyypMX1X7trX1k
P4IiDGgLz9eVXfJi/z6b0AHn41dC7LX6KEpbBWeqxeSpL7V9n5NVbE5gAZbtYy0G3xNZphB8nSke
jILiXA36O0aPP8eslA/o7heAYK+SotyRbqo9tXLvHTV6va7nUuzljRQUftHuu6CNLfp4aHsVgd/N
sAAQPrpIqQoV7ygl8otK4thkwoS7Mc+DOaUahA36pxttCBCYs/StrleT/m0eTm6rJ3oJwbaZW0ob
m4vSXkn2K5Jtv/KfenHnUCG0sK1MDEucAIzULnIqF3+/dfMnLR4+SC4j3lsW4doo9yLXRVH53G1V
agP2nRpGj8GnDB0ZtYol1+oSnIOfEuaQ/leEWJAoKjVXM4rk3b4vE786TDu6Ycf63VhbT5b3q/qD
bdJVuWpXzkYZPX133fYW/RZ62nz5ElQTYosSpDLDmHYckE8FaVoBahdMNsj2yZecv3MiREgT0OfS
nWaEEN19qe1dDtqH2fFxEfx8us8/r2u0+MlOhAmRBqUWVpsFhJFJAek6X7FcXZeweGa2brsgmUWR
U4Q/UgrA0ZIGSEEs0iyvTkNM9mYvWtr+lRwQa8EpoN0gfhsM3+OygokKTfJ43Kh44azoEBeBprUy
TKfFL+SiqAJHi6RRfOYoakoxvQz356qAg7b2KeYiu39M0MaoxbMePl4/wKVPBFeHQiaoD1HNEW6V
O2OEoQAuC4hn3zqwyim9pB619IW+BKCje35tWT07eQZcIaCw/bKhRG3vY1nIkMkQInFsGWVbpJDB
rLWbPujmHRLt6+e0FABP1RDuTaX2atW3EDEOhzhFYXRX9YF0QFemiHBhTEyZkV6HlAaQtHlN16xz
vbxrJNa8FHhOnnniy91WiNuN3AnwHVnHi90XiiVran0W7p/rx7ao0NeD0ubHepreuj1Dag1JFabN
LEwK5NYmk7KiLhrxiRQhH6pBlMWqEccG6t8H01G8EfhBRawFlkFfBq0LYrfDh2M+MLkDA5s6wAVJ
1lmW3jW1jC/1crEQQeT0cIWMPlOztjD4873fK/fuE3vAjh+2nDzN9tyNugu3LChW6YvzJtt9Xkyc
TiULd5kZZktYisOeHPd1RHU5mct1hlFeu4z3E4De4Lw2M6BY4jzdXP/OS07rRLQj3HJwN469AQ5p
PAdvp+mjxpzNuJqwCjAEs/Z0Xdb/R08HdS8AAWHEUNCzqbsSyNwQpqtAUMuYDuzSPnq382iXgq7J
w+Kh6VMzfSpdd6/WrFpf/wELyuLxhNcTYjTGicQH6eCEsV42HZQtY9zOz7F0YF2+OW6MYS/FJ1hS
F+IMy8Iym4How+/YyR3KwMbtWinKB06s3Bka8mKzQ80r8TtMv9Jh/M1ia8XU1gPux/a6pgvX90y0
cH0zo+GAS9A0125BRpjVr8W36e75ogUofUDLyTcCxVYCcFFDIAe2qMnUD2kfKMYqddfhcNPpkgmw
RV1QscQoAqqVWDM7P8aBUc1MbBzjYG0J28flazo+Xz+uBb8KXtEvEdxPnX4pxYooUFEBN5Cs0v62
xhCRMq3maevKGvL84IV8+0ySYBNzM7oTrfBh0JjLkz2rfk7Rw5B+XNeHX6QLKYAdwEOIr/aIL+kM
NFotAeEJoJTBreO5fvFLX/XAj5F1qpfe0mCvw6vdsLF2A5Ce85OjiWVlZcxt+5bto0d2l2zYp7KL
djmk9ZJJjoUhC7CBfEkTx8dt7AmrsaKiR3aIN+mhOsTr5BY77etoM2/MTSNdP1kIUGgLoJnKB+Tt
i+6jTYsmnm2o52LDZqCR18mwcZas+0sCxneFAyRYKtd6SFCV44C9yXaXy8DQlz/Sf1pctL4dTJ+M
QCpHmvUwB+wuA9nN72bF1uFb/FNZ/8V7D4gsGL2GIAMTm4JJYL0GxNJ6DS+bq1OQ5ujdIg2XwbIs
XaQTKWKl366wvFaNeED0xntn+Dm5KdK3bv5+eDzVRSwCG2HeK3ECXVLQVhSYYpxusnStpG+uflfM
D9dv7ZIpAMoGs6cADtMxIX1uCk5vNzmtmwpoIQ1Bzc1qvXGu4pU9O6b3fVHg8cGuAt/lxjjvuahK
12YMpsINlXSL9i5Lf/aykbWlD+S4gHfjzXtAFwjaVNM4GC14G/wk/t0Ax7RYJ2DLAbfrdU0WZi3w
uPuSIxpC1KUZGTP47oSttHUELicPRbWjGXKQk0NVSN4TSx/pVJzwZKlokpsNhVpqS725Kv1p9HMZ
aYpMiPBocTt3IEnD49H4VI/brH1Mo931c5OJEKKqUmYR9sKhh2ZCAczmgggG663XhSy5T6R6KuYw
0QG4XJDo8bBH1sfb7YDmmLsbprp/cUPRZEf5ysbICzz1uSWbTjzkJER1KcYwVhVOwNsrNwSV27R0
H4z4w9FzycktJQsO9tyxZo+BWV3srnd46I1AoEE7E+y+3VB7RHk0s8gzGTiFTckrXCZMsIRaBwZp
pvEXX7Eq+95n076d0zXTMJa1vv6x+EmJScOpXoJFlErlODSEqGG6U1nlYS8MjIarPA/asPPj5qjg
yXld5KIRnhyl4IaakQ5s6PD+K4pyTwv3vbPIrW7EsrmXpcQfNoImFGaCseEpGMkw4ykeKQgWU6d5
hL7W9qtreKO90xKAWEvaGMvn+J8wsRhZdjkrbQJhVRRvx6w4xKzfYndrlxgFCGTmf4g19Z6jfJ+6
Hhn5iZYXCxpqOlopRbAqTQcY/i9TRLw5uS1CWX/tclNfkCRYZR/C6Q5cxZFUv2LNALt1ayKWsINd
Tatc1YNUje8n54dqhUHpvCBl26Qt8TprvCcVMGANtFSB9YKVqb8wKExkY6QCTxLAlZx7g0JXMr2y
cTcnK9q2LfKCpPsD8keJ01m8legz8EFCjGeK1Uutxeg/+FhQG1Of2/Cp0++bYjP/jtjbX6jDU14N
4BOuKVYvR7celHqG/6Sp4TOUP1w79VvZqNKiNifJgBDSagCUAcsZUlSLPuC3AKIxfQwnGuRZue80
We6xHLFP5AnWM5fzDFeG6IYiDgHhwu85/lmCYEkFZya6nrezxp5D9QWUib6VyQi3F9OSE+GCl6OT
MmQ0QtwjanbjmE+5Gj7ReF7bONnvfzwgOuPtj0sJiA3B6UQ57UO9hKSyPmCatakPsWymdbHEwGGN
MEmkqYB75dqePFyTCm0Pe1IR/ZzPnj0DadnDlKsfG3c9DGZKPZI+OflfNKXwrvySyg3qRCoeuMzF
AD88HMYyOxU06bLC8MJXgkIoEWE0GLu14oBUjfEFfCRcMGMiL1TH4yvRow8wD2JcqZPNsS3YPwYu
DeAQ46YhkxDsf2TWbHUt7F/RfoM+L7AY3Slg33DM1tPTz29bxZkwwfjtKdJIPEJYjl3uqUEQ8sZR
0p9cPL0ThQQbx9D/rIP2ofJnDHnN5IVkj7QdvVj5fV2XhUh3posQvsdWUdsK/wG0cXrpa3Ntd5g3
cuugcdxb1usv0VisrFRmfgtZw5lYwclbM3GHMeffC01eCwMleXnPZE09/tuFbOhMiHCzHKePtKqB
bpFS7nIHsA2dbC5OpodwjXoMbE1ZBD3SSb8ZugkIVC4UkWGiLCQ/Z5rwfz+5rTH2M0qspsIa7I3V
HZxuPTWE3yfP7AA2I7GJ5XOzLRC44oFJxGdfl2u56bZw7hUrA729qRNZzekSTZgDgmj/iRBffOCi
xdadAhHmWt+OQK0xfBBb3Cgvd+r9+CM6YG75GfM3t9UmXNHGox/5Hyr7EUtB7OxHCE7DbBunqHlx
F0Pa/ei54DIyfaf0Qf5QTdTrNR+tWUsmdtlVfakueI/YHZROKyE1q02v1R/y/Ec1HYZ48qJJ4kQk
H9IWnIg+gZas5mVXCwxYI9s4iuzpvuw+vpThv+DEMEtlKKvW5RLw0nBGbwJffLoBKZAXVUGqbcZC
UhWXnZ7gOACyTac5h8C5DuYwmOdjMlK/T4JR//bO/rmJCt5jLNy8yVVIatUN61HV07xCk1VDeWnw
0kV9nZ/gP2qjaLs+QYKhMkxHB1by1hQ/O83wBvVnkQaMeMO0ue7xZUYh+BKsD2GDASxpvq699uFP
aaly2SV+qSTkTFo9ADpgwt/v3PiXwkYgRRVvXWWur6uxlDed3l6x7dVZVTzM3LgrIBkpztpJt23k
Z7qK7uOtVQQF2Zsy3OGl6vWZUMFlJI015b0FRwxDd3bJSq08bVvcJDv4D4P49b3yDB9SyHiGF7MB
jgiMnRIMe4uTAjZF5hMSiAXWV5Dk6k5HocJWPu1MNoezaB3/SbqoZTcaYLD7HpJYA8zzpvSq9m/u
1YkE4QhL2+57lceyxqGePXxiKQcsEteNYzFensgQfaxTt2mjwzbM7IcFSJzoDqMJ4MIMbB0T5BJh
iy6JYB4XlJd44ok9Qk0Z7dqqwd+rkgddQ7fGCab20Cf3lSK5uotX60SS4JJUN+17anBv0T6qZgCQ
b7eSeaRlA/jSRvBIekSScuZsxKPC6UNWit6tCrLSqs6rQWrWjF7ueJGOcctXmoOezB97yc2W/QLB
QbGqRm7dQcu2/G3pn9h7uW4cizHr5BQFBzVn7hzmE9eweI3GRxekicox7HFxg7xNV2jt/d8MRARA
M+ciNArs0PpAlkNL2w9nf4w+IyMGTcvfhMcv3cSqhjU2ZO41bosoHCn8e70n7H2ge1OG6iaxepHK
S6dlN9otlzQqGJS+ScCIooEHYvqcZMMVi94PO5iYl3YwoCeOzNQz68C0gtusOm9KR7zI+ujMYysb
B1+8XSdixNtFkqyNeKVmtn9ha20AVmQoqSsumvaJCOFydc6g9TZ/OY7OU9z9Yd8mTudp9cnfF66O
mdaWHoU4KVKknkqB+txv9PDP9fsjOyfh/jCjdsaBnxMZrKDQgSmYbPTo/f8kRIzuedOkHeoEeJci
DqUEZKYm8LhkjGwSVcSyQTPoqdHyMpZmv8TGzyTaZJNk9OES0//8mzhCLAKMJvA/uCY2YJC3Y+6Z
9z/JMb13jtpdHaRv6q4Nss4zgvbwEoG1s/bqm2+zIQu/QXgI1A4mkEH4g7QFzB7m8JoMtd+UB5oc
NHfyrn+5Rff6ZYMOvwMnTwIlITG1a8iKql8hYcFcZ69qqgMdQl11rhvUdb42rfzHdanSY+af+kRs
HJaFhvCItHOtHbR1iM7emqzGP7kPdjlrN2/KQ3jTrIpXdf0QfbT71+vy+c26SORPtBacR9dpVjbz
N3M0/jSqF0Wft2CEXWcacOQ6MFMUlMpWuPmfvCZScCZlPISjw5OcrgK2cOy54QoYyp4i29ySXRLB
qdhW0WgTV42wnTMF+fimGJKQLBMhuJSumQ0VMR/26a7t6bHIPqSrDZfUN+d3QIzCTLcrkKVCjfQA
preN9ph4GJM7Iglt5iACSm8BQOA3sg4f0zfrTfXGLbnrfTd40Tc5UL8lOYFEYzFQ14WjsD769+M9
Z/3RbR+NRBJslkVgY4S3OfF2EOyjy/SxVvmNYACCjtMtDV+w4Xvd7BezAI4W/r8yBNvoLUDYaw5k
JBl7SfLOSyZjTafQq6ryR2HI5lIWbxkGUji7DIb1RYDtujGxpKwj6bCxxlRbpQcy3KFJgrrax+lO
lfXwlytEaHwbGM/G0pe4ZpRbRZtPOUOl97F9xYQ2TCQ5YLHP9PKjcdfKmnKLN/pEnBAqmhD7p8yG
eon6w2B7p97FpZ87u+vfTJOJEaIB8OEKZyyhlbJ1HthKvU32ehlkb9XPxtN26Sbd06Ppy7gJF83x
RDkhLpg0w5RJAamdfsA8ozq9xYpEM+4mLjwitgaBM4GvdQGnNzYZsfIITY0M68nqVqOrtgdr7hS0
0cYAg99M364f5aJOJwIFr9/0RKG6Ap0yh5GDhZTYD3sTwzgqGyQ37eKjYTmG7/dg5BWrZ+AxOY9v
ZQn+S8etWsCV3Q2uuddawwunV7vfXldpWQ5SbYChAq5PhGObAYydMC4niXxH3dgR3ZXdjdtKYXku
XMe/Cn0JEuzBMIcp0fsaXJXOpxr3G4t1s1eG9ksUF1udv9sdkCKDdpF1eJe9tWQ49qb7ViGz1Qp6
lzI1SFzZYMiFgxF+FP/gJ1lE2TThpMb4UarpEftgADGjdTa5/Zpo+YaC6uv6YV/YjyBO+KiKovRK
Q3DYPVvNcxdMQ1BiTO26kOUviq/JoeFQ3BPiwKhORTOlIMvEWEFsV2tkSh4wNQuqSVLd5cP7EsT/
/fTwUiscQEcLMvjit2HORzt56J21CWAw9qmHo+Syy9TizuBEWjPGbaIBfMFvdd3HbKLqYjZNa+5c
VZKcXHiVfz/Sf2qJO5FlbiO+5k3rx8mP1o6DTA1ydF06862OA9uhN9O4uf7FLkGkIRKbrYAeAdY+
SDqFT0ZDPSp7hUM55NN2AvStBr73Iqm8zCjvqI7FU6taO+bvvv9jFv8QEL0OeYQdJTew+lzyY5Zs
9PS3CF91NklNi7zEOY9p4TUA7QvGWo8DI4np9rreS5/0VJTwScFkkTkp9ol8Cki8bNC8KOl36QxC
lIl8N/86P2FxwgckMROZCESZmnJb1t2a6WRryQYoL+vFghih2AmryUo7hJhQyTboFr4pJfWJ2a2U
CCh2HfGpNnvmaG0mu8HCRrqykzlosS6SjM7q+uEu3U54dcyhYLGNXJCTOEAEVGoTZtxGo5+VjWd1
NlZGzcPYfSTaBCr0WYaox830LB7/qz3G1zG3BYgUcYZ9pGXbxKjF+jrTX9wGIFZtmQIA0QVoNBBT
WBBFmuSyLlvrl0ghhQqrMI3CDCLx7LbR+AW/epOMkxcPsrG+y+SQaweQAoJ7ivFFMVLm2qgkto4D
zTvrNol+Y/VlT1BwUWO6SukfG0MciuF6Nul3pSpbQuDR8eJowZRjYTUFMJkimqSjpUDVrSG8Yuk6
Sc1HOsySUvDiUZ6IEC4+qC1TtZzhYHuLru3wf0j7st64eWDLXyRAokhKetXSrW63dzu28yIkcSJq
39dfP0cZ3Os2rWkh3wDJUwMukSxWFWs5R/PVNHULUW7o5ddCzrKPZ3KkW6/nOKV0MeRxetLF84DW
wZHfN8RNqiPHvF+qvipIjFy+DaumBuBO2EEQ9nxBSc8rgFc0DZwi7yKHZ8Euj7u9USBpam41E26J
klQS8eA0hRSihMm9hS40ngYwVVq36Ii+u7yq1TsOXhPQfy7d+3IpIklHqw8ZtlJBw378rc13ed/Y
iKnq7Cfb5DpYX9iHtOX3cw8cJg1Nl8Ai0K65CcLx+GCJyE7YRlyxakbOViV5Q4ysqEY6YVVTmO1H
MdhR+cdSm+MoXnrkuC9v4daiJK0vRFGRtMCilNaLUus6ATRIMNw2W2q/FlVYZ4uStJ7kIBogEUjy
+ilCUixEwirI2vvWGF5DMtx004Bx6onOVymP6dZDc1U4oHUNoJphuE1mGO8JmIS0DMJZhLGv0h3H
X0pzWLgei+YxLf+E8e7yrq5HNB8SZWM5M63PcpCbOskP6vEj8ajpsYcSEyz5Q1Xa6H4Qe/Vqi3Xx
61N3sS1nYqVHRjgsuKrlIvZbAQJNV/ED0IMP3+jvbJ/7ABieOqf+Ezc227iJq8ZzAcND0kBbMk+f
7wZep1ERBBBskmtLa+2gcidjC/Hz61TQsrwzKZJpUUgb6VoDKTHA6ZtbFk5OZjjD3Lhq7ZZh4YXT
vsKDAlbU6p8uH+nqRTmTLWUR8gyMbaUC2WFLr6YUQtTqVCrRvo64f1nUqgE4EyWdYpbmalyGEJUr
w17J5j1Gbe0qM52CpzZ0/PmyuK2zW34/s2tgSiq7NIc4zXortftiSuxNfKOt3Vt+P5PBUiDuimnZ
vTqCPbvPWj80jua84eZWlwIUd+BNg6yDy2g1Tau3wkxUmM78KlXcuvyFvtLLu7Xuv8FYDuxZBiZc
Oc9YoVSbmQShCGtfkAs8onhcu8P8NivNNdrLvH4uX3PtKcmLx8uSV73dmWDJVEcN6J6KxdtF+q6x
KqeYYUjawB7QLQ9sIC/mW6iwq4p4JlEy2hkzo4mbi39VS2aPxNjF5htATe+1SnEyusVXuxrkfYjj
0mChyFUh+sXBxq0C3qnwR7+kci9v4pYMyVDlNUAss+XRTnFqCGcB343s1YaQVW0/W4hkp6a0ZbRr
IATpaBcQUcguEtPDVCZihmLLg39lKFqsogltNzFMoX/h2q0aoIWTCdtWxX4x76PiLg7eguZEw6dW
R9ZseiHs0MV3pTg04u3ydq6/Cs6ESxd7GNoijzoIp6mXsCtKrkP+wmJ/Gm3wyYvqhGZ8s9/wNqv+
HK3PYPBSl2FHyWLNVWk0RQShuZK9jELbm0AuGQjxSkbtpuF2idZ4MPbt/stiz+RKix0bYY7IeiJP
EZ3mCcUnzkM7MCdvLL4Z4EzXpm+56JzC/MaSrbTM+k6fCZfCwq5JdWNeQvg26W2FXhf5jcF+gTnA
jYwjEK+rwA1rP9h606/q8plYyeoo4RxaoodYhWBQ0byvAJ/IgmqnGd8u7+6q7T4TJBkboKwNdSsg
SAACdsILyFTyHU3+S3rQ+hDz17yfeaK4ZfEIEhqIGa3Argbk5fXZVoLK1jCsdnlJW2f29/czYSKh
YZlUEBaTP1oJsC0nCA9BCG+OwvQ07NRuNzZ2jzuyIXj91MB8rKLrGKPukpkrsixsjRARb4sOprAP
nASc2DRW9hgutPW68AnAijGucKBq7FFsNAauH1N0AafWt0n/XWbdYeOLFolfXvDWxxdJNrGsM2We
6h4PgPIeUyVDf7vwQ1XiyDC4Z+h7BQl+3npWuBFM/Z2wvyRYCtyatKQAu8FWzNVbHep7DOzZ48hv
gSftINnplUpoa/E9ZuCOvTk6aqwemMgOuvqop+JoseCp4j8H8y1vCOZ9CNREHHtADNoDEfu20H43
ae2FIeCGCk21e6AD2cDmdIbKeLi8have+GwHpbAQjesJmxgWkvZ3fXsI418V0YDC64bjtHFa6wb2
47AkA1uD/tnCIDlcCrlqyWMTjHu1vNfaW4o3hWKgVvB0eW3rl/9DoGRZw1pNOR2gHSUNbFx6v1E1
B7xu3mUx/48L+SFHNqI5LfS+X+5FdmsaXmUCWCWzQ9UZ6kOSgIq5c/vZHrTNFPeiZZ+1kKnLUDEz
AaSIhKS0o6XVIP2pIgAuo1MTRPuAHjk0Hs+XLv6ZIBczxk6fn8bMrTuwCA8bxnXlQQr5AJEBaSgw
/g25KgLWS73Rl5dhWLW2BbKhaZeoVzQiblCZbgZUcaO4q1WnTnNnbh4Y0DlTcatOWy3FX5X483dI
7oQobd2JCt8BROlyh4zAYMeginFpXt8GRQwsJWJMu8un/lW5IBMjWUgwLS3FVLIAw0wA0c50hGPW
TUr9sHpKtuCxl8/+crwLJTXo4XDEpqRX/dygdjdx5IY4GhD6cK+ywutMin5pQVwrODVi2mpGWFvW
Ag0E1FgTOWcZzkYhwDcZKJY1Tje8zu1s2oXj78tb9zVchgc5kyHdy5FbIQlDigeVcEwFaoPZpcsS
tlYh7RxAb9NgXA4nQ38oEsvTTZW+XhaxfKR8OOeLkHSuQ2bAUoCVjkmXWwU8pWng8fDUbmGDbYmR
ApgB56Et1ww8kdf6+F4ML0F2b+ob4/XrJ4LKOLIsaIOXp5WyiQ/hlOJEOjKAd22XtBtHvr6M/xUg
zyoF0WROagIB5fRY10sxWASPpA82zv2ri4FmATgEeB7gagChOw7tLDQKjYhTa9ktQK3roAY1KQzv
XAbsHQBU+QtYNJL3mZbt0xzEApNDaRJsvCLI6lb+pcEEgYUBFN/PnzDHIGSc5rB16l1xU+2DQ/id
hTbGwrODl37DXIPDb67md/3RcIdX00Ym26lPgJe8rJ0rRTPsBGjGgTiy+Ae5K1Ov9JmHJZDlKRAy
j6Mbfedv3a70Azs7YbIo96wnpdwQur70D5nk89JNpaeissAGB3fE+yfy7/XGz2uSTrdulViLA/x9
oZ/q0ufWsxW7l/dt1XCcbduyxDMFyiJrUKgJEdy8UdghRGcbbTZqQqt3AfjVBrCdl4SPdKV7M5pV
HkNGVtVOmP/A83IsYrsxd5fXsiYH0GQgqwTV4XIpPq9FTboRWp60TtfzdG/OSf+YBoD/BDx3R36O
iSj+eYIYVw6pWsDWqZhaxgvhs0S86BO9rZUG6MMFQto/IVftuIDWg0KV0fHl8vrW1A1s2+ALw2w0
4L2kfUQ9rBr0DjaFjsU+MzlePf/Mc7gsCNDYKAMBNBrgKp8XZMxous04PLCGBqgcKHUMnY6anem/
aPt4eTV/j112KAD7RuIBEzDm1+NqyjhNmxbafbD89hUAIO5Y2OPrcJM4gbDJL/Mw7OYbbj/n1/x2
uptu31Du9i3fsHW7BTn35e9Z293zz5EuczXM6ixKfM5yiCN4ltXp22UJf4E4Lq1Yus9RkekkaCFC
37Gb4LrYq3eYLvKNm+zYvSlufyyvuZ3uQV7hZ6fca7eg+9YuyPkSJXVtSVOhhgP5FDwnaXoyo5ug
UADUYTiXV7omSNM5lBXXAlxtkhrlMR3UgkJTCahbu+qQgesUPBjZP48uQF1RxwbjswW+TCrDdI0G
mEWa2UAWWXw3+942A7AM8PvLi1kcmHxq50IkxeDCUKp2EUJhVKK7eXhMe3CZpHbXNf/FoZytR1KQ
Igy0dKYQZQYnbqVe3mUbJ7Ps/KXFSCoQkJGXSg8JA33NIn+MbhErauVzw30avxbDhulfi+hhkBe2
YoRZQE36bE/asamLGHPh6B15Ao21rRDdrsW7KH9R43uUHy6f1NoVPpcmLy6w0gE5IdTnJ79Kfypb
+O+rmwdSJxhHFEcMuWiR6Ek4hD3MPetfWsybqzdJiXyL9WbQ13hyquHX5fWsO+eFYfz/hlbL72fO
Oe/VKTOX0CruqVch8Q2T6WX61mtyS8xym8/E1EZmZUMJMSk7UCu0Ya7tTdy+tbM5d87SLZorPVTC
LG4BbfbSl0fVer68V2sm5/zvS5o2J1qZ9QR/X2v8sv8zgFTBmvZ9tlX6WLMGC8IhZHF0Rck16UnT
YpWr0AFgHGqDsBnxe/VgDg0eRP7lJa2dy7koSZ0Vkac0qHAupY705py4unipzMj9/5MiKZnS8zaM
W0gx1WOm9Y6VvHBlK1BaXwoQYzkm8kBPJj8SOuDKtNayFPIeVA4oKZ1WbBExraoA/xAivVDBNgGK
RwEhEdgXZz1yOXBCkkSzRfd0ec9WJRmGjmQUSqTckpZDSmS7QQTRYiEYwgpu49EPVK/fwhxcqZLi
SYd3nY733UI6LCn1mEwRiVCvcHqDOhUzvsWgjqT6XNsWQCLBse1MGdujdLnjjfJ6eY1rF/ZctqR9
5tTqxRCgCkzy2elYfTdb2sYrfM2eAu/SxOsROXZDjjZDMYsc+rL06IQwOV3eu7QJiRt3FtrgCmYc
2jpIXGLWLzkd/hmGZXkvoxUOCrkEvfJN7g0SGHMEb2HEiBzCwhlK8wQGvY0H8pqu6MgwgKIE4yBg
PvhsXbtUAaPmiJCaBx5JU9QLCrcNndKqdpcPbO2OnQmSpx+rqRhEucTuutpog63VQfuYZ+CyQpIj
w424LG1dNz/WJT+4kaIvQOiESIJHo51Eqp3Gqm+OcPKpUdlxlC9YDq4x3nblvBUnrYUVSEQCiBGJ
SPDpSPdCz7VAGyMTaQ/kYan1UJZip3cA2kqIS7X3NtiaT1yz+ucPPUmgYXUjbfPF6rMBoHetCMEF
HOU+qTCV2aN6Wm3cvpUcOyCnOEJbkHYi0SzT1rKo5+GYGLlT5AE88rCPtMfKssf8O5tuo+S2pLec
72c0IV8+169atMhF6weYYfCwlZH0NNPoaDhwnJ7yQ6FA1x1/gCB4IyxcydZowEYDVDDaig2dynEh
r4OMsCwCbA4Rdg3Kw+JujO9Bhd2zveC+2pwI2c0RdYZop2tv2WYdeDmwz3GwpgGmGNfeWvRIbmYr
YtKlWVYVTj7tRno7MLu3Oruae6cHb0d3bTFkDf6YdW0jDHQ19s9YVibkI+GMTn0A8RIZnCNQAFk4
tD0mtchxiH7R6l6E75dPcqXR61wGnNVnyzMZLGC8hozGoveEdHbWATFJ/RWz5GTFxNcjwMaE01vc
KTbptEMJh3b5E77e089fIGVkUENpeWriCwpwyViY8Guam1K0V7wdXTbE9hTF3mWJK30c4NBFggT4
ewvg+l8QqbNgtkr1pJs1WjhKGc58r+C+vnZzGCxo+0P7IBgqp5UK5uIdYSAIsQNmhOFJA1Glj1nP
Xt91KVWPsWUOW3gsXx0qHLgOswUeMIoOE8mG8LEvxkIHXTmL2R495rsy2iJNXRUBTEAdz3hifIHB
7HmWTMYEozHM4aEipkP6xr28wV/dGVZhIGWOfB7UV0blV7upwkAsA+l6lsH8hQDMP9URsS2xNfu3
JgmsUcsQ5TK7+WW/0PWfkBCWKIoHzGOHbmEdWXEfbrEjrspBAg+sdwsBnRzMmalJG9gqnEumXmnq
L7Wq/GYEh1jMlC3tXF45stmBw6LgI8eg3JcKF1H0kgojWQY0b4LheWSzrQpfS1E0LUBs+cy7q44d
s/5Z8I2Ou7WreC55+f3sXvQ5qSNRpwVAo66N6lrLD0RTHKbfGOJZm/3LSrLmvRaqWeDno672FcA0
piLMJrUoEObQEy3Iw9Q/WX2JCn+xK+PWbvXhWlWTk6mYx0YL3i6LX1srSPaAQmeooDb7axjP1opO
KtYBpHnxLmjEYMglFjp4hkyAGauvUNarNtwaRl9fMTwmEs8Y60AL2ef9VcZJF0GIFY8JexqJClpt
zQWZYeIkKJNxBGRTAnKTUndY8J5RvqVZa1d/oX1AKxcc9xdeKD0QmtG3uC1FczJLu22WN6lTmai3
DL5peaa1t4JdqrtZ7Ixst1m7XYkHYXfRF47JswXEXs7F1VYUNB2ItpwhPqBN3G4ZyI2VPwK2gSt+
Oh1ocA3M9H8/aQubjfFWAHKDgOvzrs9RHVZicTDIacenpAWx+cja8hqDGo9zF90YcfCjT6x2Y7hg
zWRYaF7FrCseLnAzn8Vqep2nEWkLh1Y66K9z2+AIysbBVrVwA47va+S5pBrw1sRDCNztf1sSznQ5
KGmtGoVaLDTpwFfcY4rDbYvGttr6YABq6/J+rp0igfrqy3QLBpT+9safietAC98lVlY4CH0e/1IQ
EWBFqomnmdV+aO56S3X6LtiF2r+/3rHQM8nSUSoFAEMHBZKb4G4IYqfNa1tJwx1eVBsubC0wgig4
L7R8IosjT7woEyYLrAz2oZ31I41iG57/JBSQz5e1l2RoKMF7ojAfZi6uZszZNeoWhsyKAmH+hMA8
AbwXl1ayFvkcVURgQBJIrd9bdt2gKaBsH5p4K4OwYgkhB4kq0GOi1CKjIHVmFjS4kwhzte5Ym72H
BI3DK+2Xkre+ko0HtA3sN1RoVWOX2T1kxxDky0kLWhoGgCogM4kOrPAjjJ2H+zr1qerlpi9mNzNe
mHLKrR2Jn4G3u3CrMOO2+2fcB8TVqrn09MJ7U7AEfL6knW6NQpnwHbFws2RP9SeDXZs1uvjElZVu
QQuunuiHNHngtx+nKoor2P8c8Gat+lI1AhMy1C63TN7a9hIQaWFjKaIIGc4iSMk0dN1cgG4Q6TQl
AkVJ95Br5ZXQk4fRqjeqH6uXBcYHffp4GKI/WrJ1jTqqEaVagcEGNDtqJcD9dkmn2rS8zoGTU3pB
9BDk3yIzctTo6bIurTg1TMF8yJaSxuDK0tQ6I5ANcmy0MJw00W6o68p7F9CVQEfkC0npF44coCWX
wgwA4JoqpmfGncPUCVFgdLi8krUXL0q3aLNGygl1VbkkxjpgF9B2gnmrrWIfhYLaM83C+8wMLRe8
suledMV1bHAI10O3mWhsi3BCYBiyZ+AjtYe+yKYNS7iiS9hcFf+JisOVr2paNjSbDDyWiqTpuINH
UHAyRTLnrkVSxPZGrSdXTAnickPwcvekOBhVbIRoYENGulxuj+FRwkFKDKa7OvRIfTPwCrSm3DGA
u5yaP7LGbbdmX9f0+JNISY+jLreGflzI9YBHVJUYLVaRw8/Qt5vcYYTBLkQrbEQ2aLkn6j61LGcI
yEbeY6UCrOEe4R8gOVXUdRZtPHOv2YQgLe5wmWrUJ/pUswdwS1XsvdfbK6pmTpDA4dEfVoTue1bv
aVc7AIPyo+yuNrmfMMyERYUd8+gqMPleEMUey60egHVVxXTwkrHkSJFIzgmEynE4Wbh1eQ+evPjY
Ja9xgO5iN2jC55iWBxq9ao1uEz48kSzdxXENNP9/b35BYxOI5nBoyNQw2XXhAmhRMiPwiXQFKX2q
jX7NstzRm3rjabRmAuCpFgQYhmf539D+7FA0o6nSbkkZxJT4pib8pk89nhoblmbNQ2Dkm2kgI7Hw
MpH80ajqSsxqkJ6YgsCI+lHyHhXFjm51NK5pOqZ48cqk4C4D1ZOkZPkUMeDgLXwgVRCA9RvorDum
1i0CN6V/7s3JeNE6TfMzYZSnxmi0k8lr7YrmZe9UmhVueJCVdS/5S4JUGyLmLzE63mJ9Hc917qRA
lYzSyLOU+rpVUDTDjMmGlV1SWpJdQaSDzBoKCugHkLs5wWVDdLZgGTa13UenoHjvlD+k9VCgZWRf
5ft0y4T+BX24JHJZ/pn2RHFXoJEdIidHc+sXJEQefgJbA29b8OAJO7fvjuK3ctc5hpttmJOVnf20
2sW8n4meBIDqrYXLKc7fKtVJSYpc6u2gb829r7iJT3Kk3EGQBWrRdJCjkHSnYGotsYAmMjYHsCEB
xlNsOIe1oPX8EKWLMugiGqMBO5q2r3MNBKbycYgeVDSqoCunsHYbOvM3NPtygsu4LXBuAA8me8E5
zmIj1xG6IbNmdE5Wj2O9b6rGbDxYBn6sW1LpXmgZ1m4CodA3tawJ4LysST+2RtYDEq7Uxh1awYA6
2SH/Fu7oPE33ZCpUw9FnXU/vYGSrfTnk1PCjIBl/JNpYcIdNoe6JOYS1D80wuWoq0Py6pBYg1ql4
XwhvZEp9TNVC8aLlduo5CTAz2Knau9WqjU+aIZlcNbOUyO1FnAObYwzMG6ZUMbNBl1Pe6SFVnzDh
kL4yNTNVUF2YqMZYjRqqDo20gNiiaONDlw06nkOTlbiaIWp8g9nd9EaAToBUVcIfWh2VLpLp9aNe
AUrNnbpq8Lq4Vb9TttAfUzXiKGtloeA7JipyDAcwu9htObQAFWgGJvZNpmSHEuZltqmWUjdpZtW3
KjKodpt2ZLatcrSQdBsxzoLBhak/DomwOqcKY/O9AFIixq4N608Sltoh061oj+TT5FppIDi6CbTC
BQlFj30rsMl22MRT7ALGvnPUpAUcPxMEBnDICE+uo6ATnQ2wUPYns4L2hxa1k+kkYVP/6hotfywA
ZhzYrJpMtzUV60/KsKkPRmGENwA1VGOM2KeFbg90PtF2rry+ToAjpyGGzAfL3Pc5umwctJIdsraL
jzOImw/ImpKD2o7mj2osh8gmuQD3Wt1Ar5R61PMjY2DFvc5ZYXpE6aPQrdMuvwKNTHCtklKp/SnX
jNBNiKpcZx001p4KUrySegpyOwBpC3Xqaa4qdwASeHFfjrG44vWko2xcztVs52NVLcjZRcM8dEKG
u1gMDTo+QfZL6zGa7aoCW5ZN9IJodyXr89LrBq0LrzFqoJ/GgTSejhfVz96aqr3Fec7sEvqw1Z60
6ruQIbd0PN2gOjKIUV230JkM9HrossC8515U12R4S6Ib1BXz2NeLPwBenPQT35x6XhO9dCNiAtSC
89TkXFLRt1bVJAh72oidmr6/YeF7AvBDlpR7AnHT0O8KMlxVQDwAQo/d0mLDFK0YPsCyaBy5+wVO
Xy5K5Yo6ZwKBsdMpoCtz9uzUDRR3UQWK1FbTz4pN13XAwiGwWjow5XylpqSs0VrwxICTjPObMuNO
1PhT8BTo0b8n6RZUOBX1GMDrwcR+dlPlNMBYVmHpBA1FbrSixVFTxy61o7liGWavgCcxh1qS23PH
h2EjJlhxkp/CD8l5pUpPdAWTHaDtq3yzYq6CDW7HxAn1jUr/yvGhBRGtiECchjOQg3t9nKzanIYc
7Vq5F2SsdIlSPCrj4MVG5pmpAiCXYiN2XXkhf5K5rP4sBDDCmGPaGzJTzADltY4w/fGyf1yJjsHx
izgcjwGUlORRiaC0ItpMDQo+DENleWonYC8KzO+Xpazu3YcU+UGYi7jr56HD2FRnwZUq36LEuoly
7ihGujNCuu/DfwbGX7L1KmYFcNmojhzA561r9amJ5gFqSQG61KgdwguQk0dbdB0r+ofhIktjS+s2
QHZkMag7mKUoEaRprVczPxYUcdSTsZUXWntbYr4DjyVcMYRrsvWY+FjqZRiBVBGX6LVC8wAy79Oc
M6ftU8w+DJiPAJhfnEyzzQcacBtjG9H3oO/AZZli9vKUh5pxJZre8kXIhRcEZXglokHxNJoCEqhs
eBK4STugWJ9yUCORuhfJhrFYywycqZucbiraUuPo3MfUiHjh6Z0Z/CHjIWq8Ob0T2SPvf1/Wu5XT
OdduQ8owxW1E1GgRJ4JrE7zfhTfX3+gWcO/qLT3TbulFHTEktvVFu2sDSbQhRm4nEfrGa2Dl3Q6v
uTQ0mRwlty/IaRMho8UGjMCoaEctvSE5pqVfRN8QojTiOWR+qz9O1QHhG1Xv9a2311eH8lm6tJOJ
LiitxmXKI6SOUN9rECQh0LCDQv1WlL13+dy2pEk7OlupSJMGa+2sO03/TfvYMfPeVrOr8T8UbbEy
sNj+tX70Cx6KHpekN5cxHDZVN6xSTmom7KEN76pYOEkWvBU5arit9jAkwa1JI9tMXi+vdrERn18o
n79A8mFFhjBUS7DaGE0EnmkOGmZLa80xNPizy6JWN/ZssdLji+ugclFzLLaL2BVqIruSsqNu9XZC
Ukdk75elrS8MSWwVLRG6Kg+VquEs0hzxt8OqAx3dufCKYH9ZxPqCPkQsd/PMQ6aArQ+UESK0ZDeM
hl0mszPnp6Tfx8m3y6LWbyBYC/9nOctyz2QtDH9k1NCEPB0zOMlrbddcm+/NntzBb7Ij9dP7eGN5
K/N3i24gwAe2NaKPL6BR2phofQSZ7VPnxS7iUr/UHIzjR87sG94CRA5q1h1Qbo78Bj+coLtX+t0m
DvXf8aOvSvrxIZIBqBKo5QBoN4fdps635CoVNoJK0rrmCUUDzLT8SNyyspWn/Fk/iI2K7Nf44fMu
SPZAHTQtqhlOeUr9enBU/aoNHErwbH4o+Vbz1soc+Gdpkk4VY51YQ7Hs+a508R7Zvzaj0/uxaz1o
D60nbGPab/mQdeVaCEUJcseIL6UENna3GkBe2oLjlttNP3gFpqTxusMUen+NaN5mRXNDeOhxoDCn
GrELkrgd+wXCvsNlPV+9UmdfIp20EID2n3t0i3Xjdz5cUyt3TDRCcyA4id1lUetadSZLOtjILJNS
AxaQQ4/56XpJ693Fd63Pn+orTBRxW3eiXfeuuPfxcaunYmuZ0imrZLBaLiBaMTDtj8Ipujncuu7s
uP8tBmpvrPRr7hJKdbZSyXiUcR6ZrIS4SUFDKQOT86E2/Ay4VBp9svhdBMS5qPIuS/0a/yxC0TuB
Rkw0IsoJU2UmeG/WEBp0iT1NzYPJgSxS3GnAe74sadXUn0lavuTMNjJWNbSmkBSiRTkqd6JXbNXY
MAPrQpZZMDxpgbIqeS+0BLcJEl3I9LS1O5rlLsaUqVD/vQlu2bX/FfMXLeVsLUkzKnNiQMyI6ofi
5sFd0riDtRHQrZ/NhxT5wrORijHNsWOJz6Y/rXUX525obcG9bYmRbrNZGvmkaTgYhDntQW2iX0qf
Vy95Ev/Wel38J4X7WJR0n7O0Na0EoJUodf3hk2dFT7w5os3jsrItV/OLL1rg6FFuISBZW/Tk7ICY
0ZiWmGCg01DoHi05cHumaMtArO7cmZTl9zMp0QhMpzKFHcS0v5t15p7kToYELcuSjfWsujcL7zpc
UnR5yZNnRZoBs3GxuNzAe5U4SucE2Y9lWNW6VUTkXt69LWlSuDnTTmCiDxox1u2VHuDpV5VNZJe9
1u7Q+DHh+QgW98yyttqP1jf0Y5nS9QVPHV7SIZZZT49lptlRZ9n5vE+J7lxe4fKHZP3Q0FpvmQg7
0QG+mP6zk6NG37V5hKuVm4ENTGuvKCJ7IoqXaJOtAgozM1H/1VP/sti1jdXUJdtAUW7X5ZGTKqJh
otVQ/na8sTK0Iz6G2iHMfopysut4awp3pZlLB5/hhzjJgRV5S3q1hziQdgNX7sYAqlKh+oF+x4bn
KNplnZMn/0F3zmVKN68v0WiRppAZoj3OoIe8TtGSd4OwRDXuzXoj+v1bm/16kIaJgQU0q8GsfD5I
dNgslB5F61jRM1Mdvd03yiHJQzvWTxpa1yxgDZguWrw3vNlqXLI0xPyPYPnuD1XAlRKC+yA/qfX3
2PxRlM8VRkSUdHbNCvdDVw5Ti5IQL5Exr12QcWAeUd83AhQ04KAJythVc33HFbqh3cuiL22KpN1t
1YQYL4B2z8AtI8FDzl/jcUPGWnCETntMiGDgjn3pmq7rmgf1BBmKaGt7ssC91IihtwG90HlTl9+g
R32L31xbvT9nQiXD1GcAKBhDcC1ORvEcg0LBEJ1b5gB3jgr08zOnR+omrt5KNbpCdUdP5muqPaOC
ZetG7+ZscjE8d6qD/D+p4dmHSYZL5WE39ip2Q0dytFFeSOf3PYrNvyi6YPPBC8trIzv2W3hwqweN
SgXKhyiZfCmt5zESLjFYNp1pzNFD1/rEDP0mL7eWtxaaolwI2jlAXSBUlJw2Gv4zdPvhUvf1BKiZ
1JlZ77WG4bDWQnRKnqgoXFTB76dZbMhe8+TnoiUbRgfQSFmLDet4f4yq6oBxvg1VXt/Fj9VJNiQf
CMr3CQ7PakdwpFOYkATVLe0/mYyzXZRMBoaqVBKjguxUtd26id/suz+Rj3ruqfZzPzedO/Jo2tZg
p07nTw+XXc/WIpf7fObxyrwNhzTAIqME1EZW7KW88YZpqyVh1bGerVG6oQZ6wI1mcawmmj/nnVk8
WHA9ySnu3Fr1u2Sjt2RrVfK9ay3AMC5bmmpuM1xzfuLj++WN21BAGU83joPBKpfwWCmeRv12M4hc
/fsoDaA5EJQXsKWfD0ZvgPdgzssS8tu2xoyff/n7V20mZcgLq5ZugnXi89/nWV8YaQMb0WLeYkjw
YtbiR1Y+cVr6NU+v+rH5eVni8he/uJ8ziZIOVBlXK4tAIp8OvMBz9q5SfFa8B+3GA2n19M8ESac/
WGqYgJIMCDLmbQfEKdqBSm5r1nR1NYzgPQmoH3RuSfuXDLMSU72CARrg3rJ0PKgo/wO4/FWdKnSQ
qxvntRYDY4JiGaNAZyT6xT6fF+1QhioyNCsI02/oi6m53NpttkOuagU6oxH6YlZEk0evlSLIQjz1
l9d46tYt8ANT8AEtwD+hnwt03m/Vtle38UOgzKQo2qKMgDIB41fsTXJT115b/FbNJ40f/oP2nQmS
Xs2hYlbhWC0rAxc1b92pBgbAT6I51rzBlfh31k1WdMDHoWKPkv0Cjfj5qDK0+oTTArar5LZw1CM/
cgeNQJMd+ejutJMDux52N/Hx7S5wLad7fWyuOje9Yvtql9vYcgccgRtX4iulqYnA6uOb6OLKz+08
8H9rnTcAar19VbzwqPvtVXGfvujX5dV8E79Eh9m7T1Sb3VVXoTuFCM433OlqolLnwHoA5gvG3uWM
dFKXIPi1AA8KuEN61PejK9yhtNEW76HudYfG0b3YQBJY6cLDss9kks/LntKgr/mCT/sznB3tNL6o
d9Od+lq5b2j4ddGaZ9euONIr7LrPNjRuhTDis3ApPBosPbYskKYg7V/4dF94/4e089qRG1m69RMR
oDe3JMu1N1LL3BBSS0PvPZ/+/6gDjKooniJGG9h32tNRmYyMjIxYsZY3OvFBcPp9/6QdeMbeJQ/m
fkvhevUJcr7mRWrk87z1ihizwnFyy51m5zdxbFtO/X5XflAfTVtw9XvDFV2QjxtBarXrcG57EaWa
sezFUWG/lUdpP9lvxuOw//6i2+1ed6Ub8Ul8tBzloLqjHX96bfdk6NGWm62FsPOfsEinugxWZt3j
J8AcJuFize5lsoe94Pw6etk+/VwcjBtlZ7nXA8z6vs+gAbD8Bu32xeceOnWs/Y59N+wI16qp97d2
91nZQ+a1D53iNhqBfUalk+49hLM20si1fEE5s7786nVilYaJdU9WbbXbyXSUry9wzYLKyC3oCAON
peVwfiEkIe48QNqURM5UJPBu769bWN1CFfgF5KqAvP4YVJaypI9CERMU9CW3PBKkm+94zu179lbY
P/2T/2G0g1PrJG/m1gauXbDnthd+o9aSMkketq24Q3kZRkI3oHQgbAGP/j+LxEOAPiE8uRyV1ruq
issJQ0prT++WDW/UY/rNt2NHe6YdWDmh0zn5FwokDIceNqPSWnYE6da/5heO0pdhmEL+zB6PtvY+
fI7vwekriE3TJrfBO35DTM5JH39sfNq1tyKcCKxYhUOCEdzLSBw1XeTBU8j2Sm9GQi/8p27cdfGH
WH6LNDeIb7qtzsnqnXduco4UZ3eeESo9IChMIosSP3dHyTYeMze7LU7xEWYHXbGlB4gMOyeyw9fh
Ldr53Ncf6VhdX/p83S/SAahHFdBf1GjnQYLLn+FVdRoMJWjYQf8ImthKIek4UFM0TQJE+WhuZaYr
H5jKtg7GHwYL+BoX9mR5NDNdglNTLNPuAHgWLJ0XdTyEki0pppWQYMJGQmebepf2h3JcEhZhp4p1
5TDLuDeL8Rva2xvZ1OpqzkwsPmIWdqTaGiakurSbfHKb/rEbD9c/0crZN0mQRLiUOJQQD11+Ir1s
IyUsMDIplEL9eNeynHgPhuO6nbXSK4ZmViPeDAz8LO5HX0qVWmibyumlm4H0EDBMpx4Uz/YFBKFP
ZnJfBK/Xba59I/prHDsGPdGKWqzNB6cSxR0TQ7WZ7jOvOCVGtRW357+xcHGW9dvGIs2atEDPkhgb
cVE5qbjj+Q1BDePmyr5q3IkBwckNmn3g//e+HoLasHTPs0A8WBZXbmFlRQglR4Uo5IPn/QyH17z9
5/r2rboGrCES3wz01LI2Lw75mI1dVzlN8aG0kBFV3o0k4oZ9u25nzc+BNv9rZxGWgyzU0rTBTl44
sfKgtg/SFu3KCpRZYZYJJgKkCmeU78L7BCNMBk+cvS/Nn6fIgwY5zt+qSZnHG1X/OPrTdKjEIrvL
peBUWcoXqx8TN5v89OX6an81kP/wGKaKof21gKcst1VSM8WTgIw6XTL4iV1bRv3W54H/ZCRD8T6q
GSqtUV8YKR12LXahlTIfgjjQuTSFuHQIaNmRP54fstgYErskL7kbzLo3UJXV/RwM8fTkWz6tcaEY
kO1p0BODA+6jBkdwZSc9/Fe2CFfTUzao2g/4ja1Pzcg0pTiMCDRbvVS4gRq2z4xlSDhwhUATIgJB
I0ePeTuXrLxiNG257MJ9Ho/5Pz0zxb6NAq+48+E1epKykpdzKbXyjdy2Zrhxp6ygOmfs6EyKz4UK
3cDijdkLzTSa1ViB6hQcM//IFu8YrdhP1nSsTQmla+WGXOq7r/0jls0rkuJ2IEefuDDQI0jsAKha
Vn2FSAVe5/5Y5BLdtG6Do2DFpdGCgQeB8jD+tuy2Juiqi6XGN0Za7rYHGZHnw81gfLruSivX64WV
+QCf3fLhZGatJmLFqov+QWVIJrDRKVNg9tHD6SRmdfwSi9bBN7zUKYb+6br5lUVyplAOoWYi/pnN
yaKa+6LJuQWCeZdI1UEUsjvP9//iGuRTm0wJMy4HX9zlKrXBT/WCcTknaI3HQuzcEagjZNLBRqFg
7YZiyIqOGWA/k1nPRUidSqnvmF4i3lmjvrPahO7UyBxuaXTla+WTNE5+LjtyAnUJ8mXZTm4z/8P1
PV2JuRSfSJW4iZl5WPJolCh/l00xxynypa79p4KXWGVAxfvnf7OzuLaqHB48xajILRhgs/TyTtS8
tygxb3prCpzrtuYPtAh4LIY7nzESdByXAObAGwqY8HDTKqdcqLxGRWxH1r6D7cff0uRY279zW4t1
qV7AW3TElmDdWKg5Bs296N8lhnC6vqZVO/SXSOhnWp3lmqIO9NCE0JETBrL5PMqkzppQS/9YehvY
k65lH6/bW0ll4ISkuUgcJVAvJ0ayIQ6ndL40rNSnDd+/pP1WoWzlOF+YmJd8Fk26Ri2tET1FJIYY
NlKkvSWNTJ3XfxEaZ14a/oemKKH80owfmlI+zsdZrb5XTC8P3msk/Ly+WyucZ/zhMyMLN2DqTmPe
je1CvXruu0BXMsSfM/EkSR+V5KCZA9gNIFEPLSRAW76xUobBOG8eEZIaSMcWK5wCIcnihBVOem0b
6rFHwq33H2KKoYFbd8HGhbh2C0jk1TAMyeI833y5oWlXCs1YzS5f9CcvUg/SMHwFU3Gb+92dCrua
OKknTdmS/lnzSBnGDTjNoVMhXF6aLTxfiPWaVUZDfWjk/AFO0f8e+bnffptYJIZJF6WKPruKJobP
nZi+MKLHLNrkXveWNcfna0lEJ/IxRlIuV0LtKp6MNiMWVhaA62kvFxMqvuOGGWPNL3gBkQ1oKiCB
5Y6VBhVZWc0rpw2kMkcSjQ9mV57WM68aV9q+CzR9b3bl8Gq2RfdQJEnsJnLp8X8S+JF2KDKWaRti
UMsMhTalYTdDlbuiVgmjUzHG8qQJiXIvUADdJZNcHIqaYR7bE8XhzuuM6UaNPHQNJzmCYcHyyk+N
ZzGFFUgp9GN6E971dTU9W2pffKgja7rpwLq5XVNMpk3dxAjsfGr4T5WiiCKH50Kq2fAkd++Klvjd
juHL/ChkkoVuWOA9mT1MoA68x/0+UQeo5Aq1OyjlYEW2XJu0d4PgqeqUcC9KpXcSMu8U54J8MgRt
JxWTss8K9JqmvrCAqVnjoyWL00HVBPVOK3lt2UHS5ulOyWLmNgYdSpt0UJXjONXT21jpUmr3RsSs
L6xCTPIwg+HZY5QlO1MLug9DMkiHtkzjL4IfSgzRhjqYI8ED+HTdsVYzinkAaS76azOZ3qVnyZZQ
Z4nBw3AmNL0LvbJ4aPuqOTGAo74BbfMiu8rawS2EwXxA9DXK7AHs8sYxWruroJ2jDkNqAQHkIhjC
4hqJmcCvaCLRzsfOUftXxdyN9UY+uHbPn9tZRAQ2UBmHWdHEhMPEmPY5s9MTdfj+tevMja3dWtMi
NGSgDLsmJn8RmT1tLXSvGY5Pd+V/V2oBDCcxFarz2AI4tviCrW81CiIRPLObwM0zt9LuC9W0Den4
n11F4sriYSoDagTLvliQ1YWZJrZV4RR0y5pgwsMzTvHXQMnQ+vrap+SdbqpKG0Hpz9h3aXb+97NL
P66zVK4izLZavyvSD8o4HpJ2w8j82y8TQBj75zBuQg8OFG5hpEmUeuxE6Dc6LaCKEDzGfrvhe1sm
FsmLlFeM9fqYSFMa+qMXPPPy2pgsXdkrZiIlaD55jsycgpd7VZWi0SHPAl2JWLxktfDN9xIKZcXz
dVf48z5nt87MLI5rGyaV3piYoc9QJI95AywyvEd+PLF2Svcp1Q/X7f15bGd7LMkCLwhof/F10pK+
e6rBM9SMuHjePEaTsWsG9UZuPNdA/e0vzCFuQ/WUIR3Kw5e7GE16qbcS1Bke/HnSlOy0UnflgnaH
EtwX/z0XY3Fn1hZ+UXbDIBBRC6cSHickCWT5Rx3fN9o+gHMz25o4Xft0EgLhM/rPMsBfXq5NjUN5
CvoJa/pP1dhZxmHo/0miD1bvuWX7Y1C35m7Wvh3PVR22Lkrsf4QnVRlgQvSpCoXhsNNyr4ACXx3s
No5oNRsjELH2+/XPt3YIAJFbMBVDQQvw+nKJ1PNzKzcKWDVzxjDQO4Wo/iBDTLER4NdWNjdMZnyJ
zjDXwo45jkbIWcucrEb6/Lb2YPgfdkEFQ8MWDG3d1L/UW8t5bqpxkjYlzMMb1edc5IoMP456YBfe
cdxi4FszdT7LO4exs3CbQ4on9RZjr2rT2PJwlNoflfqshe+6trv+nf68IEFBAnaGTAxyNToVl5ba
qG0MKWeMt4MxLRIbVwmPumRb3tt1O38mtZd2FiuKaqs1FIkVKfNYehu/mwWqp1K0jxPri4YcaRHH
G7F+y+TCNYys16JpwuTM4V95bhC81KPvwHkaa+9B998h+PMKqXIBGJNNEM6XOzn6tZmQxkJiQKci
IS+HprsLn7V4i99r1Tl4xaHXp0hzbfjS0OR1oyymGKqTT1p6LyT7Cr3xzNqV8KP8xVc7M7W4YzKI
ZYxBwdTI7G4s23La7pLkxofrA2iitkW6uXY7w6rx78oWzqiESiBa1byFYrmPA+/W7/utBGrVK85s
LBwR3b40VNt598avmf4ySk4eDLY53jTRTTXt4x65CZvx7yY6CsjS6uHH3nrRm6dRj8Enf7i+vyv9
Bpzm7NcsfBQy/TwXVX5N1TltdQvVoY1kgt0Bfij0W4toJot7stUg27WbE4KzoyzzLUoPzEXy1pxV
eS4dSdDL2DfrMeOKlb/ECswpZf8gUJgypfgwMqMyZcyCVV8zK2GGxUu3PsWqfbqJGnx5tFyWvakO
wsg+FKbMacGyKUrH+zWxs/ajqHe2mipHQaX3l3rfVL36rIob0WEFbDUXXyjkQnI6V1AXq8+VWezQ
ZPVd/6nPdNeTK3c0U4f08M2zeGLmiHMjSW6Ow87X4s+wEe08vbmr0s0Jv7UgfP5TFscMtQFlSBo2
IrPswg92ovWTJEcst8TIV4Y+Lte8OGCNmYpF2GOoZBoqid8UJq/Ewq7zD3rXukJ2KBlZmh/EwVaL
f+WNO5sGnElNA+jPEg1qiU3cUTjMYI9BbrWAT/eHIj6n0i4atF0cPQbjQ/oXBPUXNudYcHaNTion
qy2xWUJMVe7kcFQSV4/SHlbdcPjSWUX/cv1Ar8Xm36ukAHtpsZsqVBAkLI5D6+Reyc1t3Gfha2pR
2pi2SkWr4WMuIEKlrag0lxc1vQTF37wVRf52YNrB5Ijis6YmdmF8MPXvkP8nOZBK9XPuPbbZxuld
99l/TS9pexnk1GKUepE7KYd9LzMS1bqpwvB8vBUjxZUwZcp4D5Iu6Mctma2MipnRSsZSmqMFvGeQ
Qvbv0Z62JeUmiVwDVoJuY3HrB+XM5sJzjAmJKCnHpk7GGhv7RIR7BorXaC9ot3p5mNBwFtxQ+nbd
fVYK0qzzzO7ig4adKbSJhN0s7ZzKOlXNg6YTCJ2mv4MaXhQal8dkkO9b2fb0/z7QinXgVsBVFPJc
ZXEbSdTCoTCnFJzk1ce2j57Dvnf64C0Rtu6e+S8tr55zS7N3nZ3MZugSceixlHuJWwSBq9AmLoRs
d30/15yUagk7qszarMuady51AwzAEgsS0FExIsqSpk/MyVT1ayxt6WKtWoOIfZ4XQFlz6ahmWaWS
QHMTlqK5X6FANR84qVA+e2rrXF/Y2v5ZZ6YW/qkUcuKjCwj7jpBWLlq60A2ake4Wuna4bmmFsgFm
rjNTC5c0tCzouhRTeXZby19l60mnPIlkVPEeT64yfRWlN8k7yt2nPH6RGM/cIupYi6lnP+AXgvnM
VyDg02voBEkT8h9peiOad5IKaY38lIZbyMN525ZueW5qGb5LT60tpDYctFH/iYO3OAvtXO8ovOI4
UNt3KJle3941i78vDN7nlwchmELUF+cLQ1N/RMJtXNgCXJ3BgBbZfZRsHfA1t/ltjXh6ac2TyjGi
a8ETNstvwhzBxxp+Yuvn9TWtWQFpxImjQ66BGLu0IkS6ENdMdzpBpp2QXvjYFoFbdn8hc4MMwW8z
i6xJMQM4x1TMkEXeNrm6nzARDtoR4vMNlPzKV0LyTmVeAXIEIDnLFYXMfP1yQcPqaZp4quX2Ykqn
2jeeIhh5Xa0a4C7p6mojn1h5EdGxo0kMLIbK6LK8kRWtHqRpkDtaHgovSpsaTgqGecMJZydbuD0k
a1SugaAwn74cx5hKhcEZhYdxWr7prSuGdzCd1d5XE4Q0I8ko4m20GlZQ8LQiFZ0iGPNVzALPLnR2
psu8g1mwnDmqkVxROt9O2s5uJ4Mui+ZYvXa05GkXgtOONeGktOBSDX+nNeGhmeiF+D0Md73r6f1u
0o0PYi6BK0qgHo/3Ec2EIrOcGAqX61694gNopagwxc2aItzRlz95iqknJAIM5IJBmgygytwhTFi2
X3ylhPF8w9pavqxT3gUJQecUgqdFYIAP0a/l2ZyRPlb+914p7V5+07VnYzpK/a5vUejauFRWAi3p
OXNNFO0oSy7h+VCowl0wQeedaI0b+lC3MN4Pdat5V6rhxvpW7kocAHiTOjc5qT9d7uY49AmEriwv
q2u38MhXI3QQf6TN83/+aszTMO3AtDXNs+Wzw+gyAZY61jQ0B00ebC84+f0HOeaF2RwNIv3/Zm52
ojO/zqVqEo15Cwf/Yw50VbIeou4x8D5m8wjc3zyqWB2oKsBjyJQsNQfTomRsT2RU0O/dxATY19gR
aLxaRlXCrrXTlN/nW93KtS9n8Nk4AxyFP9obvtxqQ5D0wI4qt1ESJ0t+ZuOHXtySZFvxRkrWv+0s
wrufWogbSAQlzTx21g3UTbR1bWlykmKT+H1+9y4DIPcU3SfmwXmjLr3RH6pKDbFlSE+D+iQMjkw5
Qg6dtulszdobkpsX+8pkRl45mFtUimtnHefENM2Vub8yb8WZ19A0j/R0HH45aSO+x+VXQ9vL3bGw
kM1M7ak9JMPGuZij1R8rPjO5cFQ63UNW63xFfcZ0T9YrpAsbd9fqBzwzsYhgga6MvdZhQiiDu1Kr
9oJf7rsqvNfi5FMXjBtI57U32/kuLgclZZ1hXbNhF42y/1EFj0aCtGrgP1JRvCmU9lXwzb1F2bdR
PzM3bF8/+GtP8QvrixTByq1mLOA2c4L6FJe7MhpgN38R2h+e/2YGd3nxKpm7SvlQqBvtxrU344Xl
xUEJBVnORhPLVRm5QqXbUxPcaXr0WOn5x7pI9mP/gsbaQfA7N45eR+VN6pKNcL65+fMJO3PhWNFR
0S3Y/Lj8kXjPsJy7jeWk0WNXOkl3yiZe65/qLWq31Vik0wonFNEyXiYu4+iLQ6ZiNZDcrHk16iev
30fZhiOv3Pya8dvKcjI0jrw2FzSsaCoZUkuusp+ko6x9lWu76j9cd6SVXIyykYgSJTgjWIsWpyY0
xowRM0KRZaLxFB/04m20hNdKzBgt1u8iTbYTbQvTumF0WcxhUlz6f6KqSCzn3UfNu40oOUClJot3
hh/aerbhLytPhJmsG44pcIrk1YvTooOy8qHnJuOUnotGhhD3NG4i3la848LI4mBoqZ56jYKRaXhq
qOMkllOOZLRbedPWYha+HwpAFY1itmN+D+BQrEfP3pxZWommpJ8A96hi/BLuuzxgWQmcOaZV52iJ
oyZv8O2a027UIsq1Wx9ndd/OMt3FeiwZSH8uYqrwHqfuZ9m/Gv6r1my8qdZ8zuDcQhhPEsGsz+WC
TNh8ZM8kVcpB2ufxyZI+BvlncxhsrXmflF1FzLh+tNbWRepuAtrWaZz9Gjs8i1FjqSd+1GORITxb
gOZSUBGwnTwXqPb/ZmpZs6DnEANAm00JvRMP8VGQPylolk65udXHWF8VTyhLnfFHS4YzZN+9YvA1
6CKaKvmRIaX53Swk4XMv18VrjVa7thvzxL9FSiK5S6bJuNNHZM0PoNGCU9waeW6bQ6g2T12WSu0u
nIKyc0Ul7TYyjpUoCg26DHwSznzaTYvAVmhMVCLyAUc/7VgKxnr9pAH0TtBxUnKoVasv17/22oEB
QjnLBJKlqtbi9Ps64Miixl7QICqT7xTry0ACqYtPZvgXwiuAD1BBAVrLmN/ylSGoVd4q89qmspI+
DXIw7mSjuK/8YnLBeTzESR4eWfzX60tce0YbiArPssU8bv54sQWJgnZe5BeOBqnUm5mJ4wuU79Lr
FA6y5Chd0nzpdSU+ymqq/VNqrfUNab9uV3ctU3wDPZ+TmtXaZx4sPtx0TWq+mFGsMYGfq33v6mUX
BLuq0+NPWiAMbqortRtBn/yPPynUOySJab2Ng7OWCxsMw0DVyqQh4JFFKu4VDGz28Qxryr/I6r1s
Ja6mPxfysyxDhzDc1OqOluT1fVxxzQub8xE7CwyqMVWdagJtEuAnmWAhS8dvc11VSxIkVsDZ0c6/
bnGt+3hhcpHyD2PvD4Y6m6x2Yr7P1UM6HeYerGTAQtzYYXGyfAhi3QbKi+K5sN6u/4D1Jc/alkzd
kD4uTiOXLcjIBKkgUbwvcrduXsyGvty0oxed4QzXra3lqCz3X3PLBCMOy7jwJL5qJAaOIh9z62Hs
Tm3pCCmcTQjeePpbIR6pTKb6D5iktuyv9JAu7C8umxy5S/QCWa4/naIYAZ9PBWo0ojOGHwPlOGif
Cz/asLmSFVyYlC+dqg/JV+V5h2X5Oeh+ihMTi/9c39aVK/TCxOKiLroumQaRXQ0QRczBZ4jSXqO9
aqXHdII2ii+7u25xJaiaYA6Jqii+MXm02Eehl6x+UkCuTdYN1J0igF2r+h56B2Pzm62Z4v0P1wHS
Z1AdLDzUqlLVG/2eoXDhK4habQKlEe8UdGWApjvXl7Vyh6JixyAegsgIp/8ByGs05mnqAWxjShcz
uyM33UXRe7fF/rEW3RgE4i1BbCPtWXJKSZ2owwInQUXaaga1E0NFzUVNVHheaka37bEW5cAeLDG7
0wUTTas0avvEhZgn3SjBrrknstPUlSkbMZuxCECdH3hmNkb4Tpk95H5+l2QK6iRbVJorXxHNewCj
ACyINb8Cw1loRcrRbKQpLmik2gniUKL8SuPUir8r/UZ+sXYYJAphUG/8mppdHIYuy4JcDWeVwNJG
VrUYI1usb6qBDtxwSPPgxMV33WvWHr3USpnDQ/SZCeslItAUqqooJcaRNfEfMT6Q0tpSG9pJ6nRD
vI+tL3n+5itvUbYxG/Wrk7io3pwbXoq+DEUbi42CYVVAeRARoFpwI+tJ877JSWeX/T70bqzyoE3H
EFYb9akyPof+lyl/qLf0SFcvsrM9WEaEoRnTrtX5KYLAAA7O20sAiVJXE79FBgwe1VFO7xhuR67Y
h+AXPG82/EWk5aXMiDSlZHoki6BkKB5ibQqgbg+59kh7DALdFvMvGx977QoB16fP4p7kIEviL9lo
5NTTZ3Q63QimVeRvXnowZ0eu9tF4U0UdHMPtxtJWjs9FvJiv8bPjUyeNKnaKWDA/ODzX03sefm5A
O4wx/d5p61uuRkHYMDmwaPqCP700BkOHX6GxCjJoqnPbMwTV1aXsc24ZnwXGU/57zOW0MkqFthWa
6UsdLTFE5dvMIfsZzPSTWTTdUQ7NClW/AiYSb6xO17/fSryzyM/R0iIMafKyxhr4XWiWFhBoMWJQ
qS1j0FySzLxfo24Nsq7sI7s468lo0H5YyxdZyJiTFYhV6UhKcQiqbJd13WkIjWPTbk1JrpRxgWkg
CDxjT6GUnVd95h8w69F0rDFlRs0xNYZDYGxRtq9tHOhqGp9cjzAFL7zCCwSx1JWsdKKGZ3Ln1z+M
QGhRHTZ+Xv9Ca5cj8q76TJWCpDRjwJeLKSkTFUXVl+B5QD6L7S0gkZ3VeadCNA6QMjzEcnkjxcVe
8swf123/eXnwMEVijYFMKAP+aMOXlgKzQ04CILbKg5CYOyn/Yg0vhvwmQ+Fqay05TrlF7L92fzAS
z4grREf4y/KtQ3OjjQJjKh3ZG3eNN+3yJjlJabfXy+q+1wOeALWdCoqbptohG4Noowq3El1mz6GT
AwZVUZYpVtVmjVIqYukUvY56M8QOjtJ3D3RDgp0aCSkyA620u77Ta+50ZnP5EkBIl5PQSSU5qwsm
/KtIYpAlsCxcN7N2Bg1W9EvPl+mAReBMGcERDE+eJx6sg9gP76WkHbWpOkL/sr9uavUzIj8xzy3N
o7VL3E9YWYk6aXSB8152MjCcaqe6PpBS9HncWARP25Zu2r3FPDi6zj/8j+YXSzUHYHd+ifm6HYxd
mtLxU0MY9AoVkE7IzCc3yOPgC6NdRv53Q4vuPLP6vvEjVm5H5oIUWB6AZFDAXkQJhpEmsBFa6SBI
96RrUU9BZ9gzPfpNGuWbyFMOLYjxNrB8m5i18X5f+9hML8y6xYAhmY67DBwZNB9mZRmQnqj6fV8P
L4U/vQg+LIaT9eX6Qtfc98zUrxh2FnDHsTABBZmYagqE78YsfYw6PXD0St2CAKzFdpNuIH1y9hXq
pctVyWNjKgwVcGPRhye9+dKr2vv11fxSJF8kkrQcecuBk9VlnnSXNtJGC6cxlgu6DadSdcXydhp/
tPExSRQ7qz8HjX6r+x/H4uQNr6X0I7IQzknuhWKfIpGUHdQRVOuu8A9ase+V0/Uf9+dXlZHg5l2G
vrg2s+Bc/rZ60Hw175Dlk9C4lya7hdJglN8j6+Uv7MCACZUGTRfSg0s7g9UpHa0zVL8TxGup3Uc9
PR7lRkVE8S8ssSSCPhrj0hJfGTBc6/VhgqTTlNnN9IK49ug9Dum362b+dBwU836V1ef+PLrdlwuy
Bk3tTY83V9MnusPYP4KwnrelN7j2eTgJVPAlIJZ/PCDrVoBzLKD40BVDcsuLVbjPK5kZPQCj/tjX
G+2CPw/eXDqmE8WQ11zSXXwlCVamYWIy2qkMj6StPWit4ej5ltb82t7BCkc6CjyJJ/pi74KiUeIk
oy43zApCP+Tk8/VvMwfjywPHMhgMZS2zCMISY2PEAVwxKYOGqeYqDN2nUM8Ft/Cg2ZF6Utuf162t
r+a3tfnfz6KVJHmhksRYC3ttN8FwoieGe93EfAr/WNC/mdMfkEIlMUtdayjT9MKxbveBdhihhBzS
Q6gDn+A1XGxNCa14gqyAUII6gMcDWiSXizJh7re6QaFCXJe2Ne2FSXRjdetWXbECPInxEKho5nbR
wt+8oc9HvyXtTbTU1fPBMUyB6mHkyGP0aYz0D13+Bo+CG3vPTLi8j2Jxy7AIjGBuiZr89T1eARew
4rMfI18uue4p1nhzDm5Zz8JExG12vh+6MbeR3Zifsja/7QAdWJOwS/r7YRg3IsrKZvAgpMzBPcSk
4HJSB2IvNYjyAWJW3/zAu8135BYi1bhOtpKpP1NSWQXtBsTOsEyZlOJypXkhhSFtOUjeRhWWT6HB
gSbxqTT8d01vH+MyNjb4nFZIMHkXqqoG8lGlh7Y88pJVZWZvwKWU3clfJ9t0w937l8ilBr+LnWBf
7WSb6avjx97W7Oet+dUVZQ7IqpCdhV6B9hj+drlg1RQCTe5n8sHRrivbf8ieJsy62s6/R7f+TUEF
5hA8pB+OsS1sZa6z3ywOL+z5jH3OBUC4Nxe77ZP2C0oOAki+L+4U27wxT7HzKf+cn+L9Flx3zYkB
0cIhyXngifcrFzkLRoPitWrYsM/CKyTbR9AhB4pzsGoDLT9GG9fFprVF6AsSw590i6WVO/3GvxHs
4DFxQ6AMj1/U22zrJbXyduVgnC1uPkFnizOspJSkjsWNz5VbUIOzB9tIXOMQ2Vugl5VmyqWt+WY+
s6VLEUf1F0XmTbv7PtzGh/Zz+ZmaFw4yPG6lYSsDAJfmFh4qqS0NpHlpzWcEar4Zt2jV3OS80O3C
9l+bQ/XxeYtjaoWV/NLm4k2TAcPtpRyb5nN6hA0JEvLRCe4se6+kdgljtbofDl+YlNtnh7eNYDsX
iv84FMCJKIDxlvmDsaiHcKceK2xL79aP+Nveu5edBn5uqgPTTX7a/JwrIQ/KkN/2Fp6qha0YF/Pn
VO95cj8yteVE7HXp+IfJt+VHkFROcm86W9o7Kzf3hd2Fyzb9aDGcgt3WKfZmZH9/0Q6Mtf/l+mj5
IxTDpPkywiGoWQSSBQdafSMf2p/pvQLnuGAjMeVUu+5bePoW3LS342Yned63P7/jb7sLH7IyRUEv
GurT6nP8jSoDisp3cIntJGfYoSr78XlrKGfVIOgGiQEgkADLXofWKFomz47TC9MdqN3bJttSnVRW
I/aZjYWzdBPE0VnIdTE6qmPd1btH6TQ6jy+fPdfbD65vGw/y6T78+BN2ky+9C4/K/hDchq76YH34
uEWkv5IWQGHBYBXzwxTNlgW7PtRCM5JlTkr+oRhfkuwwbnnPyiuDsh/ZHmJF8IctH4GTZsalF2uV
A1+FO8BxgzSZ6t373dZVuGoI2AE125nda1lJFfJIyuNMhZw3QI0gPE62/EW1tWcYHvLerl2oD23D
nZ5aceNRuHp1kGLy0oV7lkbn4hwGatmW9Qh+eth35rF48kk7dvqjcAjFjUWurvHM0vzvZxdHCAmS
lA5YKned6uSOaTMpcT16rpoAqDajwxVGZebgem6iTTrkkvheZfcxEBPbU45leDK3MpdVMxCa8BJk
SMJY5hJVRsEaGoQKrZI7PXuRy+MUOuPWjOvqNURFidMMy9bMyX65mthM1dozdK6+98HtkS2ID8bO
t/WTeRck9rRrbgL7obfzo3dvnLaGjtZOF+8OKLBFqjPWUpLVGoNiKA080jBb6AfMY9tY+7Df0rxb
X+RvO0tN1nSSALUO2Blv6Nt1ilOAjnOkAzHypT9Yu0mzA2HHKncBhHKOBbbJ7bbQEr+aS8toDf+Z
PtcS5Jky5nKr2ywMpDjHcfT7+pv54vPougt3pju+G/vqGHxTJlv5Wu38D+IRvqP3ECj337guL44Z
hQ+Lh7H4BbGvpgC3+AXpdOqHZ8NDBUfbmQAO/uKInNlZhPAxLc0xD7Djpco+aGs6bfrHNkozSNc2
GsVrVzx9jX+XtAgtYawpkdliahSqe13y9r1muXmZO7LUvVX6e1IV+0LaeFCt5qfnVhenRmgyZeoq
rE7AiSuEVeSfo2SXJe/FHKLLUx7saCs0jcwQ50mud9e3d+UWBt+J/AbTI3NjevGmqcj5syjzcCRY
UQAAM8j23z8gfBnoQ8C0SvFryZmT0n7i3US7O5MCewRvb3yJktdNvsm1faQShc7HfDHM44eXR6KQ
fSAVbVg7aWJL++JRPXl77V780ey6HbgNsHHu9a1bu4ouLC6+nCGPrVVnWGTI0cVLnvonq7Zb9vBY
KRu7uPadzle3eFZ0s3ZgPtsKy4YRe6enrnd9OSsB9GI1iwRQ7uqpSX0sFNZJqxNbqBkS2Nqy2Z0W
cevCyKIalRaD3lZWUDviQX8O3HbHDEay693X8WD8uL6e9c+jQDMF3nP2i0WEmtI6Eas8Qmvsna8i
2FNqcxENdnXQ76cvG8bktYWR2nGV82KH+u3S+4YQrIP/f6R9WXfcONLlX6lT7+zhvsz5uh+4JDOV
2iVLtl54bEvmToIEuP76uVR3l5gQJzHleahuV9lWEEAACETcuNcooBIUOjdyMB+jneOBfy37Dsx5
KGz32nSHlTnO9RqNaINRVtDO6TWfAkyh2KKl2si9Ik79GBHncXmkVzPwY5AfavzhTg8hJ5uBO8lV
QtuHXjILtLvlSULc+jL9ZTwK5lM0QM4bx3hozLmCdRCDLKml6x/9TvbAgOrLD/UraMvfzhvceFae
jJZzTGns5LEhmNDBuU2LAFIaqobuwMitNAGYdcsSCAIArzDQPIcc2qmnaOOI016uoeJVHluGQjZS
oK916rNof35I7xhxfrOtLXE+qUpqM0sqLJlXmeQOF2ZoBDe3NzJxyX5047BwLwCC7Nwo6EQF5Y0q
L4ipVqPkHHRuW0tlDmzXd70LhjQvusnDPvjVWa4IJrjlqGtTnKOClkkthoRQT3+pLpMbtpeupDsq
mEzRqnH+yLoySdsa43Fwiw2KW4IntwEQGIB1EUBrK7jD3FkLK8byXOQRMQzYqVTJm2VA8456LEau
Cr3dwXho99+SXf3VuVIfk/vpmCFJkP/IJ0Fot5XDOvkAbrDAONLWGfABNmiS4/ZrU1+bkjvVP6Fs
XJUolP3U9Z8zvUYRVzMgRKw+dbbgNlK3V/VjErgN2ZZzB2DnMglX2WG6M0PlaIfj0TzIr+UB5FcB
+CXcMYh2ykXrpjsrBIFCON447pN1MIPzO2nrMFotiLmU81fPtKZsO3ma8C0zWoZ7806vBfDS96zO
p626gDEhs7R0tnI+nLdpM6dyS70eaQmEMGHpdtcJYpg4QVZU36d+t59vZaHA3lbiFzSGH4a5pa4k
xbDoCMMz1JYPMt66sjdjuzbLGZ8SV6SzvOz7cwPlllWS6ypvS9hjiuoOqFy0kasqLZ7WgjVbftAZ
Qzzo05Ym2uU21kye0Kfs0eiopxdLrRp1akPfacnP8z6yAe3Eifcxk3zJFVCvLOtrjOwlvqCN+4Yb
BLt29hD0+jKU+2zROSEa4RKSrLyyriWlj02MsMv2FfFbHXWfXWl4iuSS8pclMrfcFucmlAunbND9
GwZbPKVzmQymux8xuxXM4WdczOkccnejAVmzzlBgI7uUve4teiyO0kvmmtfab5RFT1aLuxsp06jO
FEweg1bR+FQq14UQ8CzwdYu7AwtTZ/G/Z2wHPLWnXlR+GQLSw+AR+YHuWnfYq8/6/flJfM/mfF6o
pZUcAB5o+nALZTRFzkwLQ3MezAvrqD07yB5T97ZHLkZ35R3xnnFyegVSu/Je9pVvv5Fuwtx+fAC3
ikOT5WmVYhWVhSTxsouDBOqsmWCDbx7KKAHKYGBBj9y7WurK/dEAYEkzcoHeCAJ2PF1cR9gHs8zU
p5lcaDAwGnC+8vCDxBkLubMxEDNEXczLXhNA1q/TW8kvgiIcDrF/fum2o6aVQW7muszOosSBQQMB
hjsN7vM31aUP077ei8ibtt1kZYvfAQ1SeS3EBL06kMHPFnRB7sre6OoHhoq9a7poNL2Nbn+S+zhg
KF7ll5oni+LEjUUEZTX4X1EHQDPCe7ZttYh53kZFo0Lg2kTx2kXZ1e8NSEmen9aNUALNIyDfA+sx
MhF8sky3ckgsODpKRE3rS2bY5l8ByZ370iXdTSLqB94aEsBRKMhDFu1zq0hT6ObcJgCimYU8P5is
+TJhSUUF242H9KIRBQYisNqjmZK7RweWNDMeNAupkh+NfkFLPzZdKj+p7CuDJMN4iT642fl1fiY3
7oC1Vf5SLee8V2mnodBYv5LCeFZbNYBm09e/bQVQqY8Z5GISsIhUdV0AoDikkG3V1Qtm6niLmfvz
ZjbcYumYVBao9oKh5qawySIlq/oEU4hM5q7pLTSH5A5xq6q+aVrHvo/0pnlMi8YQGN64uAGcQ5AH
1AagG7xoI+uTqLPRMeml8iG2g865bRHeZldN/kIZqILvzo9z4+lyYo67hvQYw7f0hX8LAlydHOQS
CTKIL+TUV+Cm541teL8DnXLgzuCZQBxxpwq06khXLuXLuTn0ZQ5tXxG8Z+NWPbHADccqCoMkDMo8
LUH/Z5V7NLvXy6uajv75oWzN23ooXEyeDLgT8gyGTPmODrVbxSSYm6NSl2hx/Y0098moOJ8nZgtG
G4iqe90sNTdlko9BJzXxHZmdO7liqmBsWxsZ9WXkd6DMttygp7HjVHY6mQyY6527qjy06auwQLA1
fcgs4wgEZzNwZ9z09U0+lpMKnSFa36aGO3T7IUer8EMvIhzZ0EUHIGhliZu7MUoUtPfA0hRGYflr
3rHjjxlFGSsw7vWH+JaEeoys33nv2Do91ka5GYzUCD3mOYza2b7E8STfWr2vd/6U3CcirZmtTfVh
CwnG09Wyuz5Dux5ssfEhHS5sUZ1868GPc30JcRYWQnQfnhqIK2uGeibO9fmmtj05KK+GcESgauC1
hIsfWkqu4+MB0wiKH1tuuLbLPWGmOBmREIbdNG7RPvGcgd9Uln7LyF9XJf8wG+rCIeWAqxLPzTAH
/0dZ1BeaLVIh2HIIMA8u8HCAw9GYczqHkVOBh1zHWCz5V13sh/J+hsxg37ozCuLyj/Pet+nza2vc
KagmusLyFNbQ1GG+TF1uHHOrkBiQstEMyg5NC0Z45y1TYsMzKlpfWmg+PKBXiAYylNe9sejpIclK
0x9aZgcsJ6/nP3GrUgqwPDp3F4UaEBdyTpXWWjWVJqTv5lwNevbc4fHdJaqfQaZwaH6qluM2feeN
BK1fcn/FtEl3hwYZr+7bbN8WSXuQFP0CVaMbQ4584rTu+Q/cnMP1B3LeB5mvpW0UH2hejbvsdgjj
PdSAQp150V5/KA/VBRrFsxAdTecNb23ntV3ugTYkFvTHMtQE6vyZ6VflbyRETyZ+sb8Kqms903Nd
x3GhYldpwAyy3reSiyy7jXp0uwuqplt7eD0azu8r0kuZil4hsAW9TO2SN38yRPwLW3f+2gbn7WZn
z0NDMGOQb8jyRw35m9xXp/vz67JVMUKzARhL0V7moMmDW5iYDOVYvmsMqk9DbIEi7NCCXaJGRtEI
TXqhA07QiJIeW2NbG+VWizpaY0fGohDZfynyR6PAa/lKSCG1ecTjaF/0iKH/gq69U6fQgWVJp1lB
2ORj483+DQ1TK8BqBeQqAjuS6wyufi8qW245h4VId9FewuuNv1hSq+tL1YZzDCQP0gYVONo/zZUp
qKlsnb1rM9xOtks7kvMG/pGwcK597Gm3n2fw9k+uLEPrVRPlazcSVc7aIOcp4I2jg/zukBPzxhxN
bGgUw2PistQyf6hlyyugyFWDIMVpRPyzojnlHEZN0MCtyZjTSL5Lu295F7ajgB1wK3ZbD49zFkm1
6lnO4SzpWNz3tupOdhVSq31sQQsAJJFg+bZypyfTye1vAASYHUHs2NMefP0CkjdfNcePHuhu9qYD
6os7Ovnn9/oySVxqB6StEHlHHyJ6SfnbGoUxI6URLJqF9DZlw4+q0AUmPj/z4PXaknJQQBKL1P7p
jpsVJ++aAbXuXLrU2eRrU/4VqOgvmVS8KJHipQUwwSwTPMA2DjGYxQEGkQ4VxaP3quDq9DfyTm6I
ibI3afdgVc+VsHd2uuqBBsRErapBPz5yS+dn87NLwiYaqzUZnbkaop/ToerdJFXqUtZ3tHtD9dsS
/EgiZPWmDWDlsFpAPIE46tQGNBBnpyYYV2HGx0YN1Z7sCXk7P5CNDBxGsrLCba6M2W3BBlhJQYGv
TIAzgqe9icYbqtueEkF4pmxbX+8HhE3GI5ohRGHk5613+gHc1ouIYuKFCRgGy6evJlDU45z+lDSy
l7vGbcE6dH7An2+fU3Ockxql0g99hPFWScj6p3R8ZulT3+3PW9no21jMaGg3hTzxwv5xunhRmZRK
3eVL8SB/nWX7tVSnwLByV6PxZa//7BsU8aCh4HZaeqEDRGaXeepWDR1cx0wyl4yvxFauUrQk6KwS
nOafb4+Tj7O551VlQaY1jjDlw+w26XG2ww6EkgaqEHLmQ8Hs/Fxs+zGqfDgRwOXN46FUh9EoXqai
sie0eyl+K9UgFhOxnmyePuaHGc6RR10ZEAXATNY/M3LTzZk/6Tu7sL0J/SMz5B1EUDLRwDjPnZgS
NUkPi3I5e8yOC4gBQS+KjSJ9PpEhzmfjxCS6QpcZtL7kxjWwIi7JRJHL5vyhxWiRd4W0MJ9gxdue
pAoFACWCnBPNn4fsOp4yn0bf5zQ0AMKi5t9nFIEfAj8LjRoTGk+8HE5Bus6MFrxGauzsxg4HGurO
1dSJusY25w8J8QUYDyovnk4+Z0jL1DnsGHTyIGOdzAqSTXlw3s83D7KVFW6VSluH0BpAWF5jkMuK
TsUuZtI3iyHUVNXuro4zUZl+I4xYJKANcIiABAsNgJzJkTn5YNZotbOln6xzG+sy0R3XjkCcpoCZ
WnNb68FsfTkL1OQlbsCdWVuCyGkxcRpXnH4CdxOOWlIUWYJPsJrSlxNjl+v3kz7ett3fzuouzvKx
iJyhWovUflwAS2YX7eruW2MADSKnh6qLL9QsP5xfzM0jcmVt+f1VUGGremZ2gIV4fYNX+ZesvTCG
5G5uB2ibZq5mp+F5eyLn4e6Lqpz7LG1hr6DjrrS0WwLVd90ugpRl12Mt7BndWrbVbPJXgM3UwrIg
8QG6Irz+x8eW/mqs11FE8r0dXnzMo83lRBDlpmCghR3mqC80zxK3zSrpqMTDpVqWQEohHxZUNtiT
ZQKIEVP7XxIjInEG0Wi55xJNcTAry2hbaafaPrFUr8NTZbREENnNZQRYHocMEosg3T91G6SmShUq
ZtRLCNIcuzG/U0jumu1zIgK7bTroyhJ33Q2S5VQzSNo9R31iMuZxV3WLIh9UW203HkQUjZszuLQt
QQB5Sfhxd50uDQUDAz7WEXpeVaqABg/p0lm9MotBkL4UmVp+f7X1sjYnMkHbqUcs5cFWh28ZhBar
wTy0hiMIBjcvhtWouDOFZlJVqQyTqMfOHWSO0JbZ/QDVp2BE27tgZYc7TTI9rqJ3xF4VBxrIzsCi
qSbEr+AbTfHIbGiQ3s62B12N86eKaCq5UyW3krGrW0xlo+kuU6HZWLSdmw+1P1SGqE61kXHBCY3L
3Fwa+ZZfni5cU9YE9DewZmTjW0GAtlDjG3uMD6xMv0ZViW5F2v3KoLybOwAu2rKbZGCMbSJQxxbP
kHEUBJ6LPf5qWn0Pj2LrJasiQwecZBWjMwzJElsHoXBiQuJ4J5k+hLAJHX5jxsFvg240pLjQq855
FHTEDG2sADKoZPSFyZUV6PXkz6T1caWIauKfkzK4e1fGOLcqeqm2+xGIkLI5av1RNsFcejmUfm19
SU3wmT8nqShk28DYntrkFhmPUmaB8gtbRrmo0puSYSKJz7KHXHMhDqTXV7G8z7OAtm7EriYbajQX
Cbu30qA1j2lMfmMHr6aAJ9+XJEgXaAU+hxrxy5DTV1PNQzJGgihnOU15VwIBFxrXTOT2wblz6toK
iWstrWEms7pwNKtvij3/RnyzNsEde06smVGnLhObUZfqR+gFB7N0q+RPkfz9/LGwdUutTXFOajrM
tpiCjdFSxU3KOyo1O2IdDYio0Vowc1tH7NoW56OMJlEJEhCA9urWk9GCKiG5pv/tlPzilDYeLRCp
QlmZG1A+OnZKJey6nAI3nCUgooiORKsES7R1567NcGNp0wKanTPFo766GttHU6JfKdhRC7Yz5dFF
6C0EZC3h0We/+xgYt9tmTa/kjMFiV41eUu+dNwxOu56Ie5FK3gxp9r7a/YZzqBCWApnHexvJqasz
xKGsWwCycswuMwDlJWsICnbtKI9M1Bqw/YBZGeOiGFLEVYy8JF6ABPU7CFQnpeQ1BKlesutjwB36
QFeeaueuaZEPeoLSl5BSZPNyBrnVXwPm9nZczcXotBiwaULY/GXU75McF3KgS7jBSBANrWvrN9T6
dn6ehXa5DU8sK7EGCrvtDPLbAjxsd3XrNuqONODyAOCCmMQFVZyCyOC86c09uRoxt10gHipl1QTL
BHrdcn8xm2PYi140m0cmCLMW8h8kSvnIXxpmuZbiDg1CIOChDFIUGuu+nh/IRg8cNv7KCBfYD07L
LGdkQF46NxFBiPPsOGErXZb6dZ9C2PfZUUPKru36J+RmztvePAxWprlQX4J+g9Qjt+VpBfM6A5DM
9FFKNOK2smc6eyJZhuCu24pnkCcxIC4HWkiLx7AYpMrkeIZFiTxOqB87rpXuIjKAjaxBF97eFtF5
b6bWVxb52xWFkAIC4LDYWyFTA7O+nfLZjdC3WUECWsNrgxJXBh/m+and9E+AXEGTqoB1h09FZS1I
9IwRHaK1dEnHuzy6quLDeROb3vlhggf2LdRNdbe0vjZgHk4s4kNwTrBcglHwMAz0gQ5SsYzCAF63
zWs/no6JqI1re4kgcISWaEcF2xrnhnKsFFCYgZUiT77h16HS2vvWAuItmq8qQwsH866CEDQC31pQ
xdrcASvT3OE9t2U5pz3C9kJ5IhB8cEAuPaTdoYu+acMLbeb9+TXb9P+VvWXCVw/DJlFAHNkvE+rM
oTaPoTrIAalVF/i7m7gxw6VikBaKf96saJjcOV2O/ajJi1nVkZ6k6EdfNIkL8Mau1l6UvgwGlYje
i5uuo0PfCSxzSOvxAN4u0UuHzZjZVJ12ULb4oszkKlVIaNvzdaZ8SZVpP8b4DGtCy0rE0DHlSM8y
yrI2jcLaHAQxweZuAZgYBO3aQrWxrMxq5vUxnbrMsBeQ4xgWanc/JqJq12ZM+peJT0RxPcGDdE5g
QuvcwbjG4yUDZTpwD6JS77Jcn0KqlaEl5FqNRQKzfumMFkIMM/LSaMTJmbgkn/dVIsoIby/jf6cN
ZbxTU6oNXRd5Wcae7dFFZQ/PTBFdCv+XA+DDCHcAVCab5YlhPBYIMHtFcwcau3lxkUbMy6qAWYG6
PH/RW39+WwgNc9u/iiQI9yow3MssiKLYhSoT0fc9OLvbEY3ve625bixBCC6aUu4MsPs6tzMJRivV
BwO5G8WhRXvB0DaNQMESnfX4B0DB03XTqqIc7WXdqtzejynglAASQ2lHEEFsuvzKDHewNKo5QZQb
ZhzZdDvyowV8Ll7giNkuikaBsU23XxnjYj7FYVYNPPSCWqrcqbgmoHiZ4u+0ngXHpcjQcpyu9pcZ
Ky3eSDCUVrfZEII2x7VQg0sFNUzRGnFHkkFwAeQZHEGGjEAZlw+JPO3Khj6c9/JtM2Awg5A0Spc8
BV5D6qSkM44lRUvdQZuQx36AeNJvOdyHFe6gqHLSxkiig+OHGXsIbz1OTRpmlSN4Jm/eZOAu+u9g
uKOiS60i7mwHZyze/XMSQh07MNI9lCndJvZn0etVNHfcAWGDzVbvapiL6+tEBW9M72ZpLpg60Zi4
vYpkTeKYI6auRGbSbwHKyNx0Lr+nBQTwmJwjmdKUgxZoxdw9nveNzf2LTin0tYMOFjRAp57eNtBf
MB1QiZTGEdHxqLS+xnwt8WTAbM6b2gx9Vqa4UdICpe2KwJSidZdaPHmZfj+WkJ+Xu/hH3xYHLYY2
E4lUwexuLuHKLndE6XI+9lkOLhMV3tGhIxt0z/E4CBKZm2u4ssKdTVruDJG2jM7WfVbcE1B7KlPt
MWNHWieIk935ydw8oVbmuBNq7vrOUUoMqoiDHongnoQafdFNkTqHyA53RCnF0NuNjGGpqJ6PS9TY
pEg+5w9dnYkixs1E0V9j+oSYr9BeE6U2bDnJl3Q4gLtCy9Eg3nnzEEFE7wGdUaP8WEPV+vxcbjRy
4wW+MsyFU6NkFuZcwnBKQVWR/aKRE+/sUXYZjrIml8KSPPT95Dq97Q8IVkkfQbs4BQ4zcdXeuh/1
5nYqZVFl57xLgTTqdG9WzNIpOP7RQZB9Yf3RsO9YDURw8WSaLzlEcM/Pwvb2BGAXhMPQiOChWpoy
QZmiwCHUQlQYlOR9PbqpRt1KOYzV9wmACufvq4hg3i3QkYP+HBStDncijHmkqpAWWIhhK9dKAsq+
Ue2tMQXp2+0My8oOdwJI3ZRlFIoAqO8fSHUoU49KIIbaQwByUkJFPYzkte2+NMXdJKS4306R4S2A
Do1Fep6H9umdlLBhgHOBN8Roj3MXLKqzWn1N6guH+ZkFpRaQ4oJZ+fx6Lif3pzfCh12+S7OK52bq
cwx6VqCnC5RWNIo27GbtZmWC2zcT2j+LQoEJu0p9CaMg1t5EJKtmiyCoN3U7c9pBkPT/c2TcvrCq
ishFD7cxJAtL1z3NbRGen7ztO+OvRXvvw10FgIaZdlSmy1FUX7VlBWDho4Xr/7yR7R33YYS7e4F0
BeHBhHGgxufq0oEizGxVzaVYMHO8Z/nFLAmOOpFTcDuuGOSy6lSYrKIIJbbiIqqrl/Oj2r4xPkbF
bTZTiwDKsBHUNm3hVu1VFdVhZ16l4En/HUMfoQsXCWZmMkS6huNRt4ZbpczA2F3ZQQ8GzdrWn8/b
2jyKVycId7vrdqMyc3E5rdkXZupG+RO6C/3O3nWxL3eDwDM253BlbvmclfuZhCqZwmAuLt+a9FqH
JIV9Uxn++UFtOsPKCne3UyczC6LBSp/PB8PoXpVOFUTr5weCsuPpQAoZchpVChMpurgTRCcS8FzS
bdHszg9lc7/aSKODbg0U5yrn17bTqywrYyTqx/pK0tGLUcpPZmvdnzezfZiv7HDOzRKSd5GGc0Eb
nlHKUrQgS3eagqa7OJDRp97tzchNOlng6ts32Mou53/qJFHazcslAkhV2zcX0ay5eDz6i9QcyFmC
xPlOq+QnydD131huBRkuywIS+vz4N5dz9RmcX2rRXGkDWyKSorsgOjlSgLrKcXRVSaRkvYzo0/W1
MsU5Z+kYZMDrC7215Sto8QG5wuOO7OjwDJZ7wakoGBZPD5rTPKqg4Ibt1u7iJPVgy4GmkC44GTcP
ERshzyKLsbzFTzeDro9mZg1w0mYKdfoGpA6pSz+VfYN9aWWRqNnm7bKyxq0VhKdyZo1YK3l4Udsv
Zn9UnachSgDAPVZkN7FOsAdFBrkVy2kk6XW9DK/K3Nj0oJaitKrb1telFhhmoInSQZvn18cIHe5w
MZIEMGAVDQwoKbgTMg1zxh7PO/w2VGRlgwtxIgq4TzViUHIh3znp4Li0gKR3Xaq9rxTjdTNkNzKj
P1ttADxbn7/QaD5IC3q1TW/SVkm8ti2yoC60yKt6AFuHCa3omRNJgitDUTc2jAUC8gW4B34EXuOh
iCQmlxYA8YWGsj6NQxk1PaOoyV7NZKBr8oukZ6FOco8sjBrZcAD0VpQE2lCaeJdVtCFi46Cj5f0g
W91cMSkdqVvWZPIaz7Jc3bO+4v8AFLOuDQoCwm/yD+bJ99JlFbIveuYVd9LlFJ5fta3bAG1rf33E
4jirj2DgllSJhKmAcqk7Dgq0pz0orQgOwy0r5so1lgVZWYnQRW8kDVwjk+cLCXWjgujXcZP/Vg1u
ZYeLc8CRkpHMwkZGFnevRXXQWBQMG6Ik/PbpZC1VBVRnwe9+OhwQH9WAtWE4oOrtzdkFOQlIPVCd
CZTxTjZ/QxkQJ+GicQMGGVRj+PpQPFhjlOvwlAKEE+j5qzv04QG8mDyOydVQ7R1glCW0zlSGYKds
Hhsrw5x3xKkDDXQANrzJakJpHMJB1A60eZ+sLHDRSJGUBkIpTOVoIwSed8SM/Nza17rIBTcvSUcH
oAsTuOg5na6Zha7ssR7gGlVybzRBCsCFjKhUD9JedPVvevvKFDdr0aj2clUtppo7tKm4JpXdMs4E
d4jICjdzZYwWeWfJ1UnppQNgQAq0ZyVqfNu8qABuBlMjqAo/4YCTAVgxtDAtVFcoVqSXU+bVIEnS
6I1TBFleuI0muPk3utZxLELwE4Q1INaAFs7pQkGIPi9zCyZZ5eZXxv10az7Sa/U22sm+/LV1JwR1
h/gXgrrzJ+HWpl7Z5SMbtc2rTHl/I80HG9QaAM5mt2p87BR/yu7O23rvC+ZDtrUx7q5MKzPvEQjj
rgwdNw6sGHoUuje75m15UYbk6Mzus+wWX5pd7OfM1SNPEjw3tvbD+gv4I5kxLTV1uM887rrsOKGT
uHu0W99Uvp8f62bhcG2J23lG6VTqEMOSmh1xJHdT52vy0TCALNH2rblrSsjSiZK+mx15a6vcJrTt
PlZ7CTNM3fpqRpj/IGcuOD9Q/Eie2Zfo/sg0t/BS/3sUxKLqtiZyJm5zqnOeyn22NIy6yS56NG+z
Z+pbQRqgChfGWNC7zLd93WsPxn3jSy8MKgIh/Urg3cSje4RN4CPxssNe+9bu5DvpmIreSVtHO1ih
FgE9aJPoOhdhF+Y051mJxkhrvI7S0ZuE19bWAbWOsrh1b6uSFfKEy6NahBSBcSvDSNiosPncW1vh
1rktjBRyq7CCpl8ZFC5WcUUgCpK8ah2wFIW0c5Sgkb/Mcjg4O2OSg3fv/l8/x/8dv9W3/96z9F//
g3//WZOpTeOEcf/6rxvyVv1xW3z/+Ub/Z/mLf/3B07/2r/Ctvv5efv5DJ38HP/w/xv3v7PvJvwQV
S9l017210/0b7Qr2/vPxmcuf/H/9zT/e3n/K40Te/vnnzxqivstPi9O6+vM/v3V4/eefAH6sdvny
8//zm8sA/vnnMW3TH99Z+umvvH2n7J9/glRV/geEDZd1gWqbDaH0P/8Y3pbfUkznH0vMBAlP/C9a
RHG8V3XLkn/+qf8DUgv4mwuEEHkJxOV//kFrwDGWH6j8A8Cw5T+DUgxN34b5538Hf7JGH2v2R9WV
t3UKtBqMLofbx/ELE8CQaxZ6rJdWRFxu3OFnpDmS+jHrbyd9UIO4hh5Q3k+vfZEOrw1E5Q5Kwwy/
NivZzWUdTQvolPSGztSPaiPUQOYug+Vr0DmMvnIQVUEiBb88vfGUEcFIEs357VCQGTkf7UKRy+Jp
NBJIb0gVku9KVfkdGC52xJlZABhG6qeKs5fm6kXLBtNl1C79prTp46gVbdi3enMwB02+YmMEprze
+TqmUuuvlvw/s3oyi6dXyL+/e9EbR4MQGi0/4SbGLGKdBWzprUzooajksKrQ7l8oFBe1o+eAt/bx
wZ5tdsHU3rmtbCXeRWoOZkliDMeOxu3PruzpEymia2O8KBXl7fwXvueyTtfZBOeTASliZLsgTsod
cn1dIJOQ4wtLpZDBokb6X2lU6V7SQstjie6Psj0Td5ab3FM6KvkgHcx3ppK4kG0t/ITS5kYv9eGu
imt6bVVzHeZOCsyNNIBxCwni3Zj2xb62Y/mmYV186YzyFJiDbfrG6ESCIoLBu+1S/QEOFMgi6MB8
lj9KOwAgwG7X3uSaOZRuL7fo85k60P3adhn5cZqMg2ck8z01pEg59kz+sei93qRUIcxL+4mkLouL
0CpIBmQ+kLIGy1nuRnWHHPRMpJ9lhge5V5oO3L2QEPIbECC0ku6tmqiaIV1XWY/EeNB6B3TZ1L5s
mhSMJLNeyi60w5bewlnLAVgt6uM4QUvctYlWgG5Ti0pXSuOdknba85yN+iOaOExI/WlShjwBSaqX
qI5mX1HZG9arAfCbyZoBPiXbucb7Va18h6Xkq87GIYjiPuouilRpBf5yeicaFmj9FpkidWFLBPJN
444FEAA3iHXT+mFWIFFSzYq5YzZeque9kj99PpnhLkZdg9CyXSf1A5sBNpIyQDNAyuMkLq1jqHUr
9hVRkhd4YOLVWVw+VZFcPTpa91hO0tfz3/LeoLTaIaAx1IEvXvSewYgO8XkuEEU9YMy0yST3M5R/
gk4zx+t6NizftGv7slOUEsIpThsOYyJ5Rj8ovyYHKN0SR9Yxb+fZrdAYeaE3DkinrWXOgNj008li
N0W2NNrh9fA6qo4ZqvqwL6EFta+Rlj0qZa7sQR+se7Fm12Bha+d9MbP8OZH78SoeJ3LT2stlDp3R
vUGofOsUg3KPf0ow7mbNE+4zUWaTS1hj9cGgakMoxkGFFS+dT93VE+oxLBmje6KpEN+ZrzLMA83A
Gy47kMw1L0zSezHLoLpUPyxB6/ml4JojFvtYB+RbUMsCZwsg36fXAFFTZjIwW91Hs95cGJGEoNWC
qkFhQuQwmkC5JkfpQypVfTCkpu3q+QhJMo1lPv47GIiUvLjM82kQIK8+bYrls5ZI2gRvCFTJuNRh
ygy10+io3dfK9GwyVbk20kQ/nB/8aaz4n7HjIkYgColqBAynY5+SPII48azdx6mthaY6uKNZt4eu
ZYLNd5pvWAyBpkMDR4cF9LSivD8bVpkoVc5sqmt5fT+jBuJJdZ0AMNTmEJWsJtBk16qIZfP0JbAY
xEEtq6pu2yY08d5XfWWwTcABVygau491MNP1081IFY+V5muf5n6blr5jm6XoZl527cmutiEgZ7+H
SlBEQ3rxdDozIufIfPbkfnQKd5jbh2SyvbntwnKkP6xM8WeIyHeNBgRH8ktVy/D8an4eM9gIVWuh
lUAAqPMg9dSEUFqiD+P9ICWx31fmdJenXeVBN3S4oUz9gU9SL3TwPu7PG+b3kC2rIF+BXhjQA1CY
tN5v0NVs6yjmkA5Ejzf6UM3XMkm9UlLqiwGNzhm6iyArWdAUislRXe/mvIye9QTigXidNPums7vv
uI7q2ywC/Y7gw5asxWpFcLQAsw/fQxQC3ml0Wp2uSN6n2NmIiG+A30WIb/fGRdkMKl4tNHqYB4oq
NvTmWZRru4I4R4uCVSQfh1c772MQPVTpvkPQsktqo8Z5ZA1+KcOPGsPE9UDILMgtcW92kHRYaDBA
dOyAtFoHjwa3HyW1yBQpn6Wbqu49qlWu1HeXinHlaJOvVjWoLtTdIEluVIhQ/5zv2CDsWBhVLRAq
glfK4N+lUVxVWTuw6QaNKK7NgCtWKU79YpBGlxSKsaubOds7jahCwp1A73Y1gO/Rwwu2dWzV0wVS
igylkSSZb7QhTX1KaxpIFs098GAzwewuB/naFwAaQoCBwwANw2i54xET3TQozErN/HYqZOnaGpDg
nyUpgGM7Xh11bgJCjW8C/zsdHoqDi5QeqEhxw8jgrOS5V0o8udIpaud78IdDO6+sbV/LKSSjJK1V
9lYxl0Hcx+VBazrrMFHzZyS38a62KuUCVGwKSgNSv4vKzA6l/8PelzTXjSvN/pe3xw0S4ABuOZxR
49Fg2RuGZMsAOIITSOLXf3nc9323dXzDit69xetFt8NtmSQIFqqysjLhG/kZTeXSDeV8e8jQoXrl
UhhyQN3k4+r7cHFvcH6tp7oZn1q3tJmYeoX5hzW6mgzzIfW4ntmPjnwp1Dpf5TDyulHT1KelgiJB
WKk2s4tXpGrWQcaDtUqCAXSbWDaD/OqZodxT20DLVoVJrgJ9U9PCXvel18Xj4r1Af9HdlGxaDmww
n7pBfzxBf609+EyIRzjf8C9+kVaqAcQCRxh7qooqSCKmpiOb5zLTdoHXRCc9sqlqdzgU/G2CuZsH
p0dYu0/1PTbRE13zgSUSdjHf/7wlPn5ouKtz/QuqObYhZdgWF+kG8zuDBv3qnoqxZD98PjU72XRh
0tVDk0lFlq+8bvuNm2PO/M9X/m09cOXzschBZGNn2YyPL9sJF6/1m9Y9qTysNr0kIlnWyP3kpP9t
xyOGMJC4sdd9pPKXz5ePIpjdjvcnhDiz7Zn/pRu6MIXRAon//Dwfv+fzSoZwF4RyG9TqIQNCLzYv
C3o4A7K2P/ljIV781p0yv4mO1FUinpchVjKaPu0J/b6IcCRBq8tByojc/bIHxTu9GJwG0wmDOu0m
IJLeBRCwiWlLxocCwSeT6zo/g8HkZM5gxoRLiwoj8OqUeYvYqWYuUjDqh88izceT7rwa5xs7f8NQ
ywNb8WI17Lw0bND5dKKOhwREUfebot50zHNm9+2q82NeQowFZ1oVU0c3BxwtBaCDkqYNwAqJKmxT
eb7Y+ragh2oY31rB372GlOgIrJ85/f6aafxPMP7rdmFOC4VtKFPhPxefAW3QIYb8XH/q6exvbDcv
ddwGDuZMOrPhve4O+Eghmhv23ibi03IyhpdFPFMrvwWS8AR/57B3XSuvcnRKblBljW/Qz6q3fqTy
Yy10+04bVR9Eb1hSdkIdIw2QwHgjTUrtR1eS8ibzJqVv+tb55pRl94zA0HsxULHwhlUSx52d+xtw
uKKTGTXfyMLC8c/1h4PuvC6VDJ4/Cg5e+z/v60sM/fwqER445AgRm7HFLj5UyFZOdWBkd2J5gJGz
tc13+dp5B5+Y9RCo1r8aHMl3Zp7u/NbaL3nNo6/5al7Apaw3iLxjVgY+dED8fk3WqFxvVuLJQ8Dc
5u3Pt/oxrf/1FnGCgMKA4h3uvJf2hMXU1JOVRJ+qFZznaK10whSFd99S+elofZv9+Xq/f/LI5qHE
hcVBZg+ZiI8hrBgrPxB+rk8oM5yXaXXiNgLw0asIMMw6BvvIB5/jz9f8PaChDEOc9uCyDRD0sgtc
hxxgTS+6U7tgvrOniqZy9NYEn7OT/vlS/2U5YWgKGi5mubEBLieiFmJM4A24FJRn25gUhbhpi3JO
lCybQzXl/1CwCRsNxmAYNXRARIBiaXRxQoZ1ICVykPbEh4g8znqOEpHLNV4dbTKXFPqfTSDg9DlX
RREUGlAmwcj5vNR/KxOGYRx7ZRRQj7kPdlAN1jFX0mwCNQQxWtB5XOi63fcO9Lv/vLK/MKQP8eaM
MngeJNTPJSGqlY+Xhhx8oIsAj4re+vx16dTypl1tn8fGv6HdeYAXYXWD9hG9IR2E8kpf+3uIhc+Z
dglIgQ1tU26a6aWkTYMqeWDgw85LHKltgL82XZZvxMWhk/Oh3zUgfSadN/Vfzk7cXyZwB6omOrs2
t+DidSMmSoAKzrtqHqdja9tPeoy/7djzs0ItHlAxi2BQevGsus/XejbYRkJWQ8y7XG1qhE8kuNW6
+/O6/vZBXlzqIn3Pp7WBxD8CANfOAhlt9NIaq1A2RF9gJfNCod74yTfyC/i4eJOoUlDbA0bw0CK/
iAGecYsWI33VCVvVOSweJxPsQKL2JWg7N50nxRIWyibrZ3rX9dakCBHtjVO3Z6JTDdfjGgOjMeHW
2XvVmpFaV1tCxn4TFVZt9MyCUzuo/thBYShe/TyMLRnfz2VFBjeh1omX3uo2tq0tjh23abfw9jDW
UNz889JeFIN4MI5+C6I/oh0w9N8hDLLqtuVTeSLWZCOi4ZW7LmtirNNvmposabR4D9IwMFCmKipi
b3n+8x38Fo7ONwBdgLO6N06iSzwBgzXA5su+PC0kx7yXJIH3DseDeYNkfXxa57rc/vmCF1jgX4/M
MXt+VlnESOilt67ToAFUSFmdmMKMBccQCwbKdn6LU7mZ3X4nSOvdNAbmRNqzQaw6z8a+XD6DxS7w
jL/uA5oa6KIFQGjp5dgHvIRDQCWiOvXFqrZTFMlt6YWg+/A8t/E0vNM8lzsqFp7lZshTnMlA0w1e
U1769ybv+assPnsdv3/W6OKhhEWzCggLv5SRnwbaDJz4zclVPv8CA6cqtXOgMOpE3Ps/v4iL3tiv
BQAaj8IQ9TLwk0sgIuJQIQfO2Z70QEuw1WWJFj66LLHwB8Eyo2pxmCCbs4FCk0m7ltANrFqmwzpL
Dm8FXcAMkTAgCQ3my11wtmIGVR+sHAUKN/Z2H56TvQT+Ev4uz6P2My7QOdv9GCRckI3OSFwED1eg
ch/DveeSXHsSeKPH6yBulkZtgHPyzz5R9t8uc67rKWTNUdRdAH6IBj6k80x7AuXhXZlwNyv+pe0w
wOorX+wmH+5jrVT5PSOqi0k+udvAd9enEiBPUjn0U++Jc2r423NDqBTm60hYUP98fO7coiWmoqY9
kQYld11Cfa1caXFQOnhE/getivV2KAZyDDv7SGu455jPCpHzM//tFgDiYJtCrRtZDPYoeIwfb0EQ
EMvAipvvXeAG2TRayJWVzs/aD4usDod+K8A93rDGTFkNKAvylJ8g5xeVEG6AMxDOsH0ZeruMXawB
K0SJbp7Tn/RogkTbucraoXiGrMurGDSBsZP00iLoAM0y13ySaFxsvL8uDm8S1MDYFcDSPj49GK0+
hs31cBKL+kEJNLgAhtePf/48/d/W+Jz7ntcYDxlCfO9i3wV+b6yeg+kEaJVvmTeLjUVXOsbrgLjR
yjA6XeigPbpUtJtRwV/QU/OcESlBitG2PJUtt69B0ZY3DS+WLXPL/GWNtPgqIPa6BWlWbihUDTcN
w4gUx5DhRk7UblQ91PEZsNmNoL7voE55m+czcNPJDMdFhuU2dOWLCap6yyD7mTmr7G+CcoXnO2Ra
srVYo6O1GICQS1fFoQiLR7OELHbA0t9IOkRx3hkvlrL91nWbdj0aEFm2JvS6K7H58xr+Eo//sE/P
hFWGQhnqHxBGvtQOr41bDmxh9tRF6jtb+XxWHnEOVR3BVqqtLT3X9LzBMDWdt7lY9TchB9giAC/u
q1K9gRk/Xhvd63suR5CZpBw2RGMk1BQ8OOpm4qlft/OtL9coiYzfpD7MneZ4ald6zUxO06EX1c52
1vnk0X7bgxwWYgEyexSQAJkudwerSVjPXDon1A4QlC4Wct8omd/98wVEiyVA4w69WxQt5+/wb9l8
oJw5WvLePU3VkraLysQaZgRAeSD7DXfHB8mDHVm8rULYK+cmNk2DKahtI57FcNs0tYrZes1nN56i
JhPjrurHx1LNMZ8VmK+wtmWoCtj87OPE/6So+y9vH6gsXD6hY4dwBZ2njzc/r7OwZ4W+0xRiwiFs
S5H0vEVq79Gl2ls2KrzlFRofrml9zNCiTRj3omivvW7w4sADsmNWLhNdgFXfmfkAVZXvJgr11p/8
6NChnX1vHDQYOHGqH2XUyw1OIRMrakTqCx9tTkrnXVtE1Sdn9yV8wBn6Heh7QFkO4AoFmP/x0dzC
myspXXJaSsjn5Kwd0RoWd5U1y521Rl/3REbPQ7Biin6Gcfocrv7N3BmbtCs6w8pTm85x1i7uLBUs
Rkgp0D1agrTkqkr/vIkuchrca+DALy48d2kA512OnoZlGw5zNNFTS4gLoLmN9r22Ct4W9LPBwv96
KeCFqP4AC+Pb+LgsYp1tJcDxONG6yFF/ddU2AhkiK7G9Tn9+qsv88a/HwnPBqR7/4BD6eK3FH93Z
jpqdWGGnXekJKPmuwgAyco6of2PZt2pf8VJsVzd6HqOV7iIn71IYBtiUuvg6nKL9Z9n8r3viAZK5
iIEjhrjw8Z689sz7tT07KTn/RC6tG7o1QX5fsTn85K1eFA5/XQqHMF4ogCG0tD5eqvQdGfrgIJwW
t34ikbPGZaOCNCDgMIetMJ9NT19g6ufrQQUWgPMZpmHo5H+8nvBa7HjbRKdoYu1bQKIocQUv00Z5
BnYBYD28LDMNh1TJZmdzTn5w30AwXjULRAEDlBx3ehWZByrXF+KE+d4qpfcuwE+03dpi/eQLvSia
cbvAPtBV4j42Ikj4l7HHLDXwRFs8WAabWGLp/J25mu3AEWJottFp3zfK/yQruqytzlcNAAecnQCQ
1aNP/HGRjDY2gpBW9zBMNNgXLVpPdRNgzKom620/ggXSTAt7RVjWaQk9kVtbS5l5YL799br+EXfz
Wn2HIHL7c/wjc/PM8HwY+/f38fpVX/7J/wfpm2Aw/S1Q/EbfvG6b8b15F337dwLnrx/6i8BJnX8h
ZpztbgD/wSrs/I7+zd/k/8LGBl6H1wcBBDRq/8PfZP/CS0WgQbUGMA/pzP/yNz33X2gKwPL2rBYd
UJAF/wl9E38eW+Q/KdN5XgkzgWi7AAtwkTX9Vu74hPoTO0/DMOPAvqLtHYgymtEbkLItaJ0vo16+
eaDT0mwyqDtiUZgqiJemGmGC51J4M+h1GTJTa+pkjeDBFUDBwWJGdR1VaqvVefTA4nbjGqOxP0rG
AUkOdR1VVz4dYY5T+TUYl7TqErCY+vfQW+iy9UgEh/oV1FEe5n2XTLmsYLkiZnPrNV6h42XNa5zs
brE+QSrQiXPVWRSjXQcKGJ88vmmNHWzizZo91TUxXdyoafETx9qiiNel/7Yi4br2mOBw7hnC4YmB
e6USDysAP9Dcy93Y0y0BC7O2VQwwpQZk6PoaQhyCOLuCEXbfgoSDicqqJYnr9S3YW0QVCZEtyCiW
K/51XMa2iSPgOWOcFyHUEpuZeDV02uB0AWCgPKAq19NNtY6Uo0/Syh3roaEVR9anzs5bqXisLBMH
5UxwZBqqKkQfvWT1TRmcZbYklvsrQYHyZRgYhVv8tLbH0C6QDdFT2y4QXSp0l+mozdyZaozHFSv4
i9qpgxZrQ82dw3WH3NjrzFMHRRIaS7GumKHw8yWEqOtQiHgKkUXF2lvLnyUYkteLv5S3wnjszW8m
BiZMzX3AAu0UBWkLS9/+ehW1e6DKUDicVZO7i0AaTVHXL/etZ/iUQX+/3lO4hsnYzBJdRFBqh7um
XTZdNEUu3rMsrzjx1JfO1dFzQEfHz6bcYYcQxideXAHxxbNUI1nj2o9OYUmqZ2zwSsYTzr8l46Q0
VUbyJhLxkPs6Sse+7PubEgrjdxZgxZFqywG3qdaglsXm43sSave5ppWL7Y+RtKya50Bkwu+6IhP5
IHQiiHh1oDVdpGSY3ScvIOZVgZ9r02GBE9Sm6sTSgv7sjUGy+gIypnqNCFA2HfZfHcfCxcuOE1h5
JRlkIhrW27hsy/FUijG/ngtg9ImIPMivNlzWKF5aVe0R0CtMsodFgAGIyZ55BgAQ74aoCXXCQxgZ
xNhDmDXkVoZFPNLeW+Bf2hJ07MmAK/gEoSSuaRDc8IagYnc7b7z1CtOSTC+z6QF3Oupdog3X7i3a
BNcRGcThzFTehZQUVRy0YwNt9HLt60PrMQ3NiBAeDXCEKpokagRrzrachR/biV2v+eykAqyS+3Dm
gw+zQBBn41V5tZ/UcnDua+U4zV4zspwt8GZs4sbxFaR+AJc+jnU49jGiqPm30sz/P6L+DyiWfzqi
Ht77N/X68XjCD/z7eGL/wslE8e2h5MN5c87W//d44q4HnBo0IoiDn6kW/3e6IMBEAuAxpDsgUEdA
Lv9zOtF/gZCF4QJYOJ4z0uCfDReAt3l5POFVgz0VeOe2FppauPG/F6RKDSoKBQ6AoC/MAU0zkhnM
UR5IKNpXBn4AjOXnKl6hyxGP6/KNgVObSDr2t9DzzK/UrLy3vNM2iQrF0fxZ5Re0fO3Gn6x3NRaF
qqE+HoYvaEAMW7DnG3kEBNncRXSsrmY0DX7OwsPUUKX8PdImcuPnZX/C59/duEUxx6htpzvH9cZr
tKP082DBwGhmWWQzasaULiHJylENWR9R8lSMnZfq0YGvg7vWGpKv/QDG/NLdc3/1HjyUSVtGyuKt
DfkExi7kqBizzW7R9XiP8tYelzHwd8so6ZWVrgUGZuuNHyBYtsN8TX3nTlA3E0t4qtxcwcfPfUDQ
5AkyExav4zJhGVj+GnEJBlDrZks+gSWtVplYTX/kc417FwoTnVOiq/DQ15hV9ctxU7g4AlkgD5RV
txAywzj5ifjQMpLCn+8mHMWbOppFFDtinr80vVmvmoYL3P00vvNZAy+oqnrnWujMVMgTYmed1ze3
kM6DN9XwCVq9x9Y289cyjxg0CT2ynV2RzpLdFNTzt2grNvc5KKXXtuX6aW7Q9Q/R/tuFLTGPIDDV
cR9oMYEFUcE0oZsDeOIN0/PIFkSWWVZLJnC630aT/D51deYWdRvX3A3jKq9ZQjgrQBAe8++TNHJb
d2y8Z0xHcVMJsgUBw6Rae7eYBPBQO4x34TC+EEPmWHYsmVeKrAL9Cth0pNDkSmdfTjfdtDwLjZC9
Lk4iyuktZOrkl0zBa7m8dnKqD3zFhPxYW7lhXtFmrW+Po1mOHZEJQaysdP8mKVxyxSTKDMrjT4Zy
Cd1oMckr0g0Eot2dxk0Mbj+BSRi0aVjyPe9CqL2HRXl0JZ+POcfqwNUGk9VB3SVqrdnGMbpORdGn
hWqyuftBO14Dr7EzsEax7EPofHge7npgQ9YtLdn2wZxygL4xDEXzQzvJDLBHed1H85SoiBdpMPAt
LxhMKgXh312kOOAWetDUG2TIU+O60906e7EXiG3AmwhI0LpVzkpif61MUvgsdnuSOZ7ZoOaL2Uhj
tznL5nXtsuuo6g4Yennve3dPFj7Bj248QtB4iRcGnryA3sS1hMFV1vtiYyjObDMXR0OnMrVIV1LN
4EQ6e+WRwabt8EuDeCHOxu9dDMayhu2hoM9uhlbfDIZ79wvSqbgMu++wRXgKzdzeotMOIWhHJRX8
leLV1GgMuZ7NwpC8Lrovr4ZAFafeKaa4wKRGGnptQqH8C+NsMM7jEJ1NyHoAxMWH0L/a0QuOveTe
tlydMDY+ScoxF7fjiCfShfxKq9rZmsoF4wjqcZup7aaHifrXIydYK0lgftMcALEkVcN+FrXa955U
14FYvOeysTTV1e04RF3KV5ALezAxAQnN35s1V7HoHPbswx8znXoO9kxHNkytSzx65CXqlLNp+tKm
Ti8fc4v51VG1Wxhz70IYiA8pb1V4BVtF/eytOPGLtv8OQs293/jTnQKAJiPvmjB3j7T/uQ1hzKiA
raXhqB9yqX40a/gaTt2Nbyp9E57h66CqIOMCIoysVHHw9ehhqwew8q5K89yRur4G2YhAYpzAKdp2
4SZfqvI7gx7SlRKYkpmXyv7sgXenDatmiF3A7LNU4bCdSuDsMFIHRlE0RZ5o1yOHUbvVBrjpEhey
wvfU6TnxaGO3/cphpzMX/maREaJhlMt0DWS4rUH6Skorgsyp2ZudPSiBzznUOL1m2Qp0PI8rErhj
ZIg8rWFIv6nW80vYZ4/ujQnq/nbIYVApyvucdrrJ0M9WG+HZ66pckzziDYPIXSB/BKQMdq6Jihf4
Oaw3YT/071FZ++8LXtuhtNG9awpkd3xe3nzMFL2uuoS9p58f8SA2TCtBU9FhOgxHUWY63933MFR8
gCjHj3F0Q/jKgJxORrd5bkdrTprW1fOw1rDWC+xe9vA8FoI296Q1LiDaIqJDXNjgBfNKJm4iGIuh
/FvD5imvPZgfFZYwODDlN6Yrv88Sg8CDGuukI2EFD7tKSHzbHX3VUg06mQgdnhWXYDw1Ljr7UPYT
DNZeVQgVw6brTo0NAjRvMB/FtwMITXtOFvKVQdL6CulHydNSY0rKcyDTDmBHT19DQgCrWYxSjWQy
+ygq2yvatiQdvIKAHaVqio6JMP0VKwYxn21Y6RMEsuc7oyjCgKon8zY5fOZx3ph855adfqYYo3z0
3HbUYJFJi4qhauBDMLY5ee0mhY4Mpf0DYbw5US2HB6QiPKYzmGJVMMFxBpYpce5CRQKSHB7YS/5y
CyVZe226YTrIsgJ+jJHEp/bsx9EpbLGpbsFcW9hB2X55xXpIHMBB176vZxZCt8rpp8AfWtNKDewp
XBcB/VdBESGNKBRiJbsrm23rRjxZBiCddPKz7qxkjxaZSkUePRSFQZPAuen6/EQgAbBnbZ5M5xpl
iqoncHrzn6qfg83KyG4Y1m3l/+AcuJUDtwLPgAls3xy6MXlYplIqr4DvVL7enl1crng5ASeHkIvn
mlduCEh+NQJFQhXRb+d08chQCd5BFmsEeGBzWCxKAP/51L52JifpKiY4Pfj5td9N2wg0mgLK9ym8
Ts2WWOE/ee40p0gj2DXsEbx7tKzFpglljGEXm0HjaLg3hRs89ficagT/pXsoQkYzXnjRnRTN8Kr6
yQeHD8dMXtEum2yJ6qco+F76QYstiOxPjLrfjNEcvAfh8LZWoX2qumnG4tT9VjuT98NffQnDsWbA
CdrXydQjSRs69whyXvXgl2W4UTkEbfol2M6tnbahdDEN4jyj1J/SfvBhbhP13k4UHaJ6my9fq1zt
AMBvKb5L2AVdCd5u0TtClIwgpmUBhT4rvOM+blDzH3EINe+mWJGlgFeF/62hrJOrmcVFVYgf3VC+
hoT3t7R2s0Iv/hWDaOnJ17DJ9Twq785Y+deuN+bYENM+iaBit/M0DrugWpt0CBY30TPaOCihi++m
ifLMDIAPbMnY0ywqGHCxpuM/WV1BvJn6cAigGukshJZS36sT6VZxGZjbVRyccoKnBSiac4iC1Qt2
dQ7+QkFkdSfaXh5sS/vdMow8joAl3DrcTHUGmWGdhXQiqStyUHxxwu4bqu4nu4ZffCajmxk9tLjz
W4iJKeO2T6BXDm3S1gNUzs7dN40wrhiBR1iBz07g9yjUhb7Na7ljZITkeP4AgElx2zGoXAb4Kkbb
baeCmwJ+0zzfF5Vxf5beMOx0LY+hYuOhF4odKy3QJenVuivlWu/7Xk97O4X0S8cxwWeQCKuY0Daq
QAcISqiRdAOPOcDlbArRXUpQGw2xqfz8SkxwbUR6X4gooyp3DyjMxyHzrMfyODRhia/UI0jO6Aou
xa99rkDq/dZjwDjT/rgVqmlf5rHysD9WBXcybHzo/jnoYyGLgsgTVtlN6dCAG4sPrYHMcO85qDwk
y3rgAnNG5znCxFsIJmDUkxUaUWEIs11nbTjUoHy200M3wgVlWCAFqe30Ze47eL9wpjD3H/SrD5+U
yXlsREkpLqTMHNuiYm4KScccC+fwZ3ccygzN3S7LNQsf10CANDZGAgyjgtVbzMCGGxgFtamzel0H
cXvC8OZrmhjNWaJX1WmAjuX6WM0hjIRYUd8i/otNIZDIDWPvZLaq1W0OBt+GCb9/pcWCD5oUZfuT
ksG+li1osWeG+mZpu0cD+A5U8aifYTWFRMMbkc3RwqUJzTt2Q+TOt2twVYNzCp3fvr7x+qk/FI2u
HinKAAQmFHU4QLykZriBuRLeN6zOtO9kGaQSyGfSDmTeaB36V/kwfdUYg0wrPoJTHU3K3/musfup
zhHyGugX3a6TortFTjB90SJKxr5AqsKIObg4nA/dGNhtRWon5X1LjjPhmKSbA7uZBu4cc5x8GRSC
2b4pZLcrwL/JZNE1BAaPU/0yrOAzFhp8tQlkT5wg7gqDznrd4bdwoDo9ipbtMJful2A2tkxRsJ6c
LnqrsX9jCvHbyEBEYhxrkZGxw5gHMDEUXx3KIrk4CD2gxN5KLjAzAbmfOCgJOZog1cODlew0996B
D4WfjYF7h4Lh2xT9YLAspAW6+9Mc7VWtkOO64EU686lFxRcbNkeHSEITa8k9tcf+ABF9nMcX3OjX
3EBzqRjbL2RWUVx2xfgalN77XMijQacpsdUcu7UFc5xdL91C4iLXdTyE8ifz8UUQR8PEb6IoGNCY
z8Ki/rJwHV4t3vQcDYRm5aRBvK7zaytLk5TzVN9g5rtBBKr4zq4Lz1PUxf51OCJWrbkPjVziPKFH
jJILRQX6w5icdpYwR3bIAH9DPZUg6x1swa68qdmqxm2OgLET1pebxTb+Q29rsiF5a7ed6381ueQv
CIQlCEXlt8ZpAgnncPBWkkK55NlpVgzT0dbf4tW3aU4Hfwfm2eNsUCEitIFrVEQjagUU9JB/1s2p
zXMMcrk2n8vYp2G1FZFTFFnnmDARTpunbh4UW/xgl9loeVCF/b5yMaaSjJ7EePGUFkbnd10I8Lbs
wmemGthchn5e7L2omN4K4zqJ746wu8SnkzG9bATQ5NjQBaNWoYlONELLIOlzft2hMOLTeK3Kurr1
gdocGRS7N906BZtg9DLf7zma0p1OF4bqiA3rdb6GVRz5SDA7WKR10fdi4gGSHzTU62rIFkKPYAzS
tAy6KF159wTm1QMM0M+i4H6HI2j4Oo7BvENRif3q43V0EUY0OxOYXecJfh6gTqCWc5ODc3ow/mpv
3aX6Zj3HJCEDr2s0KEBRvDgQe0T7AoqnlPRiv6BeDjX+DgqrYjRDZeyuvU4ArtAMI+RbFbip9iGy
Dldu+MWOuLoZ3Fc1wh/UWem3wu941oDuUFjWp9pMeRIBV8rw9hgyYmDA3MAjjXN4lbWVvXen5qFz
u32nscmIv0YpK3wEYc/VG1d4Vzhv45zkDyV9I+ClbWEfum6GBaoiiwBKBJjrUJnwG7w8jiPS9c51
oQrR4zBuS/cBZ8VwO1WTPtRhC5iioaixZg8TJBR8vbzZ0SAX4PXlG9OPd10TZSvg13qO1t1UGnRV
oIjRuy4CDoYJ9xJ4XwI5D7N1ncq/7wNPbas8XzfRrNc0KIYvc+RPt0MJsY9G8ZfIQ1Rp2mJb5pNN
CrhRlcjHdzoHoL1aQTE8NzzNdbFhfXHV1v0PjUnczIFMWizwXNt1UfbQDN0Lphz6+3oIH8fcr2PI
CyKPnaNx23jc3FTACxLrk90EHsceJXoP3wxYh+ZeL5LKE8GmLYIxhhvgCqIwvY96FSKWEvcN5dsb
BjdKJPM13euKYeZnsGnZgbUuAMF4SKOzutT4noRsEjTIIE7e+X4ilwhG4TieYyOcvRvgF6101JHW
4rbUbswigR5KXwP8U0qkhRc417qCroTPiqclZzfOAK9P3k/wXOwA8USmR0kfrEtqTS2//w93Z7Ic
ObKl51fRAwgtzA5sA4g5gsF5yA2MSTIxDw44xqfvD9n3tuy2TIteSruqskqSGQTcz/nHVM+pJG4z
5XzGVuoHeVI9Neb0qSzSO2HOWrh3lDZxDNOdNnB0RgaK0ar2KN2JPOwqIggCsYjpylMsCRWNXDsn
ICI+xAWInp6baZhRrNrOkzy4dT1D9+gfBhcPER3eVWew9oc5zJQhg1zPz2NVvfWtkR00V093rtOm
F8MreWz67ciJcmdG6NbX56Q6WBNPeVJG/n5W3gODh751e3/m6O+D0hAwLtI/kWfBMVKzYPa8oBtG
wD8JQ9mPNydflIW6myGf4chir91wRC2bWvfmm5TWQVJWySaEQF/2lRYmvnp0hjZwF8ryOLLVY6lW
+X7xbpmZPC5mWUI5wO+1xkXXmge3cnGvae4fL2JOTqN93iwf7cg4sSbXeUtpW8ECYAHzmbZ7pNHv
OPbjX74/xIFYIvxJxaUZki/BpbhBljAzxmXGu1HywQ9dHLiFQ+75QBvhlJ1N1e3spmgpMHP6QE0W
mEEaNMlUhLGoqmc7L5P9ZE9ncjI8Lo553C2z9Slz91RG6mJEv8TAc2VN6U9R1imsIk+gPQBWqmaL
zYIZ3XEqdXZ6V4StZ+XnJXEfpoFflz+226hLGJ1KgqLUsmwTQQKnyjOIxKXamtEOY/lz6vpHnKIk
NBTsfZTRw21Oamanp4nbenET6w8ubOOSzIaNt9Kxdlritpe+J7bC637pcnjXbBX6cWaFTiu/hayG
XdOpIujZBbcmuQBhMjakcWAh/809mzHR58FoWe0hr6aPaYEPTdRUha38aW1zaxCZAQi9EXnx1XfT
u5k5BPK4cHhumViHDLHWNR2T5WJI03leYg53zbZ5Wuw3rc8+a3OwDv5w7XF4HmQTf+VI/raz1KfL
OHdT2GdTsQP/ZmzpNr4YLkaqn8eey2TqMFXlrdwsjXtXlu416eetn+QLn17DNY1FbUeMjP6RwjV4
kwkZ2UTdwZrLYNJ+unrb8fzL6R5l5xZN+97M/8zLa69/DLUZptyNS15UYWnlP7NT7bymYIBUVXbv
Ll0R9rmOZ12VAxBW8kZKhnaMNaIwveUiOM2fdQ1FfGVpxTd6TZf6cEs/CbNdHoAzrTBb0yoTvSVb
o9GqE+NodBl5swi3eBJZdKc0d9wPpkyvhYDCbLrpZaQiSTnJOYljzv5e00KPxN4NlMG7aZeHfsm6
bb1oydnOs+LKxz/t6P46RL3ND1on1XPrT5xUjdu/99q74w87c562bSHcjW6VQ+CWURbOttE+2SVg
2uiZp9hYjjlv4p6R5MvV0m2Ux2e9pUy+H77Jar+zDR5K1qNvHx7GrCW5poV+1up4X6ytGChrtqWJ
E813t1qBfD0z6tDWk+XkLo6HD7mwdovQ9/1EWE8yOf22Nhr7bWZQ2khvHHgC4VO7pGs39aIv1zgi
9GSKumbHOlUwaDfdgzlk2jGFMZAbu6hAb13F1e3ZP51TQOfSIDNNX2hO451ocJXnvOwsIBk9IU9z
7BzclIew3qhi36f50cjSreLGdWIWWPHRrMmDuMBF7/aneEzm6wJTtGsGA91EvlEIu/UZRAVY3GT+
5Xnv73th7WY/e2r7bAnbKi5/dSo9Z5EG9jU+9sqRoRWN3Mpt91KtMsSZublt5UCrjhCnaYC2qDwy
74ZUfE2F7QY4VvGBddo+E9I5ty43FSBYe7ZntJpjP0P0AiBIwYvgS/ssAWYx3gxpXW90sbg6N2MF
0dw61ehs3MWce+h2UROeAHd+xWjZnnN9WMBNRg6VAXSOlrHuCkD6p24q4jUjycFrMPltlw5FnBp0
d1skKMZnm2sSsUx8mD3Vhgxrz6LXkE9ppTwgI0zjTWMw99iGN4ZTggTWbWv/2pEIAuWP4HKXVU7C
yZpFRSCNTLyIiXt6xOZB8I9THQf485ISPtxxYSn66hoZNQcTdxAR6lJ5+2xmdTZkPod8O/8+A3v/
TVt3zXTndVqg12WzE+Qu97iE9E+b3FitdMOIDoqj31nJm+koMxx8jnl6xfvdYMvsaBJcFUQT32I2
hifFvfzDL1duh8qjGUOQq7gp80x/w2OlfyM4dmgkjIrkp5bEgfs9iJjX902w8EF+OZ2tX5JC6J9t
urh7t1Ljey2m6TUHew6K2kIUnjfFKXEB92VKS0UM1vVh4p+7Agk5+6xl0Ow5CG+Rn76Ui4ouE23y
Dwnbze9B7yjS8NkTQsfXmnDureRVZbVDmls2LHeVLPNrgaBshyFOBpnhpNeZhvj3Xiz+aaRCh9TU
sWOqLVCgdpF5raa2Dcul+oxle2+n8AeJDpbUOVI7Jl0m7ngg+p3hwyfwC9PrJ8a+5tynpfNh1nM5
MNLH4+vkZ9mpL22iE/LIvs2IWqjo80f95NeLfXZyY3maMuYRtzCoeSbygJ6xyYxvomAeLurY3avC
82hibr230Z7a78Hp+rCMMHrXkTtvx1ZfdsOS2RvD6rkWxyWkEs14tHOvPppm071XpjNf0IPW5zpd
ou/WBDoBA6piIq1i1do81WX1PQqAbDsVVtgs3YvSDJ3jRouX7z6t17wuI9oDlVrnenrNulz7FJOK
2IxcdTBLvX/oYjsOvWWCk6vSYk8/Wxa4nd+eu6ibuMIYLvJuXF8eOSPVKqegG5iLmPGkGd2n0TAe
dMKpzkbci2AmaowJQRRfDR/AaaGU7wDEoCZSYxAOj8CXjy0b/vZ/2rzIbemB3i7ZIDbl4FfnaOkc
cM0l3lpx7IWFFiccMXb7H1Lz/5Yc4/81LaCBdQyd6v/6Z17i/6EGvFvjF//HlfjK77r6V83FP/7s
/1ZdWDZJwD4KaVT2a3Tjf6gukAuu5gX0FTpud4LJ+H7/lF2Y/7YGqvjCWYXgZJ2glfhHqKOtIwok
6sVDlWERu+L8dzSBePL+i+jCNjH0EulE8gC6aiQg/yq60GdXmsxlRaCJevCArRPjks3mD7561GHv
Gd06ScbIxNX7y+ia9yTRjq47up9kr8z7Kmm/nRh5A0qve6yIbGyd69QHqxR4L1tEev6HFeMuQ8O7
9yLjwcBLQobGPQk2740D0V6PKvnjVCzIXGfMDe0mdbipp47G+D+WNW3wd3YRBdx++qSUqG9Lwvlw
7Oa8fMoTJ2/A+x1YrJJUKjAfhGuPtaStogNN8Mp97Wa3eGJwNSa1Maba3M2etlwT7s9rWlaACDZL
RaKjrFLVS1G3r7Jcrgre3hiTeA9+CBml7TJC98oUAqOvK2s7k3ATTnXt3hyw6KuI571e5UcKdoNS
RcRvFS8qtvx9Z5tBmtpfluIDjFryYGICrW9dLX98HyyBzsSAOznQDNVclCSeXNTfSWp8S087NDS9
AneXb2LQt7y3xjN6R2vXxx5iksp+sgy40r7nPi1bklCm8a1FoTDHy7PMmx8r0YYLxMIzCv2PpRQn
p4RbsTLzu5pKznQrCad59ZVE57ryB0yx8bwBGc2CqCz8O9BxSuaiit27ScOx+Yla6smbPzXe1VSJ
7qc0ND2UUQJc3cnrwh82SON8tvCjbiy707eid8yNaiWJjmb1LUoWdXfMxGNiFs9J+1gQHE0MUsQQ
lUoAq8njYvO7Z2Fan2pNurczMF4UD1nLj1oaCjAQAU9g1UtDyiRxxFra3nWtqW50ItjhMHODppiC
tpHhNvyo1EOYfXxI2sIFR8232ChE4EmNSgxREkynF8Z+GtEUToZNGZIv5NaEe8Qpjv5Rlz2w35j8
mlOeaBDcYtOM4p57dgs/5501T/PAstBr8BfeGuaC2cjSFW9BaYcl6YNB3ZS/UzR2o7F0h7xpD/TO
3QlwqR6p48Ywh/0sHZCHPjqMWcwQOAmwQZea+xILUs8aoZs12qCKuGPFYNsulRcMZRvx1xoi98P0
ug+RaHW6YUhF5GrGxJRF00NSi4esA5wpLKAkdjmr689zZO15zMNWl2ZgY9rCezTzfhTyN4QcqoV6
ccPY0ewPLUHCKGp7O0ntCaRhUFQm95O58XOFMAbONdC08t6pb0USfdTY0yMfdUu1y5a3nigSH8m5
H5WMxD3+KE0kd+RqPnSFPR8iz4huWXvA1YWQsF+Oc5Vudb9FzlPWP1prFw4BoWh9IJOJovsVCx2p
jQoNR4M4Sz+cIeWQilnE+aWAA+i5vYXWIOfbZEixp/ngirk5OA5dTRZT8b6emjgsO3wi1mA8QfNu
ex/3d5Icqskl3aUVf+zFuvpmHd/l2fLpzJG4S4gWCdhR8HbYYJN8aTduw9WgN2X+KRqQI5jWQc90
QL6S2aFfpLaZMgQ6TMuoQ3KKBFtUF4E/+WFOQjYiWLbWsf+SKCB6W8tpa3T2ri/rgMJxKOTS8Pin
5ms2Eyv0+k5tCv1naNNTnyT3+HbtQz7XIJDTp6+wxadlERDRrd/Qeof4ZM9RMgZqRXH8fuOgZx43
MRFglmbsNX/6ZUjoO89cpmRjeYpNWfKsmLTdQO3kgU3ZjZctl2yUqIIWHcP8wjYRgcJNyV5fBW5L
Nj8C0fBrzbWDS9Y7dnrCWKra3BN0MlKS26FfykEJIF+Y+MYQNfdCHgsyDEv8msvyPOlxekfHWbYV
TjluCWv+MFJBJ810iQt0LuR2ffkxmcE2CWkogj2EE1gdy9ApgOPa2jnEqrtPe3YlCxFc0PTDsx7R
oi6XoHF/xY1RbRKUzVfh7sWivWNkBJealoMEM0/07tOT3l7J4Xkijd+bpzet9gc2gelj7ocroDny
mWJTp7EMCUPxr7EYUWnjHjmBv4RLuqqP8L6FSo64tauq+kI/QYgbGQ28ruNnuiCF8PzlQUCvh8Ig
e0Mafwyc/edI0sCMQOarmyZr48avYzxnVwsC8Fcq83LnZu5bhaV4U0/RvTs8a05sn3okysDwc3qK
Gpf4gkKqe29M2LATd4c9OA5nP66Oky/4LRLEWGuwjpXNVei68gbJxVf7XTiQ02DYH8IHNBTiAxID
QDkFpF8rX5U++IHZCWQA6V1qNPeG1p2B4/7EjaSYyB1YF337lGY8z8B4KZlH8GRg5V9NClWYNr4K
ND15iYUy9tJ1v2b4u52/Shv1VeQY29yo/V/lo6FQB+arHNKKGu2lWCWSfWVo27qBZyYtNN2265Pm
k+D1Cn6vrl2U9/eOrg2bJS3lnbvKMIk60+7iEmlmPSAsjjFI/olW4aZy5+pe/lVzEonV7X1fiffE
mJJy467CT6Prll25ikEb0xFHfxWIymWxfvuraLTgGmGkyFGmoChFMQcFsIpMhaj6t9hDeNpKzT5J
C9pcGiz03TpMT+tYTcu2CuNqnbX1dewm6bd4zJfIvHmalgLUe2FmVljJi9Y59Klqdn4KT7exkrr7
43u1H+g9mmobgPLTtbMJX0TnnGyiDW+qbM3zYs2fmh8p3Ie496eslM9+z0LDQcGxO8FkuvMYUoU0
Pujxkmxp3kPUOI0kHHQ4TI9yVgJcV66MOcTxVR+T5gwPCi3tSP2GRD05xbzVnOsthIBTpvKqIxcI
qqJAM/vpeFMQxT6X0xpJv8WvcCvNpL9Nmefk21a6MgUKbNuHcfK1U9eoZTOhXduT6QQIk7n2eLca
EjZaji7EX9L4pLH5+BhyAbXrLEI+H6UOzQZF6r6rKZ5uSS4/FQhsiEVi/D06prZhdqz3Kp5XlItm
sCwsAHYf3axZTqaI5GPaM9KpMXc+cmki9ORU7AoAsWUf48w4i4QYtqq+Q9yCuKPbWVHocof53edg
TEBIqvzCsxJosxsCDZ/FTB9jZRbHSg3qJaV9qeAjdrzxV1YWZ21mqXWL8YgMObv1femgeItR7cVE
5zfO3w8W6weKvsgsTFwI+qVOgMGXxDw1CgPt2OJ06LKQhbB+EHXdn5ti2dpF99hbCvDFMbZex3Nb
cEssSU9vTFZ8o98AOptE8TJHwyvlT31g5RY0+JKUcByYSKqKyMHaP9exUe0kvOJNo1SyLr0DWusX
mee9z2wlnyYs5PngPvjJeTR5CZdIqwLSSDddVel3ZI+infGbXelN91JSodReqSVnDh2jUKbM+Cmt
NqRaavWLoyEZBQuyzfmIaGrT6GLXFE26j7T0kf4xe4OdAgqR3b1Mo9dlUYgDGwWPO7vlSUw9sD9e
0YcpRiDimtGehIGt5ySvltvKixg5K0lrB0Puq/mdpeKdS/qcuQ24Ln25pvdHYmu+CTOHwqs7Hn3+
30+tglOcYOM2oBNstXPYuuoLins59f7zlMcXmO0dVH+39aduBG/SN1bqbJP+LwGOeGJBGpx3b5Nf
JUHKLFh0fshed29C8YZUX6FglLfIG09CYQR3COb58UcatyI/u0q1Xi7q1UikdrG8/Fo5JKb2Y4R6
Jb463YsF1QtfMVx1lV9mezlZC9muSw2+YFI97DtogX11miVbhqirsDL8U2HM3I+6AlL6KXo48ZGc
IrBrLP76cjYKjaD7sglGj8eoV7iw2zbJd3kJwwEucLIHZm/uLi2GbOUl3jZ0+6VdO3Ex8CW0qWDu
d42gqty7ruDb28uNGndA+Yof01e72MGWk6ew3u0soYP/7sv/X8MCWCdI52VJ/r8DA2eMkcO/WAT/
8w/9AxEw/m31YFhUPBBkhauP5f4/EQH8Ayb/mQhZAyvEv9gEV3eEpf+1DxIqjUfjn4jAahMUmEMt
nBhgfLbx34EEWP3/1Wot8JxjQ9Qd3bUdWF7f+S+YQJFFWbm4NGObumwfnfWw1egdOMoW5zWYUR7W
pPwTGryJ51pHh90Vr8JpvuO6+DXM1sns1ScTsr910J7iGGwUT/RggcBi/4IJsqCuGEoAbDnqze4z
TqdxNwtuBWOeISgggTQ53uKMrc+qotdRDCHW72pTdeWDZljpIfFmLRjZZuZVaKPHxs3sp/tSn9Ng
GFZFm2ZcvTY1n9rxVHvGCdwwPuGbf5lS9WP+vZUwc9xV5ryw8Q1RGPWd2JBGSt8KmsKNm0S/DX88
gLDeVUjuJpG/44LhjSrjM/YCK1RlfzQa5DSDn18ifJUBCWWPpk4qdJUVfSj6iejxpbhjPzaPkVac
hagv6LTPArDomqbOQ8+wRPyWh5QAhx4J8fVO5tkt0+ZiC4cabbHg3peapZH5PCFLnA/ZoDlruke1
97Ny6+XdXtTCQCRBJXITs7Ka7quiNmtp/aBl89tk+MZo8CIX3LKe4pg2QcLYfXKBdH/eyr45sHwz
fbXHdOLeb6yjp8eXQbe2XtpfRq61SaKeLYEkywwSOGueixxGicDTF79bW4sj63UWfh0AB5BL6Rp7
VJUv5mQSDh1pB7WY1XW2bUqvUDfhUIMMsvhhRvi6FgxXLPtmnVLyKjGPiWyYmLrlWCXRUwlYUpWU
Hdn5YgVYBMOqs1hw7Hab4bgRpShpfy5QY+VHjT0fifFBOpQAF94uzQnGxF8ZxnaOGDDvzo2Mz2MT
4f7ILH+jsWMz4NXvhsF+kVdKkdNMnSIgLxPxDwXxHQq5aLuQ9LpBUc1qlIp9lPVfgw04tk5jRjdz
VZgiaAjRsiXajBophm7SCiGW5JDJIQt05jeafH5hltmjael2c19dELi9al1+X7r9jXkyzLvhGbX1
JrKLEMMiWAJjlKnUtsuMfdpkmNzRfIaj7f2WpLJMXm7v3MqEpKDcJGB7TzdZvyZ164fIUI/TYB51
y71Y9XREbI4Ma2ZTyXt0RI1tZTuen9eoEncMf2w9vftokPC0ycf6QsBRvK1aecgnqwmoTtjSdBQH
6d8JtvdDyhfYBc1y29jxU1PlOxI6t2KO3kbUHXwU6rdMMaIuyZdtaq9zVcmTFdvhPNhfixCfbafO
sQmdruOGRG/+bK6Yde+mT6CEx0kYFwvo3ULpkM/yYP6FtufVX5PuM9e4tVWzF/n04GsImDzSjeti
eklk9hBLc5vW1pM044cGiJwhEVtlS90B2LnvVs9mZhmUKRs7r5j3rr5kgV34b1YNc4LjyO6iz2VF
3BdLPhAgEjaRuqqmOSxZbSMj8eFW9IORDas+Hlq0qb+FKo6Z920SRrHRu/ppNBh+I9ShjIJx2LY9
+acVh8QqnXZW0L8Y2wqe1P7yBBVswhb00UyvRBufo7gOcUezIrQ8U2ZlPvMveZD3Yjt3fTAu5geP
aMR6bd6Vwi63mcS/S33dRWraiW2EdBCzuMnMqI5u6+zcun+WUBJIXG6DAQPcTt0+r1F2KF2VYUTU
9X70mR2XJnnxtJFZOA1k7r9xw4eeWV8HfKDEJKaH8jzmoe+++tVL4r0wES7BDOtEwQac2Wg9DKni
8F+YEtjDy8l8zdt2r0jx7Lz5q2aKVjY6V5/U011KC/SB/BEofwSVKsYINKV3eja1PPQVw2zqni1X
XEtwtxpVJel/skYoTpCGZ744oroXDi8bTDVvCZp89HrKRbtjHZ2+/0iF82gXCwgKljPLvScy961f
aZ/IAiSK4tbflGgqweXuktnKiJMavrvaavZWXFobolEe+mn4Va7k0dixWbet99KO1YPfIMWeI1hd
1yk/R/THG7tsH2qp78oFtMd0OHLFPLyNPf/W2TG0aVWnDJU+iwsZvWQxnEa9uucomAiRGd/clb8a
puS1s6vfbuxe/Ep+zbZ5H5fFO8f5sY30I6Xzy6boV867f9Xb/mD2nR5EfUvgWsXbDPvDDG0Sdg8f
y93BFOoiwJLWUEMqTyd2st+aq2G4SdjgFwLvm0JdZ9P7KqgtD8GhAHJa67VySxEmbqG2UdbcptHm
ZkKoZcT+n5Hup91slj2nvNEzUKfxNhPucKll/Gsa9XcvK05U1+zJQEF6JCHoY1984UM/131zSy0d
53OlNRDeKI19TgaCoqq3ysjkzo3T+9SaX0td+xkMepr8UR3t2XhUM5XnrSsOkS8eRpFfbax3ZSE/
gXsfzQWVqof6i1QDXFw4CFQ3nTHJpBsvp/RyxPKsrYxkOeHkEOC9Pb73EVRjk1nmt8jMe36dLxxc
LU0fzSG3GLWHyEMh0fSPYmyGNeVn4XXnyJhd1HT99DPFxpOKsjpQ2iq2a+64OnIKWP8KRvVtC2lX
KmJPpVnvUm1+KFpgorHz5M6u83tiq05l4z2kdU4bz9IbiKzA/xYbtjYd49/d2ts5+NrNsvOvzvRO
2JFI6KuW7MpEk3PYUKYEKA2P6WSBWjqU3eO8rZM23TQpKahN+W6QRMrlXhyGoSKIwM+bLTEBW88Y
kLUwdqn+YhYFnEb3R/OtQ70Q2ZVgIyvraau13nkg2vpYNiXv1qjvbXsYQiumzrY3e+OaNh8urDLp
wEEKyzznw1E5+l2u/H2iRkmt0ELPjLFwPHS7sZx3xUpNI9I6OjHAIlH0v1LX+z0bpQpE3Hub3tFv
s8j2PjKsOuL35BoZX7rGBzdm/Eryz860k7M1T2f4poQwr+HRQqS8oXV9bzWeyXPf8ThX1gULqB3Y
WmNt/B7KfKrLYV/9pdFL5xMTbUEOz3gtqkXfDi7AQW51+xJPQWAPKNDoQXhxvPI4y+oLAakRtH56
xcxvBEY5qqBV6cG1qnFnqDVmzsmftVS/mChl9xxkPXmRNkrQCWY/rlFqocYBP0HutGttyCSvgDFX
jn2RJRES85oymxmneWijIInit3GVCyyztPbomE0AHxwKJR7hXeKwy0GCI6VI0OEREs7f2ws6oItK
mJ9Gg+QVzR3t5LO645w7D9Zw4SSfORLTq/CqTwF5y4Zu45VbNQzpzLxFx02vY1jSlGLxzVOaQbMJ
+1CHsXe27G3heC/KnB/dPv0Yl/lqlil5Htmn6IXatAJrJqKAYWsmsHOO6ixwxxRAXDaMAhH+B71a
EwZi8dNYvbvlXERqmM+3kRsXScSq0UQsHOmbbhhvmmkRECGtBzWt8hoAh7FdzYiApN6kqFXRtKdy
nNCBqnNpWieAfvCh3vpuhG2cxTQ+LY330tnettW8P+Ni+4G7yj6KZod5a5e4DRZQAtuQGVi8WprY
oqSD/vBqbLtVPgVDjW2t02sOnXn8mBXplbaINok/XuZWjzYcpu1GNfQwufNqGYkex5lcCdmjkPLb
7DOfqPIwgOfJpBtDQn/uiHAk3QRjR2AlK8YYV4dcR3yZy/6Bp48dPDK/laxfoqg6ZvR3ZtSUN8DC
gY3mhYRl8pIL+VwRN0HKo3XuzPldE8gNNQszCQDGsxm1F6wVz/hsbl5OQVnVn3mG6U3Wx2eKAv6q
M3536OCUjgI61qaTlRWHmZ44O7GOMTr2zUA8EuSus6b3SRyC/f1QYLFCsPqD9upaVgzDS1Mg28z8
W+yoElnTgAy0zgNz1fbMyNYIJHFCDUg5yPPo4GhAIo1/VF38J7KSfu8Ia1twq2QaSHzUYdmX5fiW
e3G2L5Ay9Vq+dVr/qNmVd9E9Mt5LlfenPHHvEJ8XWz69DWfRLs6zKzA+7IqPAj1ZJS+cOjqGDL0o
1YG6JaKmNX3V+/nop/XEWW1eY+DXaX+Ye/i9hmP1NCdKJ8gVc7iF0nZxppdI2vg3QaVk6n8OPYNr
VygGXJ9yUeGcmh6GqSo6bZei2WZMwUzqpJCQyudR7RQiVhD7nWdjuNPH+b0rGiwmunOf2Iii5i6D
xjLZQoGOLFXiUUxfPVmd08iztlFtCWCX/NNqeBttzP6BWMmk1h9X8osxcHA2rVW1u0yDt9QyVFuy
Le6HhW5OQv9I2xhl+tAm2W/DTJaz3dOA41hxMEiOxMnS9nYdt3v8yKiPXNZREet3VlLeJ4nzqZzW
QpGWIQy0Ucu39U5D8Fav33F0HoSgK2fx7lD6MW8pvghWgVaTW92r301UPyx+MfR6AiqWOX7F9Dz/
cknjL8v0hdf1i0i4G2w1+0Vbmkzl7bffoPDRluTJrb5mGuxci0D71ip3NrM1Gyw+r3nKx63SinKX
54vxKzFq+kWSJtm6hjnzIGI5ndE2XUit/zSShhnO4E+VqauDuyR0v8G1IMxYoEW80M0LPXRnjQXC
B57PjKC007BxL5D871mCjJxZocDJVxn4uNPqecG/yhoCjNsKrD8CJjYO8Dp9exSh0NIc4RWIrGNk
q/tmyDmbGyRsUHDJkD+61s2vMhlgFtA3pkDxNHfHpplPuG5Prg6cjXUVqyCqcqDUs69DxRlm+17F
CagJXQGYQVEhuZqZcqPbD0on1UxGR7OxdxVL7lJaR7fCPGR78m0aCDOI5PIqhcsUg4WC05se2Lu6
s9pdJCzsgE5Q+2LvVyUgKF2LeYRIUaV3S12f006/6o5FkSUCZ7d6wSn1XDbOEx7aV2M0Dl2SqI1j
dAhAbRxd8zMwAo5+v7sXKE2ZTEymIJPk1cL8iGpFxGO3tCy7/XuW3cGpvrSlQ/JL0uW4CubvdoEi
6VhNbSawaFzXeGDsvOmxSTiJQb2hawYO/SxFi1lCt6oTHmj8ZQTbbGLe442FfVpRX6ZFX5b5NnIg
Dot8IGQ92Q9x8X6mWvEKpX4dBtRhEyoFfYhuSTsUR8eLThXfpy1nKyAe46cT8tLoHgQxjrSVlNAd
IOUek5tAK+Gm70uJ0/feaT4p7w4mlVehoKRHNcwk8LpB3yFARMN1LBX6AvIVnah+nPoeXW5KeBWd
O0+zJbSzjscyVHRg7eQwMOsL/W4W9nOde0C9wK4l/8NmRvRxyJd1pNwWVv3tEMkIurrc4UsgsgOI
v2+bg+4adw2uLiMaDm7bPSMcICJ8/nQy51NIIY759CcrpmMGklBW+k02/XLn0M6MOvvb4Cd6sxFy
67r3Xsml/nfuzmzJbetc27eybwApYAELwykJks0eJLU12PIJSrFkzPOM8//K/hvbz2qnkiYaIUs+
3KmKXRXHWsQav+Ed7vou/V4GfIU7zMO7GXWiHS6xe2FHow8Y1AVykYhD5ukRKx4YRydFIoIOL2kW
+AeESfdj2WsngzofGur89pKD4hWx+LOJRkxnOoWaEV1wEjAynwbpaveydZIHuzORGTEoA4wiTX0r
0JZ928uPP181/r8pP4f2IQpt4MSo/MIwMq3rdeb///+yb8X3/zm36m/ta82fzT/o37VnVFPx70VK
0sNcyfw3Gs3w/mEaJtKCmIHgkAP87d9oNFtXEnUuqv22ZaDsrnyo/lV7lt4/XArGiNzrWNoq3eSf
qT1fCk8i7onnrKXGB/vm4Ly10ji0mrQ2MJgg9S8nb9f1/UjlwL6vk2agWGBPN4R2t4ajzs1MQyk2
pKMEiV4p4HZ2bbnSixY/Id06VCUv6qA4pFjUBhTghPNXw+PC9Pq19a+qm7/S33v5POR3cEChwq+Q
fZfjoVcsvVryZDkafxlHo3tCFKX/oGc0q+a2zYDslHN39hBXOHqkvXev+hAf/hrp9fjqz1+P70nJ
5/ILMF1a6WymOWbIbgUB1Y4q+1zrtbYvEpmdro+y6h6orxQ6GH4kzHUgf29GaQBkCMjTvqjGghZ4
Wx57hCr3uR7Ph+tDbUwocZbLliHEZEuvFKOaqk1cs5qhcVmAWzpPWw65rD1ikTK7M2JeHom866Eb
tUXh58sbX/oib7uaUEGfRnn9IZsl5WpCLRcho1pSqqqhsCPYAjKZ3rRrmpRcOWzgmtEYqAH1czvX
VfKUWxHChaxxj0ShVkcfJ3uELJWmVvp5Gcso2YcDNEs/77XwAzoB8/c46J0/9Ars4Y29aGwtE6A0
IejxSEeuVUwTjw5zDiKarKTyDnaU42Xcd+HBS1ztQz7p7m7StaegCAxkIZJmZyP6dmZzF3dtqUH8
9KKYTiwleA1u6vn6unKfrDeqQNnZMWyK1cQp6p+/OphT7HZFhVWDrxnkBmONLHMIMoqizbDHFw4V
uxhublOL6YYU7caNwMDSQHARwTNjrT1foscHY8Fc/ADW9dHpoNHXEKf9Ypi+60P711P2X++DN0vA
tyHJhRAbUs8WnKLLzwysBZm9bLL8CZGoYyEa7wOZXr6r6qraX5/RN0dfDYV9DpvUdoW9dl6CHtzW
RgtQUrbUejMtCe8qTw8/Xx9F3c8X54FRsIyjc6jjIMcrdvlBC6YNdhOhnDV1XbCbja4+JBZpASxC
sEPNsl8Wpz9cH/PNkqkxsfTD7ULqDk7fl2NiV9AmQ5NIfyiD8cNYZPXTYEFF8lJsRpBOaD9dH28l
xMsjpQaU3G/YSeGGa9GIfb0587SfrNpmwDhPMQaiFwIKLIx9w3Jjv5vTr+0QTg+9XXcfc04VKvut
ia56kd64zbd/CLvHASqO2czabYXUN4fKrrGmmAfcUaeon+B8mggZIP+U05yka6vRxG/xyyENrs8N
Ku4Iu/KqXp+St8tOUxzZQCoOrgShtZoRu6qqCNKI9KsamAjC8sGptKA9WxCgwTxVOzCa4a27980d
YTPoi22HMNE0lGpfvLoj7MKkxUMj2xcanZYU//UpAxwK7XmGnJmg6DJaxSlUJGzPhfiTAypJpeUd
zWhBfCJIChzYat0HLPjOrOvmgZqC6aPg293YMBuzw1GwMcWB1ISlxmqD9rVV2FAXdb/vs19sGxp4
iK/7L1llfy27mIJunbnRjTHfPIywCjA5lIo6ILDMMi8nx7LjMHB1Q0fIs64fAMxppEEoo5Rcq5/0
aPqj1NgoHt5SyFSV+Y3LZiVhr44Iw6urhj1h2rh3Xg5vizKaMbthcvXWYZph9Mu8snZTbll+m5n9
Mc404xC7qYf6AQL+XWKVp1lHToX0Qx7k1AqQ55CumpGXPC2r/mAj07ijjn/L9XlzqhzIHlyOaIWp
gPj1PprnsqLWs+g+vQKaRaPWkEFTnIXbq4S043Mduvu8zX4QK6YP1w/Oxh72LI9twYMjwXCs7ksn
9mJjbFmmrmv7dxDmoz2hYHNfQSfahUZIl5WX8NMkK9O/PrL6ky9valbo1cir09PSPxJdDc2vB5R2
cE3is74YkoNG2nl9pK3tzysHjsQi7jSt1fzWJdKx9dLrPHJld6ibinhictxDaBjRCf8LUK5isW7s
wK1FfTXoOjBD7cnrCodB8UXPT4ZVOXdFUPyx6NYHm4IyfSNqoUD5HYjU1c/GEGx+Qhad/IolfePk
2fdOi/wB571Ea9CvuVoecXorzmmB5mGhx/LGJtpaSgnqxyZsYeD1M0BXxM5qVMp9Ky8cBKOD9BSk
9j+xefVuxYwqnl7vGpBH5I+6LkAGruJtDXZy2fD8IwKV40qRYokAG5X2UEs/0JuBJtbQSkEpDIU/
aahqJR697EIHAHl9UxnW1i+BTmXrLk8++rOXp1ZaGMIBGtFhw8PzRUVI7qG+gqQv0uzglJX7XuuH
ag9KxzosBeV9etHAVeY2eo+NvX6kfjHdl6TK5xs/TL116ymybcMRFrcuj/Pq5o3m3ooTkFr+IOmA
R+BaGrd6Bmckdk2wAOfA2w9xjRjsqAyC/dxAVvIarsDCMMcbodHW0bMxA1fBAdH0+uh1S6LXVjOi
G4UvObSACoFMu4rvkllznnmp6MF49Oeuz8DbeAz6238GXR89M2saBMd7ww9Fhg6dk8THYAnJHyRk
EqOyk8/Xx9s66tz9Nka0Op5hQh2P13FAP0QI1Bg4dCQ2KQya43d2Pj9pHQI3Us/iQyHBc/dNrwHL
725a3m19rkMGCBNPpaLrz3XjhRwIB1I/LAv7LEhHHw1ds4/WCI5Sg+F7kLTeEfkmKYRY0MCKCKZ3
/N8wEENH16/MqjoOVWaf7daq6LnjvXZ9grZ+oQtwwyMcIPn3Vle9cGy7zVK0SrEKlz8GL9P3mZN1
+xqg3HFuXPvGrnv7qIFyk0RnKhhXRpaXCzKSFsyp7RhwtyOwKzRwgBIX0zmA5wMux3gClrPPWiP8
cv07314JjKvCAwkUEneOVTaFBK1N9ZN0Vc4i/gWBpHI/4Kpxuj7K2+3GKGA3LRPmJBfQKpoTtVYh
oSMNdLik88GFoIE1eZ/uo8zqzkEKXxCgfA5qOvjuTq57465/u5ZqdAJ+ojuTCp6ag1ebvR+SfCx1
5tbDA4jQVWJmS5/tcwZ2D2XQ5JZH99ZamsBBPVIsplYxVF+Ph+h+g3YJXEqPNjxvWeTtJFprhNp5
QsIDiyuQCgc1wmS8Ps9bq0kRUqUV1HVsc3WszUA0eRIxsl5Y41NI/Oa3KVrV10dRf8rlbc2hNXTS
Rw6ISl0uv6+nk+bSVOX7SBYOhixBXiFkRfsXpbW/M5QjUJpWkcE6JEf9PkYclg+KqmT2jRw2zrTo
nd+XP1/X5ImmYCupXxBYijV+tw1RSsAbFY0CHDCOY5b+MxqCkMZ2Ry1shrX0N74MVXGcSsAfv4n2
FztYOvzRwDMkSGS0Ncmo8OBACjRobgy1kfMKnZFsEimqVt46AhFaVfNkobTSjnrvD27l7vFryY9a
p3y80gnMsZNAe7GKAHE5AUU/n0CnNo38W79EbRzbcREdXV83qBSnjSkH4U9Fnx7HoBwOETAifzJc
KIpjDu8DfjfirWWFRUI47OxqFvsu0vT8Rlj29pmnYG5QT8QUivxUrC6+UrPR7YBg7Y+5O9yViKEC
99tlif6U5E56l2dBd+OK3zqcdA9cQgvqLsQ6l8dmqVHUIZM0/LZpujvHHKBq9nV6vL6vtr6Lxjn+
iJKqOU51l6O4c0ozKWCUfo7js6lPwYFvQVuqL56l4i1hZXHLeHTrwiOItimWMSCTejlmbBtgkQNL
PSI4SmmlVt0LxIRPpWk1z7Qnhh2tAv1k1whNXP/araudwEm9LDrJ6EtO/epqryOzt2SVCD+pABOU
wL0P+WgUwFTL6DCExa2jtHX1KQaCAeMAL/Z13WzsJozmNGbXxPjlYOY9vWtZREfD4XRd/7SXEsfq
miVjIBoA2q4qEqv9Yga6ABSJ83rbatNT1dXAOjTYnBi/+3kdNZjtVCDIirOXGR4ION17RHvjs+5W
2hG5pRIQyug+2+GI8jjP3y4yUOBY0Akwlym5Gwk0T3pW2v5gxp/1IISgS9f5swCJ8BBXCJnILhS7
QncxgoScjeazR7egpVqkoft9jpPIOediaR7k6AJ0dcD4habR39jOLzP6ZhZMgQGTq1s0zczLvZXG
uV6FkSA1gET1mHtzj4IYGuxxbtfnCUCs7y1td8QtxToG4FeP6IwhdpOkAI5b9FSTGgMedOmb/dAM
6E+iHX2IgLDd+J0bGwNfxf/8zNVigSYU6TJxBCIcon27Eu0z5ZiSocLlxj2ysecZCl0xkzmh+qL+
+as9j2Zzk1YVydLIPr2HxfQJ5570S0f7jMt0wYn8+kbcHM/Fn9YgN7OIEi/Hc5wQTLwK3rx+CJ7p
0Hd3beDJY9NjlWDVY3rj+zan0nVssnKCGLqal+NpYeF6na2pe9IIn5I5Ax1DVRkBZuT/rn+aq/6s
9e7i3uIKUZwdqOOrsaxk1HAr1P28ybsvSxRAn4sWExtJCWQMhcgo/pBOjvPB6/RfxnQafEis8Z0Z
aN67OKur3yoDtnQtfiR9azw1kwePMm8t0AARcobsyC5qzfuqmjxUcMqI0ljVQQrXG1+bvG7cj44x
IZiUT/RpgqAaJaJawYAGhFYsSFzWlfMFqqzglY4CeY/GL4oHhpZj4yeWdvwweXFz72UFYvVgjPqP
tUO5ZEfJ1HkXEo8riEwWvc8ykek7ZPDtbzIzJ8y9pGkM/ijLrD4ZSO1hdOug+wAb3gB0KjGnArro
pN1XL8hSONllT3MCwuaptmLvV0tQX/Odwp5/y0UOyJ/bqzlWsi/F3tU68WtOopMheSmx3YC93Jrw
ApPu9xEg/kd9lsYRDhL/WmtkFiJHTvXVm2PQzD2R3W5cggN1IFCohTHNxb6zTajCOaCZ76Hs42xH
nT7QEZG2uAha8o0TFB7wm9f3xcYjSvLP5Yu3D32CF/2XV0dsIWJw+rqlxEgnBik++7c66+OD2dcg
/eF4oagHSvX6mFvbnrCAU4aTD+HaKkeSSaHBQGZMvSBDMHFj35ltNGMvENU3tv3mUCYVDsCW7P51
FwDDrsAVQ0exrecGKSq9PUFMK39bFhbn+ldt3t+EBCChaHHopAuXJ0ygEgPeeEAIxUsd3/Q6+aDn
ERqnofeIS1YPbRtKFNij+ujNoXFozNnbAxqU98DRin1o4yteCFIooOTyOC7Ifgei907Xf+bWgiMB
bCmMASWJNahhcdtJQAXQ/SDMS4DbqAVS+kbKuuuQ2AzS8XFInFvB8Mblo0AjmCc4xBRU5S6nZuwt
7I+QxsWeAzkreOBFf2xSpQ+RZwlK/JWZpKCusbOBRjGFn/FYnr7Mcx58HGtgpYpPlX2x6bDeiqqE
eHstCoMiBBEdsBqyhstflsOlqisjQM9uiXuwfgOIr102G2Pm28CCf01J3hEAFyZgCAixybvINAHK
U9qLfyvAHyKLWeSPYWzDPIHYrL9DuAsRWcdpv0aW9J5hPMVIuRGb/LPWWufzVMXW996cG/vGHG+8
XTRysMUSksqDaaw+BJxb1Rb5RJ0LYfejE8+/t1Vv7ScXmVavleLnt5EQtI/QixPkKeuqMi8P2n35
woq2OkhxZ6rB8evongaR/QFPBOXqwZG+vnc3TjOWYg7pFPeVTaB0uVjN4g413kyILtdxSI22bFE6
90AaAyW/MZSxtTGIREEYqKjbWleQQb/iGhnzgeBgEBOcwRwGWM3unBG4o6mJAFdphKe8cSGTy90H
qC/FUavnBPllzBavf/hGVekldyN9A8YMCuvyw5MWFftAZsRchVdzv8DgQRx4ua/iAtMMfSxgawA9
BcEHvFUmt2q2b8EgNntLd3RmAviD9SYZcBIpuogiqgkJ53tu9PHHxVokknRjCqVTms9p51LOTmF3
uriCfKyWijZVp/SPI3vcoXA6gZm2SVxafb5x8W7tfJd0U2FswDCst+IyoamNPCGmD3ltYNmRPFnN
dELCP7rPwmS+8XgZaq5XgRQLgB0ebQ542GsQGgRWShwz1ZOpDSqfHpkAyYqhRKznyDPF5uiLogTs
Y3VfGg0QZGsNN7obKlR78wtUfwWghq7TV7zcDULCK4YigNePOtzo0AokDQZx99N7ziTO5zFDIhQk
w+o5sx1cMdpsFMjs2MYzrvY4CoTQyrKhm45gvAofgc/mXCDXee5r7sufH94wabgTgcDkW2O3aAxF
2QBDBhlsSm/BMi1+oZeUboI8PeL7LH2KDIhiwZCoIkf7cH30rR1v8vHkYSbNOuKUyznGF8rR455y
XAw4eZfVmf3Qo4mD+ryRH7vBne9UUZ6a4+Qe3AwxYepKiB0HJJLJaEeI12TAY2P5i1uN1Y2p2XjC
SRgEHRjq2CBpVusfe8MCqt8U/uzAR4kWYXxoiErOqB+xF02YCfOy3KoHbA1KEwPAIzufsH41KNIt
QJ9srFVCpNObJn1n9sVyjPGyu8v6xXmY/+Uj/V/RTy/57nqbE906mEiaHLX1Nk8sT1m5MaI3mhBt
AdcfBTB6yliIgEROZKpuIkZ00BlOC0IYiqEyfUq95lum0OOaRNb8+q7YuGlMZP6JEogUnDfl4Az/
1b5EQQXcc4wLlGP3J22oPrdVgylOjr739eHUlK4ngGYxLx1ZMNGyehVexeZpSHnLxNnNjw28EZJK
khH1hJC217s3Hpit1bUBuupEhFQs1xCdCn35rKvRLYDrme71GQNAzFAwsC2196meoZycoQxw/fM2
b1IwwRR+PIYllrj8PskZz0IvM3061N0Duo50ZKIu2Y+TgWj0AImjHFEPSxqNMjgqtecKrsKNx2Pz
w6Xuoq5p0x5cQwmTom4R8uU3LNVYH7tFLv6Up85ON3JoGkqZcvG+Xv/uzSEBQynoCxwYd9U0SYy4
nBB752Jdou5dQahJ1NQAXsEHygc3M2NfOsI9uj7q5o3GbabAqIZLGXh1gMvGipvUCNi8qRmc6ww+
KJw1+6EO5uXk1tA60qF0DygWYp0cQC88LmD1cLUosP+bUevQ8S44jNCvoYuxQNd/3tbRIrhgBQg0
CGBXv67LFjJCuEQ+dN/0YDfmH7GLw5QnY+0B8SvvxhO6ARAgoII37qpSCN3h1f1uSqcFXomVEYvg
In1P4cFOjPSIGnB1CszqB45O032KIOf7Ki3bM96g3r4a3AI1Yznihh3uiEXH8/VZ2DrxHD8c2Gk4
kXmrrfPqxMtq7AvSb8tfgEUiFQZArc1mv3PM4sZ8b23Cl2aAQmLi0bsaKfRa7BtBA/q1FjqPjoUP
4hAuyvJtopEHl/cBu4lbqKKtQcEKWawx6C9rHVIkoKDj0OosH6rfeMDL7oT/dnr0DEMA1Cg/AYL6
9PMTCrIOzRRKiDolgMsJnYwhS4omAdgQOtl+rC0cvdsaQYo2Xm7c1huoNrDBtAslFFKSInMVpMdm
FErE4TBASHXzdztEJ0Hq3kOfhHjtVj33Wu7Fh4jc9oS4hdhPVKfxxp31oyv7jl2OoCuY++pcEUbj
i45PejFQ/J7L6MbNu5FO8EtpmzgeUDx6gZezkoRtmKZth6iDNjv03MNvRW8091HT1FDc0vS+l8uw
M8oIuVRBrev6mmz0UOhi0Jx2uPwt6LmXoyOEWfRhifhH6M64vHYl8ItWHyBRtdWJ8iXUtBwNUnea
/8bp8oBZsgUh0iCsdDlwNFJWk0HGwBFSao3uhhCHkbkgTen+zlCo6CGojOkX1enLoSwMVqKgZqe3
AWL3rj6g2haJ+eDWyGxdn86XZ3IdJlCvZOdRU6Oza16OFbkZhIqJwmWJ0eU7A1Yd+Pd2OXjY2kRu
UT9hZprc11P9Bx07QdAkURRB3v2ULQLkYo/LjqafvLaF0VuYZC4BVlJZoyM66+ogkLLxIeS1OIV2
rsM/D0Y0XmvrxldsXQ0oTZPdQjgg514dnrnRsiVEQ1L186djhATPwSys+r526mbfh+1AVIDmz/Wp
24pAgMG6FBWoRXJDrK4HU5v7tGhHpg5zz4eUm2uXBwBSJqeM/abTZ9/MrC99jllxWWIOMZSo2l3/
DRtXPpeTAgKCAqZPu96UtNOC1GGnVBoSFQYI6feV63yNJ8j210faao6/HmrdCMajZ+gRZLF8uBpI
ZBu4uTmYX+wGOUKkar3lA95A2uNiyA5IWDreFbkXoNCHUeuNX7KRQ1vAjbiS6fmBllnNO9Vsb0oC
YeG4NoAzxpaGqvr0Z1qM7tFOy+6EPFa/1/OZioOtafsJu/obJ3SrwENBku1Gmxo40rq5VOZzpMWp
YflROSIp3DlwR4xSg5zYSb8gBNjJYUBgjFjtMFLYPWemCccV5bb9DD3kxuJsbQOAJqrvBBGA1+ry
ENfxhFIEYHQEz/Arc4WWnpMIZ8mxMW/1zS3+qNV98ULTU601QWt3teOKMZvp0LDjEmV7oQNdOIgW
zY7ra7z5QXTu/jWKtTrQbejMxSgay0c8gWtDRly2csBVqNZuLqW64d58kdLEU8AWUEirsRyMJVvk
XpCTKmasAikB7UH1pLsWAPy5HVJuLAypznqIMpqLhAii1dSX4x5sJRZFEdYaCCpc//zNw0bpBJIb
rW1XER8vQrloatp6Uo+NTY8IaBS4vcisqBiIpj4KPKH/iIPZQqazWJ7GsiqVd0t0SsZO3LhZ1Vl6
Mzk2RBQ6h1SL1hgtzN09o6l1yy9KG93LeOz81AutM3bSBTIAgO2vf/n2eAxIpYC25hqDJmeAOU2p
zlVSweHO6+TJ7DFkjHjaeT5SeSuUF1sfSJVAEsyrKuBq9StTBrKe4C5V+gcL+++dLKbfQ23EPhHG
Mo2NfEHdQKbuIcaD92lsIu8YT236JWrG6P3f+Hh4P+B+VL9jvepo7yDLX7acraXHtyXA0rPN6tqv
W6c8ysjpsxv7bOuYUQq0haFYW4Sdl9tMm4eyQm/S9HUsOu7zrBixVUOWwonrW6/lSwC73kkCXBXi
j8DUrHXiipB+OGo4TiOct8iDDr+I3i+eJFEmm91QhK1vl1Sm0YL3fORZxD7rc0N5/WnHBv8cWP9j
eBApXqeyq6ozGnD5o2vBdXQRgD9iKKT5dN9RZ8Fe826M5Ixs/Yjeg5WVp1rm0b6YTPcYaU79PoM1
eYziQgBKcW7V1zYCVEQ2FdFa9UXJPi7ndLEQvevRfkeqP499xNE9X0SRfUIKDRfHrKO4jCHwuemX
7saluXV2iIlhnbq0HkBPXY4MQclzGwthod5V5vUVAo+hrSnNpSQgS9D1G9t160stQKq6ST/QdNYR
sVnpi4wAFkP86VHbGRrcgrXoERRMd26tMX3XNyheI7vZvPv5c/Jq4JfA7FWii8ywEwsLze+odea9
iCck20rEnyWoMaTWTfvu+nhq4tZbV5XR+K9Dw3md7kYyoTmmg7QABJz+6crCvUfuhsh8mVH+Qub6
KWc37ePaCY9j4t1qM27lhqwmKa9EIBbRmNVroDWNlqdE8P6S9N5OD8r4a0A4fF9m3nSO8IDad63o
7vIJ+83R6sQd/nn1twAl7l2bYzOmy6FXusUOmh5oLzq2wMCRl+xuiNPixly9tArXk6W4taQvlP75
xZe7MMEcuLdm/FYXSyR39lB8N6ea3MWR7alWKPTKccddMCP5iRSaOLodHQgo1fpjK+xmN6Lj9TTW
lflODxFTHoh9P15fzc3HlVCZmeTe54eqW/HV9jFarTYQWhR+UWO9iWZsZh3KXHyPEUU/jk21oEBb
u79mYWofTY1isO3Y2Xs9iJobj+vW9UtvBCqwQ+QBjufyh+SRbGY8KGkGTa31OSBzh05CSQmRFv3z
9Y/e2sKvh1Jh3atvlmlndJOEeWYZJO3oo6X7XEuts7sE4b3d2/apH6yvS6frx3imhnnjodkC6amM
nZgGsgiWQKvx4yHRPRmVgLHSUPijmJEXx/rbbyxZnnsoK7+Ermgf0WQrCHeS+RTqRXSu3CXdT0Ug
fyGs/56L5CP717oHnymhREzWgzVGzSM9IMTsMxt0fGIHqPSY2K+OafcY9YvxFSFc11/0ATm7Uglr
y7Q8Td4ASEeExWNAZ/SIOoJ7RMPafJS0oe9lL+pjn4n+IAwUoK4vxBZmgOVzKeByYhFqWO0+psEq
jB5oJE9W/xxFkHsh6jlgjsNgjxyB+ThUvXMv8rl+wjGtOiJgND4scWfv8c1Z3pcOXrL0l3D0rB3H
75Fr+VKPtngf9lVxMu2kMJB1nX8sqS0OcnBudVa2Ni18D0NFKbznaxArlaHREDlSnl3AT5/zCJdK
3U5P9DyaGw/MRlpPSs+1q4ogFljS1aa14sHtB9poc55iGAfaBXQLdttVleAvDQ7En+HnPl1foM3v
43IwqMc5qGKrgPHVSUGbIId7QJtGOll/NAeZfxlH55sBOuxvZG1ALtSaWhZo89VIRu6Q3GiM1DQo
Veq2dR94g/iQOuatyGDrm1R0SyuUJg0YmstvgnxRw8vlTh67rDqLvECQajCCg3BG7cb+3hzKxjsM
XAzVkXXNdKkpnoGbY82sErSdXWdHpyUQiiO3vhG7b2wPYlearHAeJIHPKt7JZ0nNEQNqv2nD7owp
VojNNrbegF/hWmM5up+1m72uje+TcGkpunD4FZrhcio9qw3dovKEb4+ud6hCKwOFJSecPr1bhdaX
psrqKSXH5M5kGyoc9eoDW1RFvGCmrTF4TXGabTCUMbiRg47xxJMWm81hgv99zJY5f5f1mtgnUVHv
IlcJFLioWsNKaU/4KlCX9UIgjAiE+Lza8oivkPsIStB9bkA1A4c2yx+V6MKHBauTE52c8BS31e/X
D9ZWZAAghmYZTVCaBmu0lIHD019QC1hG5V0MqWFXaW342GTopw9BRaCMZ8nOaRG8xD8TReVJTx8t
pBb3QQVDSB+TzscTx3xqhwJVVs8uv1z/iRuLC6SQ4rIJoAvZntWDjDhxMuolm7cvI+0+itACs6D7
36URIn7Xh1IP3mptL4ZaPYjU0gxF5AW1jqvawXKU5UqE5e71UTaefXrAtJ2VfIXatpe7NRvxtOko
YwF8QKgrdNLh1NY9Fmawzw4x5hj4eRXJL15hVmcwuPmNE7o1n9RjaVdSsefNW82n3s/0p2eUD6am
iZnUOEHct/tDG5v2dP1DN0ciQkcpihYYqezlhxqdCZJEwXiiMiw/oos4npo+opZtmuNfK/d/21mC
mf/vphKn5sePQgl9vdb5UmDev2S9KG/9Q0kuCWpjniTdUy/VX54SmiP+oRBlHGYqKAKxH5LSf9lM
uuY/EE5SRVoX+QcbystrYS8AvAZXAcxacCE/ZTN5uce5hulBKiATryj4RcNenaTS7mYaa8n4VE99
Dduud6cUDbkOXf3KF21octfNeYwoBZ4roxucR2xa6i+BO+TVjcR01RhWv8UB8ETHkWAFRMAalMDd
mrQqtngiuLRFgiyfHnX3yP6O2ucudyr7CYJ4S9w0dgnlnFM4I+b/K15ALkqtbkwbv8vT8qy5Hv6X
3hCb7nOrFfFyfrW8H/66Zl5rdb2ZMheCqa26aFRwlfra5WkZJt0JJmlmT5rQMwwHvB7mDM405vgr
/bV49nOMkpPT2OD8txsMO2og19Bj/fXnfwbZNCunqz20Xjlzrks0ZrLsKQ/RD/5nYw5DdBRmnqQ7
E5q3c+whEtlYCxZh5T0k+pB192E3le4/r/+OVSdHKfwItMSEElagPPWGZBgkXUKte/Tuc6ReIuPe
Ljt8tu2uzz39oYrDRXzq4nREQKSeNcg+RZRW50SQbExBoc83Lu2tn0PwRCeYkjQdQG91mU2eDIMx
MZ37KhdO8dyHZjSjrKp8xnBf89rCOoYLiZQqRSNdhtXyYGktPdcUSfDnEhGm+VZWrx6K/zxXErQD
JVIaK9Sbqd+9IeVpMgG6GI+4M1Pygi7k5ODryrMp2xRIV94ahYZxfFgP6p9lQ2ZiH1p3deYcAY54
hbYXTaNkm64vnNqnr36VIoKzeagWK3saylDr582c43EKTOfcw0IvZ78M6yY8JV0oc4hYIQYl007P
srkVmELKPPlTdo2G9OpP/QrTAUQJAAloAkkD+P3VclXSjGdIHcMx7xL4YBraJ9W9ZixhBiMztN9N
EXt6Z4WR5p5w8yjCW/vl8vFjcf6qzsPGJWnhXK9uQDy0RhT8kfU0qGx0T5O7UFLJ0eb8bolRz54Q
2W27DzjW8D9jdNF9icK0Qjm7yFBd6wDkjo8hMXp1AuCVzdig6dPydWkzjBmuz9RlhZLjxfug+A0W
25oMYV0xdFAwB/Y8IxtVabZ7RARURCAIorZ9UjZwHyG5DNPPbl3YG6rizG0MQwWut/pRrxK6DiqP
5oxRf+zLRXffQVuO7c9BQg3hvRW1I9raBmbgH0k1rfrOaYoge6obaeHZK3ICtBubZSXrp+aAS0ah
ZsACogq57hoHIhnT0cza42Lr3nu37LGV7Y0YjwboTfi8hFM0PNvV0iDuFdUGeL2kf86TpqUJ4jrL
V3hzgf3D0xL7SbR6ph2IUKnmCDs1ITCOlYkaOUF+sTfDuNNu3NhCRWwXJ47OBEowfAQpiemtH7jO
1JYGfD3U/NmLiuB3pzHbWGnQtJ6skaHX4gqzEZRB0vid0ydIJuwjy6siC3Vcp+ICSPuxTv7UrUnq
+2Iuk2Tej5pWUu/HSQxT6IOY4E0+hJ2j2d+iaXLbQwMZnXL+0Dl1+i3HN1YdZ08r02+0o/lr11dh
5/rXt+rqiVTLRInDpToHrxTmm0o+X+0aA3eR0Svb5pgGvTs8p+OUOAFeqJN5ksvUiS/LbC/T+6Fa
4vLPcWhKpJVTV/64/ite7o5X861+Bretkr1Uebtcl56BO+lazb1Kzwkxoyk1jed+JM/fJ+FQh3jX
hlDjMLA2ZPWYxV0SPuBiFEL2nIJpOuW1Flh/Zlg9jeWN+VkhAl/2MchHnaiP2iXPw+rWizyrTzAk
r46RoLyMqhRVkn2Y1UlPjhlVuY+bzmyeshrK1D4Nor5G0FjCvMgSK3M+WVYZTDg/hXP1MSuzVL6n
8iLT95zhvL2Rhrz8ltUscjUjuUy4SXKwflChO+Mg0bn9sWqd/HOHBUF0wJJkaCD7tlV6nxsGpi5E
q3iSINWPTYw9G/g+VRDZfnVmEz2iPDDzPcLTI7ImrYyOzmj00yEMDLSfrXopEORPtPbcBYvzDaGO
eLqfUGH4ZXT0GvXwmCbxLpSDfR/HRWeVu6GatAR7YCdsm10zhfVHxxx7pMMrixGcouTfwiJ56b5d
31Bq265mwqV+wX/4C9fPKvILiV+aypXtcTKWOX7WwegnuwwrbfnBZPHqc7zI+NHRtfzz3xgYhBB0
VaURuaYKduAx4UDSL+6KPKXNKNv6BN80jI56XtT9vYWwX0aAbnTdjSrixklGj5atCmJRgTXU6/nq
JDsFatICPVJ8WhEq/Iiju/OrNzX5jyUvOu+rMztUpNEyR+MgJ/SBox00wO9/+vO5LCnBqf7RW/2Y
0sxCS3PH7pjFOm5ddT8Z/V6TBh4wlTTC8RnXAdfHqST8Oej9yzn1QArSPSKUZO5XwYFRT9XoulV3
BG2BP289BHnwZ8uZRuwUI0080l2jLQ9AU5pbL6+qha02GwkeNAxAw/rbWmCJOWgxYYRwdGSPMDD9
nEnlP3hPNlWPppeuJfS0kBjEmtlwguzUDhryPYQFQftQ6jqT8/Or4KA0rbgZNPPWUI+kRea9iMaW
e6As5GPqetWPzM29x1poWvVjaCb7fnEn6gbXx13FqdziZKjw3YQiyoLNXYUgS1XoVSN586WVIWA/
T4X7qYH7/mmsMI3fp/S7sn0TCiqmYW9ryeH68Ou09GV8OBAmwTtNRF6SyyMAES1uxFK1x3TuMq9H
raseDgM8O8e3EloswF10dNcTUYHuq12pvS+BODyUY7dgdME99H5Awp6uXVo37c6Y25u6AG/vJTU9
0AEBBlAsWv/CvnH7/6XsvHrjZtI2/VcWe84BcwC+/Q7YUdGyZMnhhHCQyWIoshiKRf76vWhpB2N5
Z7wLvHgN2a1udsUn3KGzsoInFPSf9lUVxsun1TjWRYKK/PDJmitP7PFp+hsr4/82NqTq8OejDdH8
B7sU3+toQl0OZrY3qw9TPuJCVrKZsl3oNCEoWl9C5ExGmkqQdCDyoDB1HTq5+95uwhU2+OKAT7oO
4MB/dWH+x3+5vN5mg9vkbcErT0ZkT3765qLtCr2u/pzBLxBr9V17BXrJwSJxuljcBgdiEbjlZ8HE
33uLU17U1Kf1znOa9W+grD8PUg4SyKcIJjk8zttbFP9BjRhr0x/zJCws1nITiz6tW9e6kG7r0Aya
g82pAqWeubvM3QyJPh/Y1P1fVvObGHQbkIA0a0v4ttXytsWQIHEUqMSiRxe2K3jzavLWQ6nh8aVI
zuGMHQ2Z/taquYlSCy+Hz7IiDjoudS1vEClYyxNrXj7OjRNNfzvytsn4/chLoo32SUZIw4uc8Ped
VrTNpHCWBKSF/hQ6Ezqury0bBISyN0++OWgep7GUj1YbL90+sMbeTfMykCennZvnXmDM/pcz7w16
gAsA4BYtZhqvNJkox715JGMD8sGmVx3jefBosGPX8ZglA56Q9CfR11pN7J+mOhTf4rk2NzDWGjgl
8KVxCmta8OZYxDN8msNZ7VoTCXJZWUK4r3AMw1iksY/T5CbZ3577j9uDixKtv22moWaSOP4+lKga
or1soZDgzyEU733UUM1+nCAxFbAKhyW6H43pzI/Ry2X1FdfsuLijjm36z0HlYAftNiB0X4u//55X
9udTEYeDA0GGmk1JN+P3p/Ixy7K8sBFH3J5aTD/MUE+kNZarYvHOzeo4vJymwbK43Rfiwqe6XSN9
v85TFgY4i7ZrOR6N78v24T/vil/4299WHgXVX+AqLntwR29rITIsVk1HLjsEluyxL/PIXal8ejkI
xiqFQB/459ZdCshZOqLD/1Wim0O1BhWLcEAPN+CvSrsjnyorG4Jerk1wBtsejNedmGf/cvFJLYI0
s1CTOfvJUNo/UNICqZGqITZW85dL648bgQ451RQuTCr6UG3eDPSyAowYcjs5IDoQmyM2THZ7ZY0y
6w9VPPcCA68MtUNEINdW/kUJD0jC7/sY6S2U1DhvcaRg6XF7/z7NCMQZj8OkPC2dMnhXmWpYGaxk
tgx/oHaRtwCLrWTW5ovwtB/pi4rrAHPJZS3lu5CO/Ph5/pWxlt5Axlv4emadOFOxVaPovbUm3lm2
ye3ybHdjbqYTPRz8Hs9g3Jr1yUjTlj+9qLPqD7ndrsHnUnEfZylV0vABT0isAHgAWy3xzmlIxbC1
XXWWYa3e5XJ98hY+AUZYVftMzbCWSZYcmrLtbTZ3NfK2OMH1pTXuBPAJXjI3ra26o11Pqk5O9lRW
/Pqy9HCzwSNW20dnATCEGN1zlQ3xvolwt8CFiLxqopmU1NvSKRpJDt8V8ZaRIwKF0xraJvkwiFNe
WsjxpFTwZWjuGx2Fs9l3cDeWL1OD9dxHp80XB2PxkDIah7iW/Hwwdqgy75RpyyrNLoeR1cCoraWP
kUyBYGK9a5REcGSP+Fk1lGlQZYzcftLJ9m9dFQ7hbR+IYvs70jsnOMdNk2AEXPnjCl4rYrBN/c5q
whDrUbwMc9c+lWpEuvmiC/0sK1VqoZ0VbPMjyOyuZstlh93ZjiZ6vn19WgCTtASO62oiap6lmYIA
j0Xybtx0V5xo16dsoagUgRkrHCtISxkM7M4MrCtfmWVUz+2VbQYqHAEUXUz2ssAlNT3mU+nk06XT
Th4Lr6Amw9Abr7QZc9vySwa2wEJ+IuPvcb76xYEEELLmAzu8CrvyZ5KXJfPUve79di6Y9Gpo0K7b
ZxJsMdLlLz+1C6iA4Iz8Q8O3D12VtE8uSqvBfTx49fqkO9mPt0mY5T9DWgPDI0KGc/dVaGmb684x
OEukpJITghjKWQt/A50lBXM5Vdb2oVBJuKbgK8roq68CZb13FrFVjAGIbbPVw6eoQFpIO3gMXco+
x04set5PiEFMTyFCszxy/fKshU/16GvUZhL/1r6sCDned+5sVclptGxnwP5uWtsOMUT0oNkVY2tv
57Q/5pTI0jjOVXibJKtIvAt3XrYKdTXDik4ubV8mY33jtknmpZkI+mFJm6auW0jKTtiKVGfRPNzp
oNShPAhhjzh25bCqzbXS1ojvHjXOVZV7lQSWPuV94HEqFNCUk2CHZUAUfJiXpscqq3dwbxVjywmE
f9hYGUwv3bX1vqyttT1yyV4i6DVtuFbrruz03EwIxrV8x2OkRMvWgrQW6HsotjlnvAxUtT51iHoz
1riDl+sTXirby3zF4qFSA9jK6e5iR6wswRrYDn/p0DjtPJrBYxVatzV+2+J+7bLtChESbty5zPKR
xRYFkF3EKcj09keljWQ4B5xBy58vu8wDAcov+STP7Ft3TUqN0IOHhXGSUlbtqq8Tops8Z1CIhb3C
EbNNuvChr3KstT1rtexLr/zkWBle0cnq+/qL5ujzeuTCADueS9+I7F5qd3M+qLjxZiwSgLs82wYD
EdZRnm/7wgQdZ2dOGRM5FlGNoXZ3XaO3227OYyveTSXV0vcJ1j/iqXMnuzo5ivJ4nGKO4+C74Hvt
Uj5wAurk3lm8lX+JKm9FfKYg3G2vM0UOpHav84RWHO2YlFfbHO2N0Vz4L19YFJgIaLQrnDm5mZZR
0f+r/W76Ho0mnz5izCyQWw28mcYgVE1p7DRWLRi4gzN3U3fwc9bQj7Z3lHXj9L2s5JG2Ydy/H4cE
WELYmbCw08Ka0AwZptW6qsYp18U+rkuvOeucttltT4GZXlaWVWN56GvLmjED7USWP2FZ6/LAWdlQ
kn7dEl4WMFGvFVXGDzfw1JFubh7FGrXYh6xgbtpq7y79to/mcVqXK5WokR+yNt+aK1MebVdlrGNn
uRojeMNfgd1vyxAxSxVc4JkeQN3D2KVJ7kflD/wqhV/DnNKP2PpI85xha5Y2wQggfpdJiuMTB8s6
hhTNkVa59iYtxDULVuI7AbPLSR2npnIzsEzi+DKCocGG9ueSri/UAbGdcd0wulxzHneRZe0lQJ6a
KurLxUZwERh9KjpvAIeOs6FT3NUQMOZv6zps9/VrrOQ72XZcv97lVV1mBJjSmrd9VCyLx/uz97f6
9Ov1W25wBJ7k5UpzAWGwNXvH38Kll8ALF+/tvtI4TvBr0Rhuh3gztduesFdnu4tLJbZLVc7Ddn9K
YHdMV41/8DZUfrRt/ddbD+gKnj47+ruZcP9PUwzH5u3cjEJ8ITGpg1cT7WxGHY/d4KUpB+7/1zuP
mEDCTm7Nth7yYNkafTJGXspCKcMmiBmbOeetsKBmnnZ9WLJlscUrhvx+sbO17h9LK1NWuJvtqlVH
/BerjtPZH2Z2pYqtnNPWf4lL6Y8j/EfRY07ksh/Yg7F3WWb83F6No+o5IIzlt/xCRHOEO8QeA5qM
OzsbtpjCebn6qqjZ1g1xzbb1hPRDyxw0APvtBHr5hKgCMoog+kLRwT40ot4u0ADptgraome6nMww
BO4zEkgEoRofK7e3uvqpBz/CMCSZsOzyS+Fm26irNeo5LneTqbO2IQ8HAd47t1Pjxj1nox63Ze61
znYtDxIHxu7YerLhJYuuHCbdrpLtWxBR1wxkx5L2z52tvdW5c1XdYAWL6ZPXO+9yGVQMRSt0API8
1bPFu8sUhC6xn8BDUP8aKVlE2+cX4LayL8IKB1U/vYYFjqjE+K0blnh6XCzPYzNiXTNuheqalHTn
N+N2DIsiEttDd/4WE3obQmJEC8j36OAgXsm1LyZYMP0ZG+2K6XiNPYTb49S0U46/fcmmSIiIH+Ze
hfq+j3G18C510sgMOk29vSH63BNfJ5imlk0EmsAyhFYpvFEXz8qUA6P1fSgbUPuYyMCWW7NYKG97
tNe3iBqC3fai78aWRwu8AdD7bimGhi2C3VXL2zitwI1to7KqXt9gtLGtZzm029Sh2b3toldASFc0
IY/lNR5xgCf0r48DDcFbVpQ+aJcEqpXlT2hVOEHtifDht28rZPuaZd2PGHEi/VC5V3WdDwKitS0q
uzlYnhXlt8T9+LRG2urlp6TIYvUcJXzebsKa2B9PSTR08pPf1TZ9fVWisb0ZLDZ9p8+OwS13HzR1
gCt37xN57ktaPdVHwGEKCivEzhWMS6Eoc7apGIZkumurdV0+Ktl6DYqufbFiaCf7yiUM04qZ8W6K
EcrJkFZJ0IoqXVv0TjCbFnNc1I8mX1z+aNa+UeEOB9V6MqAnMxMlqZp0Yw7K0GRKUlCdNcYWVc2C
uuN9A0oXBTB6+UOMhR6Rxy/cNVMpY1NFzjUyN23Z3ceAcmxUDu1aB+M7P0HyZjp12Ck5HHYiD947
DgWr8Vwlw/b5gP5jUx6U1W4/+bXT+WeEz6vGOjSuOzXvukELOz4bhWTUehlHyyg9uoFrgT3kOvSV
yHbKxwrdOdIFzRbuSFm25dkMrc2zFUoCARBpYlaH7k/jFdLq0aOU20KZWd7biQdOXN9nL1Hz65Hd
CTcBFkNsY9WcxGG4nfG0cxIHv9m4XMqvw9AFBcacGQIBzmEkHWoeyga12YLDuc4D7NogFH4s3Spm
ZmekJ8MxnZLVwU5gdOo5TAMrwooY2cou6OxdHMG1iz/Gq8O6CUXWDy4QAkcEN24wbeFq0/Zb2ua9
XHKl4Z6pd265LHwF7+Ul0s79GCJjs1pjvafpvCVlJCADR8ZLbhr0cnsv5BTpufYyYPeW8KRWc5dl
xh+OLNqEK52FQjC5/kpPyqT8dS/U/M7V1HnbXe8tlEU8rGS3TNf18+32hkipJ7Dti5u15kjhNyvF
7etxQQtYciNMXbed+gR+We+YXUsXEzj/gCT8KO7JEzPtpGHlo8Gwqxyx5St9pLejfRmsLcYs42a7
gHG1ZqdyXkWc7PD03Wz8gtoQsjBQyqpfMWkGml6lr/gUO2xJsxBn3w68eJ4i7oxB23xDhBY0Y+rK
bmtVl43VSX2sJr/sq3OISN8SnxJQZeaAIKRU773RUy5zPTFsnBqsmsDOKpd71enMxrB4ucZlWBrO
yCUIf43LSxpjDUPuKADS4SD3/RDrYkeHaORks9eEVbZbi2Tlt7wWENcZiu12igriVhKkl8B5zBNK
Nr3lbcgXiVYDL2hejryxgBmkT6+Xa9ZZggmpYsuqRSrzhopK2mbxyhruXiIfMWbbmect9hYquHG+
HarjS7ieZ82WDrZ0a7aEYsG9GWSCt5UaHGO2my6exMQFEQ/OFmjZCrXj9lALKymu5m7JFvfLYiVm
Xk8BA2yQOPPJ4x9sX42ItEhkJvJnSPpj9pDoRVXnVRRWtu50aWkPSWzWT+OnfqH8ZZdTonB6rAHj
Kn6mTGB/UG2mzJdiRvPK7IucaTz5jRag3HWeLU9dVjUzOn+rt57ybvTWD8zJqqzT0CaBEZcL5UcF
W79q1+rJ4HFgf3azxpEHV0NKsSguJ3M+YJc0DT06RnM1tfeiUWtYpqL2RHym7m0JLrJ1WarDCCfl
q5PVxr2w5KjKb+WIInOJsU10kp5JlLxEq0aHF+uoLf3Q0JHL3ulcbPtykHnJoBtFgPczW3WZJ/tw
iCVet4BzQnIWZBSC89JyYo37oelstJ24Jv1M3GypGSrVjhmlpEbGyBE8Iv01HD36jU59HRRqWL+9
ZlyvUTZhwBb1vBQJXvIVC6tkFpM/FWSVedIRwEdIWFq4GLcTADoYmzJiUQ4viXrO9233L+vfvMRQ
8M+3XWWWlXLjTPWI5SEAX1ZfX1LuKlu3UPM1zn3dElC7t7Ba2c0WhVveqOzPlA26b0ovIqLD4m/z
flw95NBQn4impnNh+GSz5tB2Y1bYvhj1aziyhdaiVNtpMVRrX16PlMjKd60bFxOG45bdNpeRXsMq
3C+52Y4MarpbHmSRIPDxid8ZNn/VNoiZpNQySCU7VTmKEHRykgpwZMYMt0iZdbh+7isxOflPzqWa
o2vtFic5VMoII3ZkZXP9gS0VFptxx9LbczoEIEWwAMeo55YJ7ObbvGpjROKE7a0YqWEbi6Yv6Esz
POPmOw3PxBJTiRQHrKgnzH9sluHQL2P5bSwt1J/SMQLFVHFfhL0/7abV3vIpscwbwgt6uFy+YGu2
lb8MZgHhcwmERJSnbGg0r/MXe5suOzfb+d122nZY5b+KRxG9/LYHJAbCsUwrq9uGQypjc5D2RAzE
RkoE/KCHuA9vcZ7ZbgLjuLjMHF/PMHZcTHmiGDQ277ZwlFMhGhtkSZk6AaIdzZ2iFcmEhS/30GR7
DY9Tv4Tzve1t2QaemdvxlTgrsWhguWwKBHmGxsdI8/WS3opODHuL4BhlTSegDBLO7hT2pyWwwQhS
NI0791oG7bb4hLJb5htRes1Eu4O3FTRU2A0DH0ZnD76EiTw9lfswMBkL07xClygC1wk1jwYLmn2L
xE6SpO6UVDAXlpcaQGNLKiY4GpNEI0LN/skkdLhwlzgj3rvxqLX9ce0EFXcQjV14G4nOZdgQAczn
D7nvTPrD651qy+5X8XQG6Lkcsijrlm+ZnytnOnjA1rZBQ1CRsZ7pi/C1Cbm3YcoKY3EyWza7HAW2
fBm6HVfgdmv2jruM3JqeTzF4F1luw2DYoneGMUWKsJ7kwSRIdiNE2SHPN1+9lgFoxm6RBgWIisOh
f63lUYclchjHaDtEXpPFXGcDKUUzhc0KrARBDoOTpdKGBTzqJVxOkfJ0TJi8LEgr7/ohmLfqUD5Q
ETsLPH2ZF7D8Iaq9lEZj9BArFI/4Q6KsBd/LMQr6HGuoaJi6HgAHXyG3wi3Ab4Rk3kXrbT9YhQxI
AUQkdDOq3fJSUROVjrxrxr3tbuuRet/zKurcJvZyzHrrF+6sy52XxLNxP/5qz/x/kQY+tA3//df2
O9+pPJIoFuN//9dvP52e29uvzfPwH1/0bw3Kf3vn4b9/vUn+3O6/jl9/++EgRzEu76fnfrl/Hqb6
5SleX/n/+o//4/nXu3xYuuf/9T+/t5Mct3fLRSv/lUXwSxnl3zMPbp6N+N7+8QuvvIM4/EfkInSH
YKILZAP0xD95B5AH/gFvwI/B5uGER+X8n7wDD0qCA91gwzgBtiDw+SfvwPH/AcsW9CWIOgcIPBJp
vyaAr3730ktj1P5tL3DrQP1Lxw3FfSA1IX6UIZDWTaH69x4RjRhHAAVXN8VMVLhXdNecd5WvKve7
1WMYldYW0F1KYG5gHbO6J3z6zz2/N0zmjdID8g4eM4KaCAD9YbwrZlEX9HL0dTsoslRX92Hy4OeE
FRcLHsrdpVnAhNxlfW8GKy1LA8ewbrwRU87c6beiZTgAbPubz8kb8U2ei54d0jiAA2Hk/Plcru0F
I3eTc+1COBz2cYtlKOq28ax3VYmxX0o6wZ0xGI8co2pMQsnSaxYB/gsK1h3eq6iu+D5iDZdBO0zO
X1qLb7GLuC/DuwWNA/khBLL9trWMyqnvdh6QSUFnZtrbrU11xOus+M4ydtP9NGjyjldOBbz9qF1w
76nxIxl/49yZegx3gv4+qdxYX+Uu+iDHOtCJuJulFsHdX2b4De7ewZALsjCLFiGJzT/0TfPeaQlQ
LeM6V6ttanOhOfA2+cWY4l2ugKEeirCRz21bTO8r3C2ArsxqCM7KN6P4S1N0+6h/We7ALUD+whWB
qc/C+4M0IkWRmTp05is3i2BTKwff0pt5Xr0gXaup7D4LqmdF/pe5egM62T51g23j+UwfFv7qm0as
pMYegjYYwYM5gd5Pa48FO5mUbZPsrIH6sAZ9aacWSsLm1AKIQXTMKok6/vNEBH98eRB0wJ4RmYTc
+gcYoQEFpAc5K3p0pWtdcouF04XflGZNVdeK9i+Q/jftZ7410w6qGfIeqMHkLfOTfLouCtU1V1TZ
qmrZTV3rEyaoRBbm9J+/GaZdbwA1wJ/ADkDpJqLbNODfgowH0ZkMMyK4ga21tIfcGpafpEqLPns5
kqJYK2St3MEAWXd9UoaHstb+VVNHWXDIOrW88yLU/3XlJxdLt9T7SPkht3EbX2U0VQ6zK+ddD5En
7fpRX9Z+431USTiflW2F93MSip3ppXPwpvHWBFnxsDXY8POtkwyUzxFxK1H5l7YF6tp61nU97AbC
vZ/JmPXfumnQx9xy6ovCW4PbXjbfGoBkp8CuxhtqafGuC+x+Rw7pnBEJbQLYBm581QMQOcVrEn+w
TBC/E20iQSK3eAh3sI5s0MvXvWnVntIvagylRN8yt1wJsF48Ig/Y3xeRW6WLRky6nYLyMqRVfZJZ
8zh31fpez645hJiZ7jX53WlMhvCcD23xtZvGn9EI7j9FJ1ftkrla02y21n1D8+2UJMbfUWDUJIEB
vUdZ+N0tWZCfOuAki7TrnPNIZTOdA7t7ypyZQkVoqjjtact+7avJPWVLEB1lkLUfcjAZh9XO5J6r
wwHZQ/c3XRS+Twtd9Rs/qO4GBE7fB/FIayUcnfcxpKZ73dr6J600s4tLNJMv0e6P02oJZvneg6Kc
RjwJPKN8sYddIEOKWxMArS9BRtS8g8+grt12CS5NN667oMjGE4JOyWkKO2ph0rtsi5Daia+o2bQK
ZkDBy+Q04OQe0nm3rugpr9cl3Z4PWVwVn0st62zvxEn5rqL6/ODEmfcOloB+anwHfd9C01UgPb1S
oQ8SR8RYYiwQ7ftUIVBworNcHEgyxjbtKzgZe8oL5ffKBFcu2uRDuAc5lZf0Ui1VBs2Dws67Hm4N
1ITpss2W71RxNp+ZwcHubBnI6HFe14kffaIYL7CzwUPwXID0ydNRROO5tXu65Xb9A/67g3TFMJ9K
T1VpEdb6VkVYUnVzebSjiszQVrQDzZgzqYF8XPxV7NeEGdL+Gh1rV5Cd0Ic7llOEHYSLfmE/L+uN
TyWE4omjD+Dzsial4vhA+f+6dGmTLVH7I6Qaks5dfuF0S/NANe0jerjUfWNARzA15nRxjP3ZEfEJ
WQNvNyIZcb3kEz4xYnoHH3s+AUE1B6+uqJjmRh+EW4EOtbKFVQdBjpoq2QFB8rrVD5OT65bgVZqu
BXi1DA/hmjW3AneFO9qLy3WZe+rQw8q8sroQQNQQabr/69wj2jQiSYkenqt1fgiiJuvTCAMjvcuK
wjx7lFsD1GGqhD6HqW8cdJ2rq7iY6/pTUWW19Vlo7D14k3hG8WlJorK46RIqvT+crHR+KmYOgob0
+nu5UNTcz1KN420MYy/8mNDByZ4Awbt45YlVlOJSI8OPrk+rNagtdxnCB3Bp9o8+piFDqDL16532
4xzlJhFjPEML0amPL0GDtMJJ1mlIZudfmMLnqYal9A4YOlS2wPRj9sUuHnQvjlvRvSD+KYg4hokO
0jEpW7e4mIc6Q2hsaXgH7VmbYdkiqpvCyYGLoGE+xde5tHGxHowU1SUKz0BcsFwybX8NYcjXtxEn
se8fVIvJFYCcnnPlaSoqQ06UId+EORmF5p1XN/lw8DlH8WuJ2tm/Dro6qG5Aeaj1zqe5Mu1dC2Oh
53Vhf9w0XeV/dXuCmstuGdZHmbDE8l1JHhjehmFObAQKIQs+GeUwNkPM2bEbLDiaq4s7dQ7uJ6Si
k3YrjJ22SakJ1Wt29JyRQmnTqByl2AKi0x32DnH4oQnjtj44XjIn047VqQPKbVgwpkxsRgNekfDL
582oCcgnEsHtlQvzqLiw0XLJS9RsYjHTH7aZoeIQSZH0PQLzobwJx9n1jnJQ3j2QLub7Wtly8cOd
Bd+hbG6cGgdbeDMTIs3RTs1Gc3ZxylODX7zZZnInqeQR155E4tPQ6oG9r1HwPciYcik9lqrqgFEW
1FPJUCs7+gFwLC6aFOmrCEc4o8fFOkTloKNTkCOI0Yoij8q9r/1qOmE4O8ep5RVxe41JR5VfJiby
/afEgHJ7buTMtFix3elhT0xQclvO/M+cSI3KWB3ydhTltYs19fRlnGcJIle1dk3Zf9FZ6z/7jb3l
yN6aBUj2wn2wKVY5Xt+9pzZmrxcckv5wT403dvC3JqQ8t0WXi8dudEFO6WFZGanCUR4w2n6RHFnZ
1ADCUFCgUSAcEPjwo3Qm4Pcl1jcFDQCwUHjyApVAhYo+Reardty3w7IVOsA4TOUHSyXFxygvnYMl
0Iut40RhWDpU6iLv62zYTSrzqSgF5ktAYfPRWXRy2cmCvrJwOtANTvhEyPhRwaS+4OvJ4yyJz9PE
o40Cl+gK3NZcH9VkL1naNe14l0zmq9L0PmuEzE9ZXMZ4ODcZ7fOFdeZ2w0VoMuvBBk50WhEhgmbr
97vQj1o+0tjvMfkp9wmqCe9EpOk3iSTcA+ULaMQpJ+2RkgAYiRfWQa26PUItTC43aZpDl+QrgCfD
wRK3psKOwh7re7yKatSTaeThTUgjGKhQWV8WcVx76UTf8SYK0My9AABjX7iA+s6bAefZczSA6gYO
rijmJwdKe5SGST7sEhmq1G784Eqbfrn0QcJcuRCVUuYE1VnJqg5Gxrro2jCGvNwF39y8q08eohBp
baaVDtEkL0YZq/dUtUwaA3+56FcxHORQPvtr09+rPJDpAGCauhcIA8e0xX1b8nYIwUaPQT052KP7
cXfd21J66VJ00bty7nFekF6Qc+Gtzi7pR0fvArzTH4GN9ZRpqR9z5wFpX3YelRr70I+z8zPJQMaV
i+89gaeFgFnLtt4NnaXsNLFx/J7EMOqUuL9XB1ygg6eKwlZwjJK8iT/7PXi3Wz0v5ZDGHL5kRMFQ
EgIORbGXQSzdtJNxTzDkTjQCV8ID8Jz11D0ILuvLPBfuNy9vs6vKm90L19S4sWgcVk9ehypSGgfu
cq7GfLH2fQszMy11P12afIQ5P/btHdgRAiq+fQy0hd5A2oVR9UECUDCUm7X7UYApfhRRaRDMHtr7
EZOGi2JLOvf+YoYLWxnS4L4fxGEFY1XthAj8ox12XXgACjfSQ/ar7MeIssZT4AgV78KpG+10oqIm
UooPiUx7MKoyVXHRpvVUjmfeOM5TpW1R74eRIrEx0egcp35C8xF93bTzPO4tXULpRE2vF9POn7rp
ehF9/0XHonpwarr1aaKm9aO3Qcahs6DREsFF925j4HZwQuxGzTuYhiXNCLb9ZRwvw+NIMvqeAx1P
AIeC5LseTdPzOOFpYgxM4+NABV8c0NWkPGzBGt9Rjw6nY9Is5ib3wnw4l0kxz4wvBUiatlVgbcpx
9ZW75DiuF6v5Co40OpheOA96GpIdSAq5QyY0Pw69CU59lrfHIWvEhwoBDOAotNJEH+gdzE7vI0Or
gv0CMWbvtgINLsrWIfztAvmxYsAEk7wJRa0p3ysv8ihu93WhbxPiwzsl7PkxFNEsOY6z+dF4crzE
Ram6rqaquelkc4Od0/h9VmN2EyIn946G0ni0zRKcYT4CpPLmiPK0yC8xlyipf1Q+rNaq7K9Xu2SJ
DS7EQE4L69wh9/ouaFfra0yiYna1ta7f2awuijheKD/XYum+UhWdT/4U/3AlASZfZ4qng7V6PtaC
+UxyJZLy7AvSsaaPLbWnw/Cs4jK8tGb2RS+FcyqHej0t2unJr+Rw4451f4BW+m0aK4SVDeRMKJ3a
eQgrJKt00xRnBLC7g1yC58BYxd4Zmqs8mvKjmrPkvZ259oeRHODSJorduX0y31Jx9Xdr3LpYmq3j
AVG46FMwZMOtVYKEjK2xOLV+BUfd76KLwEajrfGH4OA0wt7XMWVcy1fXWGO4RD/A75SZB3Cd9Fvj
Kqwv2zljjyjpfAb4ZR87mkYX4IRtSLu12Ol4OGdZ6BGN6S7xjl5ARLXyQMdYNBkCcdX33osKgE5W
ctB0gQl0xuUsw6zeL+FEOkrL+YCa4qhOxvHm78vsP3Z+X11WQ5hfBmWbb+38+7D2op/kWO2DJo+8
pXNsDwcq35U8zLE132c+AfI+HqbuHfRtGd0sDbsL/kAeXxWNsYUALBkHEw40Y+ClVruEd0IG1oeA
9Co+xToT5bmUiMClID2zL8Q+eC2OyUqbLGzubc92Py29Gk6t6EAYxHlFUuY41VNs8CnBqKXfV5ug
nl1hRLFWSX0hWvfzNOvufi4McZTK9J3s1HwJAj/nzI6cqyxcQPAQJzxkdozEewvORBiHkC7w4o8q
7OMd+GDrnSjdp3J03HNYLBSo7LoIaUzXNxNsw2Pcj9GVAle0H/83c2fS3LaVruG/0nX3SGE4mBZ3
A5AESVGTZUu2NijLljHPM379fSCnOxLFFivdm1vV6aSiWAfDwXe+4R36MvtBKGOsGkrjQ4HtYQJY
z0x386I9AkWN2TkYC2mdWv14NdbmdODbxjevF/ZhrEIDoFjyRGkc4xxm2sDgK/U2R/Flhf9btx1z
1dgEckBSxj4JaUBUyS4D1QZhKo3uYrvsrwTpf7ntmWa7MPayR1FJ5deyqqorZL81VymzaptGlfSd
ph5BfE7zDTsaw2sL498N7dSZYbTmK7/qQbTubJrpuhQiwMtOF+vGriMDNY5aA5GUmA1VHpFxLQqI
WW0UwiNOioewrZMbNUnrT4ahJcg7M14LpUnOARQml3ZEbiYD+duWZf8zEkndun3VGAWwsggwo5mU
j7MZCwdQOgVqzrnN/gNrsyYb/g7ipM7cCLtQJ5aVG/idxR4UBnrdldpcaKKyLsdeFVeLvPpt06uo
bs2ZqW770L8AdCzg+cyp6VLVhBpwMUXz2kgaxjW0s/YujK38umOK+N1OWz7AaJZ/hTQ0yOx9ytUB
SN2KPpx/J+RWvioA3+JWQU54yIXabuqIIaPLuNfYl75swkywBw/kw66X8XsLQKYhDtHomdO0yiwc
SvT2uaOPu1ST/Sof+8JLCzE7s4iNxyaR1e8zvRi4eR1xjHyfB2Y15qYmZV3zAJ5TYT+UQQK8OxP2
JzErJdhaDAYnP0u3yoDAglIljTdUdbwLBBYWQTCOk1M3ynSQUhVoKRmi/iCrVXu7IHtpieg6l2Be
UNLqX6R6Gr8bTZNv6E5mYj1q9UwVZZbfsmCYbqxq0ntHkhhsg3XDN3RFk7NzpjZJH9M5HZpvqHQw
hJsVu98oecKN5XUhfthZMD5zWKIqz4s9QL2KgRXClXH0YRJ3nYBzAu5FLg4p2hZETJiHyNBbwbCK
ij6JLmgZ+cHBNyywdgmdoyd5CEpzqxHsOly/Df0BnujwJU00ZKwVihdbym0nVoy2OqA343ftw2go
/VAxmRa9qlWR2ypWW2ZoeUUNugykhuNwOSmh8hD3Kqq0pXioOWkv5TrJnumVkHKU4IHFTdIq1Vj4
oEqYz5Yu5EIp3vcvNUwd0hm4gp5HLQmELBUeHZjWcAxUkzkaTNKki0qN+KkK8zC/rBKrBsYz+fyb
qQl9BpAMieaKL0w26z4FRS7bV3PHwBhx1170nwO7FZcpNsHGZTnUsvHY5ZqaXM7DMPlr30gtc2UC
4c89YIoLeHmuLP7UhGGV5IUR6I+DDdRO/zSp2sjUJMdchHfChVEjRIxV8dV9KZ8J3P74QwqRr2Z0
iaS4/wWL0kbbKDSpG6h3gZU9R3bTzp/MGby+IKZASnVhaEy1NwOfCS+sOZjjC+Sxe/NGk1oVJUMt
hHJCb0AN+ZtQoEmQ6QdWRTAcM9kMdtYUdfF24SJepRAN5ps51v0IBkGm0dL0Z4rHbtIaE+EgtTGt
PaABdbxWtYbCHxFRTb0AULPoZWmAQTKEeJuC9kRZwYJxLRgQ2c0wS6W8KUzR0AVJyKV3VZdO2QVo
Xqley/bAwLsj0tB37/1gfNCDOLeEq0ATKNa0sH3hWUqrth6pKc2CIBllZTdFCLa4TCxaO3CEPmV7
mfZCtxKmLZLL4YX7JEV1SRHUk6HvSiUH0Td3MuRohx5zO/2aFauekQENZsv4hWYyKD93MYExrhQl
XMY5RcGD16Sa/wfEBkRLl7EEz+l2zkydDF800SEFVRlfZIrG2rlJavuVYByrN+RCcU2GrFS3apEq
35OQmXTlZFRrNTW8Vo/IwVMa8+WUdO/9JZeRjQmhh7ZfGru13vmOZkvGr6qRlP7zn9DCtLcW+ATY
zWWz6DDqDKdFs5LkKTN9qpESX10n9EkxPzeKH9AeHierdMx5iPdqE5piU/sxQUqp21lDGGouik3l
l2q+IU2e4jXGYLnuSIEx5zdxHHOfYVMkNBZnFW3IfRoFylc/NltcDJpg0EPyOCY4rsHW2HIEDvZh
JtWV1stQRlzmcyMqh4N/Vm9D0aDOPkRgS0Of0T9tLsvewPDP2k0lz9w1zQ77Qqm70UIMs186Z0nA
y0QNAjiV35IRbCLNGDIGN3Hur4ZGSUJ3qPCZdQh8Y7XPe8GfEmZvWuR8zIP2oN5ma6/7EIB2ZDw4
asBTWSZ24uW11hrY/zs17ezMreCTVTu/1mWm/YnUzwepSY3eKbKy7TdTl1nq2p77Ib8amqpJV1C0
pAs2FwblXS2KHUBMs/4kcPEqv9uNAkVgMlG1pZEdl3tKTXW6YD7Uwe2qLSPfog6cyZ9CABH5ikCI
8ZsN1Ti+Ahmm27QVlCa/HEVur8Dxlv5mJtknh81twz5QGFWRY8nJmEGUg9aGoL0a0dwVdv3wGzT9
G7tFm6a13WTEEuCHiBMIu4roq6cJ3MpNkPGKtmDx6uanjYN5QlJa8Lq7oM4Ac6Ne+mCmGd8biBeK
KXUOyp8ar/o7PaJE27b2WEwbY7Qt0H5R4WuricDgr5cvjBBtUdRvgW+wNdo4nZ5+f5xtrbBHLbm2
q60MeS5MAAIhoLTNewXQcghly7gC8zg3ezXO9GGTkigam7amk8hQCJTVOomb+ALoeg41TNPafBUC
PZr2xqTWwbWGsnl1EUs5LuykogtdqwmLmLqyjRSrxy14wJgSx2czWsdsXIyKWzvpXJCv8UU/2VWw
M8Ev/TIbeQh/aYWuzHSeVd+IeXCCzg7mIYiqMRTJsq+i7vjmI7Va+KR1tiAzgyJFNsKdNW7uRlV7
Ake5eJt56pwF3qBCeVs1GJjiKo9gXZV6emsWE95IE6PLhW4MCjWmt5PsOQaM5FLHVhfAjC6zTTeM
JumsS3qJCWEZ29N9hd3IQZ0SBrYMImri529E0Jjk5N1xPVSBm9imke31OZZh/4tooTO3JZY/95EZ
6pVnS7olKTTKybSJ05k/XKfo00bX9hiFxcaKIbls1LaNNG9Me+ZZoT5CTnbTJpG4hxIF8MxBMy5N
901mSeZqkK14OwN11rdKmLbxjnLD/oJUj1hM/RjuLaaxLd8rPNJwlc1N9ST3EWV320SKvlFoiX2t
K8sfVgL53cXmfjkjpBhFlfWYgRlbIwGq3OmRUQSXPCS9uC3E5NOy4L9o78spbI2r3xHTrODBfulr
4Hdo1eBz7kK/U7UZMqbWh57UdPxOfPCAGYoQSgERGMXwrYrVa7xTeZW7sg9F7E6d1jY/oSv67QrF
i2VsbKS1gZqu2n2BAWstplFp861UTBlNjMmakSsyi3JQWzccO4NMmZcsk7MFoEO3GEizLZTJJyeW
0A0rb2Dg0DxJp3aUPDmPRvtaovMJeaEIOusxxUAovRRjYvygzVBNh0ZqBQYfHIv9ZzIiHZwlme98
46uAXT+bQVfx+Y5FvxOxZPSHNA/k+RPwNX5oAHvpaIOwk6KdL9Wh+BHnxrRwOACOtxcaNIDqmfMk
TThQZGCXqUP/epaukHtRSm+AxCNvUTZbGsJSp+IksaKE9sfBDXv4kD/8rA4ggqFUVxysWs+KcAlT
yrySZKuYw1UxqhKkAsVmoDBc5EAaS8htVjHAYsi0rF8bUM3UxzrDE2rlIy7DR8VwwGZEENlgJByF
tjn5cG2GeX/X1Glf3lJMTNAJ4ZlbBwS3B+HGsZpl29LP4m9JjaIFWxTK29LDHplyYCtVWcoV/aes
WlPptdo+YGhKsx0S6Hz/Z46ky51G1jUF0GsaTA44ukAMmC1fcZbNV4Gc9D+VaCICSIayANiwcvDL
xxqjauwTZei4lwtdebyzSuQfV1HQsc9yK+elyTEsih2ti7LcSpIU1G6qj0l3N8vkNFs5perZ9rMp
3TNoarbDIE+lK5B8iA9+r6OZ6AZGP43ASqTgGaP3tvpOzSrlXwOEtp4A5cXVDxkQKXXgMIaG2TpD
FY7kAMwsQ1yJ2kwNniAID+HXwR4r/7s++ewNn/am/YsBy1htpzb0+109xdFKm6VkpoeN8j4ZUY6+
0CVa2Yq19nujke8m+lmlEywPdouOm9QecoDy+ZUPhAq8LWjy5EFnzk+gT+BvFI6Ck0mTbvChUgXj
Q5Kun2EYGb0FnrwA5phPqAsf0rihomqUMOC5ZjcaTFg+X3O2e2/ikofI6bQknm/Bz3KsFkjbN09Z
3tUToJ9giMCTMIXqLlDIKYttDf5LWYYs0XyY61ZVr2CXW7kjITM5IYs5UJ75ziwV7fQVumAV0R3J
9eEyq9pcfOpRRxZbCFjE5ooKPbmM7cGY932f5mBVSti75uhKydREu6jxC/sm9k1hXlkzolGMWshY
DJoiJUrapPIISlxQM3S43in0RB5MXYrsNW3grGvWf6JWu0Gv6RWmQeZXq66l9VLTOS2MIF1nYCqk
8lqT+laxLyWQiuECIyfR7dYzy2JG8TG240hDAbkpseCbIMVb9B3eKbZUPmyaQKhYkcb06lblb3iM
EhraRWaCY/0CYELMuwmepTijhPJuaYE7I3LzpLDoqvI3ADWvVLckjGA1m0xnb0hKPHqWkYH7p3No
XBfRDIjl96FQBR0HxMc3fQzVIQgQCblz1QbapRpHiCGobQHN3bzcN4BlZbdqM97db6gZbvJMzj5e
7ggFuLRIdPgGJuoXEMO467c3qlO31EZfj15fZIZ21woErx7yWIAAHkOdwaitgGq4mVO+gq92alOg
vFzA34KW/ltI6N9Hl55Gqf4/hJZCT3/1phaQ65+Q1AVB+7//c/cdJb1/3ETPdf38D7St/3EZVd1z
+hae+vI7/kSb6sYfYDjFIpPFoBcRn7/QpvwIEUjLALeoLPv5X1hTYf6xEPdN5KdtJOPtxZqnKbo2
/N//EYBXAcoh8AlGFTiqof4drCnDZPbRK/gdAlBESdlgkQWhxSf9dp8JqaMZgKWrF85aszWH6IE1
N1WTHcyIEZaAPuDE80QLUmlD1ww/IShwMee+tbH62AtTfkKEDbd6nGERrQDaGWhSgkRZi9zCCD3K
LkQ272HgLtCGu65IH4c6/SVK4YIquugMaQ9LAEohbWgnGuOfaI7sBlvcM2cCEuSP7VrtCuiO872t
lLa7/EMcMDRo4pATcAyeMhSut5E59wxWrdHpNfNpVprnLLElWjGQsKrektaJzHAUVs4tN3ylifwx
ktVtgSsuGvY+CTj9TifES5GC1HZT8IErwBvz5Yxr/RaKDGQ+klUmwVxBFP+yEAZAmJNObKBXX9My
e7SLbJ0r/r4lQ3CY3eyn3tyQA4zrrE2eZL22PSCxwbpX8vL3ZUWNSmepouvX56VbxMEXW7oeS+1m
ni2Mj63icZiMqzCAvd+00U/4niD5uRIgm8UqN5jIRa18n3HU3ojKZ9YvgOuPAyQslXlqZ8Y/UcKM
mWk81VmQ0YEX0FrK7koUykPWSJAxh8femO4bLK6RMzBGB9eVp2E2d7MVly5aNSVqllHpNj6Y2hmz
97Bu11me3kj2/DAPPCdV5x2hL+roXXfbteVNIleNG0/cT2LPFKxAUClzFn0SBehb1+4hx08VpuaZ
aX1FhNQt0g673d5AVynqEAGaZXcU38iZHTxEGO9xnDpaET35zTjRG0rLddCp0tqeBOVQQdMDs5WA
1p24NbBxiQ0m4pEiQf5rRkYQ8JKpvbV2A/kQFryujfvUhxhJoxw1L3wgkwU5NjGJdvKRS5CyHqEd
yAIUS5Mr2V27JuVrPkP7GyGpaIjGtnXs8jFHLizbwsmFv49rGaWOUXijj1BMJMjg015zjKy9mkza
djoKSm4K0doJZza7wRDGLJX1oCmuFtu7ZfgtlPxxRoiDSbKxCStlr4jkE62iG1Pm7YdVe5NB9Q7i
DSOHM/YZR/BbNF1tsOaLZrvOsaa/uGu8OlCNXC5E0JmBh2MvLaRC96bY2CJJQy4v0jP403eicy+r
obS2HGpg5Y9xx32n0AIJ/cAzLZRtjcD2arPzpCL/iqr97CdXg05ZDumKDdl8fRWn/8TZv1anP4a1
/75VgqoBNFGnDDkKdTn9OJp3Kra5SfKk6XKxMiR83mhaIWRDrHl5ERnABz89WHl2kADNfXwJR9nL
yxUoskxIXwgEzIKOgq2mC7jeSoDOSX8p1OwQhMauqrLFTnBd+MmZx20eIXCX9XBP4LxAc5h28rGs
cq7JTQ3sNfB8MgynrYHcTPd1ck3DPXRqzAKYHtifAY3abqgP97EwLtvySa2QzABdkbSMQP1oo7c5
8r9AhwpplXUXVdzfW4W16dRkq5XVVWZX3vwTKnDuVnBjzYlRyEw8yjvtNp8si7Tb3AFm/h4PoB2D
5sIHP0k0WstW+GxUIxzFLn0cUwlMlqYcUO+vXS4c1em+XceVgoIu4LUwHL5Xmv05QziIokurwTDP
ktsP4qdZ1V9jKI0O9oiNV3YKXUV0tlPGZV4aoBSBANG9WhE+LfU+mazP4SzfTyjdOFFtXUE4oBVu
hfs86jZFuQzGZd39+7nU6QToTSL136Vb/x9zKbLWf8/ScZ7TaH5+zdJZNug/STrmH4DGF1FG4PmQ
bZbs6E9zEMv+Q1V107CXsIVi+F95E+ydRYwQKyAVxaclqfpX3qTof5BNQ3XAOhAXGhxnjyg5H1F0
WOF10kRyzi/AQAFQDb8LXsrb77hTaXgb7FE0ocKdFVqrKK/pF8x/L1z8XkYhY8TLC2bECx/mVWye
5gqL6XnCdFOSLopW3tAz9bWf2oiMjEjO8DCOFeR/r6ajBMpSi6jjEkxerZZwSwqKxo1n1eZVgDUL
zpPD10gyMW5F28ytRbkeOeBhdyqrGlVEZBQfFT9DXj+6LOdwN9LoNsJkgy7bE1yZz20j3b/aHydC
+FGy+nKJIId45Ishj2wsKoqvLlFajGFSc2y8QBWZV2ZTg1KWHzgaYOmksM0tdSu45DoHxzXIq48X
XyquV5ny78XxdUQ9kkqQouzt4nJnlUbil42XElcAcPDipW8fL3Esqvn7HViC84nEHFTBcg2vblAZ
NF8d0SohYI8MkxUkw0ug8iV9gRUQkjvGz58rkBAI/nwqE5WhpcSpjYTdDeTLg6yOO2iUjC11bCjD
qgDuMWZnNuXLIfXuOUDr4FhBO9bSl0Pu1TUual+YAAIF0UxBylZNjtLVmz6m6UDuvkdd5ys0Icdi
2ufOMYirULSOVpneiHhUHXa6K0vdt7CuHoc8v5uDfFuADndwrTvnMn38meI9C9Np2c9w2Cjdj94Y
/JRIhJhUeJlsXXRTs410JLkK48wxe5zVUD+xDkxCDT19vF6so7cGzSGb4jxsvNqun4PcKi8b9IbX
qHPnaK6YqQdSnm7flAarOaIVikDYGR6RQWB7szmXS8AaTyb8yXj0iuXnr16KnuVmmiZS7UGXASyG
4dia+UgPQ2OaNi2iHmSe7TA9RGUkOb3kK9+CRAdnmwIDl/WkDF3kWaPnvkQNgP53YS1Y6XE3TxBq
4FRn5cbQpeZxrP1L6DNXZWVmlzoaC56S9Ls5nssV3fKF9Qunuy8VD03w666UOg8HaHk1BOZ1nxSb
MZ79L0XRKg6WAgdbVrUtl4GSbd2vma7pG18Zg8+ilYU7gl5j4IU3NfSEa2jW5lpEMLL0JI7doQYR
AiD7MCRSusalZNfSr4a0L6N8YQYuwjTSA4pkyUa2g3wdiPFJZDhIKAYYKV+W6ChvNXVQ11rf2gco
jeuPv+MXt8rX38jyOjB4sCFSQrDjs377Ooqss5hVNjUit8gVMyRNEFoYQpdP55PJV50P0ac2tOGH
j9aYr8oy7Dwzr8UurDT5uYv0+67ThuuhA0ZZsLNd0LKm12TFtMzpJWbiwWXT605QI2GAkWwgPYw1
PyzrABo9wPlHxuUThp3dlkMEV1Nm+E4gW78+vs9THxj2b1B08DfibR3ls1MgjzqGLjXxuJG+pDiD
XAZz85lJ/vPfXshQafdxLC2+jC8+sK+2t1FZvVnbZe3VVNeZrl8aoB7xsj/T2Dxuur28NjIE0Gz8
JY6XGWh51rRhaq+U02SbVzP0EgBu0kRDg7OGOUK77pv0W8x2O7P0qUe53CLq8bBciSJvd4ysIcdX
ttxhg6rFMzSrS0pT5ZsPdu3MSkdFyBKtIBUsVEBOQ+3dSv7c6G0q+6U35+aN3lVQwFJxF5DNiFlA
sSl/fvzuTjxUY6HmYpUhg2VeErnXoUmRej8fErn25DYCxMaoFFa8E+lGu/JL5VIkitum53wQTzxO
FmXuZiqUWbzNt4tKuFWlYzTUXhZoyco24gOevgiBifFcM/xU9DfQGVqir05XXDuK/kgNwDNAwd5T
zfI5mJAAMtGksXUE81AvW+nDuBtg6FVyk7tNlvz4+OmeeJsG7fDFx8VGPv64T2yjsN36fl57xYxV
lDrn91Gd4nRfQjBJlc8gXOzfxQyVyF989Td19HJDR8HNoKgkBaKSNg39+IUiajmPtVR5amvrD0wg
3IXpEEY20XdKP03TGK4Qsy53xhCoa0ut429WU66H1ig2ujHMu3D6Z7f631/U8n28uygbO0hDV0Hz
HL9wA4ljKw8W12Bf3mDFgsqYNX0v7R+ocKUgXUYcjeTuRrdV2nOIfJ3Jik6+BhsOr/pS3NOVfbPJ
TV+L9XqgEtaH+FML9hBpqINq5FcTczWwDsHq49d+6h1o4K/IOAgW73xPJkMKOIEY1qezvVer4oGq
/Mx7PnVLWDFxeFFq0Rs6OsNQgu5Sfx4qtGZDsRFtn7squMTNoExfgcFedOc8ft9VIEQm49WK5lEM
DLB+grI7sWJR+uvYl/rrEhWvVZb33xu9hP5amzlCTIWF8CIYVp1UrjOSb6imXaVGubVhmHq+2Xzv
M/UyWARgalMbt7EZPX/89E9FF6Hg8r7w/CkCj+qQCV86Oe+7ykuk+N5E3X7Qqis9Dm//u2WONlXS
gag0ur7y0F+UV6h4YYQE28cHh3LmTDiRPhqvb+goXBZpbUczMF8vggQACHSd9dJ12hn3bTae2VYn
4+XLAURHCle/l5+/OsuxLlJDkeLTE2tFSgcVaoNtMAlWrhpLv5StdCcl6VaOROFBWPr08SM99d1g
VgPvf7GP4X9vv9NhjKJBLtlimZrDtDOs/qnJxvJMq/HcKsvPX90i3LlRDcnMvAlcO70CRFn/bit1
OcYXv2NugsiPE+/R55kbHfrcpVl6Pn4mnpSPwXqePqFFNO9GkzgEoN+VjUZhbp1qO18Rnz9+ksft
1N8XAPKJgIfaBx/D25uMx8kf1THjUZbKY1GlDxLIPETgB1cJsi9jlXwTZfSrVdN83aI972SwjD++
BPvEd0gXAF9ltFKoRo9nskXEm07KvPQKvfa9uU6fwTV/6vPRdGp0D50e9VyEvdLbaqi1fYZDlNf2
iFtEAnIPJeOKvkZy20x+6CmIqAUNQ/mi6dMNCDakSw0odGOS7FIk4uqccVNdzFcgToINOmsATcLm
Ao+le7yvUMaE/z2OduK1LXpPFS7MnonsmatovbxqB2mXVvn8tYsiyqsANclcapB15I0Z0jzRiFYY
5yAGy2ggYRCjJXdDmKYIDYqbsjZ3CP6GwL/Av2C+pbjhkF1iXtoehAzGVp2jddcGn8ceYHeZaPux
Hg+BBTwrgUeIYZ8F1GAGtAgwS14JuiZAreaGeU6UbnDfuDOiSYVHHBg7f9auwxHpDcRN83WYDPk3
ZbZVBwbjRZXVg9fMMKYayzr0gCI2E1ILrlECSlUViAJAgJR9AhFoacH8ynTzKWqwfMinXSTF6Spo
bGjERa1fLGOAXQFJ5uP9cCLTtGQMRenMoVtDHHm7I0eUHdDJ1EoPtOhlXwzf0OP8pDTxjRn6d3KV
YU3Csz8TOk8ckzgvAhZBU0jmQD761v041+wMNI7XDnkM9QfGTBiEt3IT3QR2/Ik/9R8sSMHF3IZk
Y0ni394lPlB4vIVV6aF1ObllasGDDOW1ryR7a+4Bl7T5mef6ruVDrLEQSQHfqZFb4br8dklRM+eF
j1SQZKIHVOloEtIYiu8KcGtOn0ffu4ofGn1iQ03Vb7Msey6L9sCl5ZeBCirdL8N0p9ixutKjcbpm
opA/CWCTm04xGie2UrRwPt4Ly2N/kw9qsk1to9D7AeFkmkd7wUAhSLcLOSdJlW/nhYpsnQmA74IP
KwgKDCAay5Y7rtgKpQZ9o/e5B8f+wPjwxzLAyczozIDu1DJw9WzazPiWvDejBW9rBegn0m5j5Iwi
O160sB3qc8fyu33M7di0eKliSKLZz2/fcQUHRspz1mkaaK2htYXe4CbSXZEOV7Zv3KBjtPNllm4Q
n0iMZzRj91Nt3raKeTE337EMxe3uzEWpyyF2/BZp6POg8ZPGtWW56FcH6QyxwfJRBfeQSLwuJlQr
cHJWTJhP1cos9Y0Uw5+2zVVb6zu9Mdb4Z4EQ+5YYCJIaihNVuZv8wMDEtfXZERU686rtQRdZobK9
zwdxB8NpLcG/qrXOUbQrQF+7j/fhycf66g6WmPXqDpqw0a3G1nIvbTVXrZ5aoXqxXFyqol4Ltfb+
g9V0WddoR7Jpjk0JA7uTIxMssAfdFtrpNfRdNOugmBa/IvQPPl7s1M4EnvKvxY6iQoZ4lWJFLCYj
RDlaMAw60zGNh49XOfkA9UWria4MMehoXyIf0zYWPFjUayaHr9gd5RBm14Fz3y0M80zYOH1Pf612
FDb6HshEiba6h7bqxtQmT5fuQ/Xu41s6vYgpZGazBlnL0YPzexNN9lLkniVNaym/lW30PmEgfbzK
8lvefTukA/9cZXmwr3Ze2qPZaRpqzkAf2Vb7Yn4Z545rRfyXt3O0xUvO1B5BuNzrtWJlZT9S9Zte
qWc228ltYNAbw0+dLvdxNWpSC/cZQudemTaeNPzSjMorwJZLKDyj+3CmpX/y2f212nElGsLX75qB
1QLRrEckcxE8dSYLZfLOOvOaTh1UtoH9HXAIkojjzWBUcqnJxsRmkDErLoZNZplnnt3J/fZqiaOd
0HTA63tpZCeY6ioa9rhDr0LApP/BfqPdTVeRE5e0/O1+a3It8vOObTBMl3ooU/dg/ylvUdL/jxZC
YIrzkMnocZc2EJOJgwxHe6tHzmjCzlYw4lGZ/2dnjvj324D5ETqQixc8++44nOZquShDWND4wOVo
WrVrGqxWq+46Ls9V4O9POpai2UKipb00oN8+vV4tQ6WjYeT5krmB33nfp6UXKuGVlIReph0g2OZx
e+ZJvt8YLEpTHSwOXTN6eW8XTZAER+dvJoVJ5rVsPthFepU1w5nt9/7TXaZwnEfoHRlLs/LtKjb0
jdlEwhamwLymCkSZIQOP9xD1qqfNxpl3dvKeULfR2IOobynq29UqWjKo4fA9tVKyAmznpdKwzmAZ
f7zbTy5jsAijcibzx47HgyikILA6IoTfuwPkW2x/XYkR1sfLvCtpsLjVyfSBkzNilI+fXYLdgu0D
Kvc0iCO4r0D69R2qmh6JZhlLngL1ko9XPHFjCqMPIpHMlB3X1LfPL4aYmITxlJHWIsxdSAdeqVN1
+ZkIu/yat6cTvoKLVbROC8N8NxVAeEqCQWFlXtDIyB5bQOY/IxyBvMrfvx3aTKZtYtaM4eNR+hDk
Pf7lNmiBrBB3GK6tlEG/odD+jZb+t/3nU7cDjpcSCREllJePgp8yJ6mWmlrmxXFSu5beAKmU9DMH
7YkPCVYCuBYQAkybj91scYToERGfM0+1p7WOYVQm2we07dcq0AykJJ8+fnTnlju6J3mSB58qO/Oq
YdrEan2Nrb2zlAD2Im1fNN/+g+XAdQDr0ZinHzdz8rCQVfi0LFcCALNsD19AL0T1J40sEHrNmah0
IuAuIEBaR0zO6aMdbQzg9CHM7SzzYLihL466wVyhGwXGWb+CwgP52NwuNJyPb/LEifJm1aPo1Bko
OaK1n3lofbhlNMNdAoCKUDg2j2ci1KkGHaBzunM0BxFMPo6Ek5Ulk20HpdcgPGmZ5b4bJVTUsvDa
0krUuC18Rv14poKq1F+9ZN2JejhnUf0umtA5wN2XiS115YIwfxtNxADvt+3Mgn5r5uopiPKh1V3O
g7+dRrEQwDzakKgwM3M/mh1omFjhBDQWnppkj0asb5gSn/nG3+2YZYkFqC8ssTBAjt4d83ok82uU
IpJBvW+GunHDPMeJNUQBJ46cpf9vBNqt2ejngti7U2BZeen0yjrSJxTqb59iDusRTym5QEwn2ieW
/pyW/mcowDdTmN/oBe7aedxf/s2d+rImbZxloAZq4ujNIYlgzXKrcLeJXmNeP99VerY2I1wCkUE7
s9ipRwuUjuC54P3epXTdhO/ViG26l+rGjYQBElJRmZtoxkVpYs8qzDutMu4wKzrTXDn1YGmsQBYn
aWUkcLRr9MHghBOQGHssYZRmDa0XgXl829AqUNAlWRD6SfLw8ZN9ObTfnH2crILJnU1SCUhEXj6a
V5VZ0uNFo9NP9vrZTnYchCjpMLAUjf6kJWPgoAFgONaYPUVGuwVgscqT5EKZjB4ziZnHYtrVGlhR
tgmGaXaDWtMt/Bo0fS0VdFnr+IcQJWgYqUFeFi2j3NB0V2nqOzPRn1CS+GainYhJmPJFSzrdobVy
NZsJ3iU4qzjWIiirqQhJxU0A2sa6AELQO8iDhavYTsJ13VTYFpq1ulkYFqs+qs6ccuryHb17PIBJ
kLezNdUUR9+ZngqjtJEORrovY4ZhSsJRlxFk2cgO2gz6XkwQ5pF52U9LUz7EJPkRl8MNNgrznRyK
VduFzdossp0+F/FaMVHgHaQKCmgkvhlWnK3iILI3xWJy+PGbfXdi8mKtpVZADR7GzzE7rQ1whMUZ
iD6pMQYuHs6zg+OBgijBGByskrfaIf515ts5MTZdTktyAnokBvj2o5MsTUcdLLReeIto0KZDhs1V
U2bwJZ1pQADIbERzltECw267TCPFFQqztTjOEb7ztS9QiZ/Gob3HZB6CiDzfxiV67mOVVmu5QCn5
40d04lRa2uSahtapifz48SeHX2JQmR3ND2R9nbqNP2u530JrBvVdwdpf/jWXiaaignAryM4q2w7q
oKw+voz3AYdDn249jVXctMCTvv0Exxh9Et8ack+akot0kq9kGRHVBvvxEEGAyT4MEZMjizTu43Xf
Tz814ir8raVusDlDjpolej1GeJ3SZkUbMEKn0fbKcEZVs7WwS3mq0alml6KA1SEvc+ae353FR0sf
3XMFmT7M5JQjEgUynNh2UwGCruzPvOEzyxyDwqxeTUOzSvgI7P4yTzE4bhsEgM8hLt5n3DxIHBJM
4ujiBrD8/P/IO7PlOLWtS79KvQA7aBdwC9mnUkr1km8I2bLp+2YBT18f/v9dR5Z1rNinoiIqqm52
7LAskySwmGvOMcb3ZhEN1Vz0BiTOrRzNZh+QUXzMNPMzXPjH10tnkMAWApSjvhR0bw6jzw5mfS0p
UeqlhB6Yt5EwL0UcfR1c99yH+CiQdR7rpt7pvbP+T26WxTlIe4hNkvHuRVGRCsEMLuTglXJY/BR9
kLxO0Fg9svnqjlxTSIq+09wBLd5/cuxl1fhlFV7uljfHfnfiiUItTB+s3NIK21hutm7EouVl1joR
vzYMd7WZPI2Ocje21QUh8J88KL8tpcvhTc1GuUtfgtbvr997WNjjTLwNTUXnazTpQFnCo6yvoJzt
bNP95GDLufx2rm8OZvx6sJk8CebWdrHNYcINtPnwka2kpSM1zP43D/Xutg3ABQIDp6VESh8uc4gZ
rH7acKOjF/vzFfz4pCzN5bVAU068W2nIaKxqofGA9LCc1pUgXAcV48gEeZ4udUFgwn9wPMTWSCsc
nYiMd6+hHE0uZjnObHKbfkPEd+iRnVVtgibXV/1oZJ/coR+e35vjvbtDbJkOvZ5z0SCnnm1Nnsjv
39cOpHq92/0np4bAjikUT/t7iR8JproGlbfYQmZZAhLNS7ct/SbLQUCln8nJf6tJlzv/p0eNRjet
hHfXrYUIENDQ4LwmXExCEGhLAE7vduu2nvdJhsFBMe7/fIJ4ZH5/BNgE4ylWKV1ozbx73Bm0sc6k
FF1CV77EsRpgnMzFhlcYuS7FupVqdD1Vo1xPxvRtqhKEsAxfV6keG4gk1NtUqX84JWaE2NEH7H1J
s+96dBhZXd0Spyc29tzsJrqYdWmcklG/xiRaekksxv2gRcOGfAYFxxcZ/j2cYZ+iFFa9Xt2jY2gv
phKnIImA4yZsCvMYAGhaTB/knosuhSHRB1wY9M1ug4UshZE75M6PclDDHdGq1kU5xLuhUM5Db+TH
lCOtYJ9j5JXqQesNh/hk4xjItNsMC/d0LpS1HNx0N0C22hY2Z5/m82vVpeYlAdJPITqI1Yh+toba
6tl5N2wdU7k3kiy7aDXti5WJ8bZjO+eXxDR7ulHNpN43xE9MgQ04tCw8gvXrvRwUckKUrmQsmBz7
edyVVZZ5bo4Rzs76+jpKTGfbF3ZwZZq5BuVQw/kmkMWbFmW+0LpVGNEBjwP1uWr7O6kEimcU+pUd
aPuUqP4KOaZubZq2IvoOWfVztAT6x5beMqY2oNSGynSaUlWuonQOrok8Hnyg2M0B4bHDmFlVCBNW
oVgtIhMZpel3kl9JXtCn6lJtqJWWKKWJaCiiKjoLbpieXDgWxAY1N/eNGllrU3TqXhbhBZZc5Hp5
JvfxwhkoDO3WmMKXIJeJl8jbmG7IgaTc3BuqpvQ7J/1WmFl1OczNV/aFM6ftrgzkHZ5rzt3WMIj8
kWq5k+i0iZ4fcxZt+OroAZydqxmMiRNtN4DpcPHk+8KdDHrOibVCgmvsAL+QZDRz7WSA7z0eO9ub
+9J6mirmTsDek/6In2JsCKwONlnSEf1LV5QmchMdZBO39xq+BHzCNRRJO9e3Wh6KlT2b5cHs2xGI
ZUhCSVI36yQsn0qHYBMSTVLM0FJeE+gfsJ0x+r3SBqeKmJ1HqYTWIdTD9NwElaEAAU1sr3UJb53M
4EI4irkKTFOSWd4k24Ivvl2TNSWNzQApo94No6acBHioBplRQ5y2FkyE+US4wMNoQ3Bxe90zltli
kE9ZTUTqE7ky+uh+CjjTVXXM6fHtFZUYzrZNtklZCn69fLAJnNFyWb5YvSj3QWLdsPEj79XmXe0N
mNb29SC6l8iocIbraJ28YmrldyuKdFJtTTnUB1evpbNSAOfAJ+jv4knb2eywybSK/C4Y15UiySJ0
GalEnTiMuvVsR6N2rFUNK1GVkf9u2/MVPqfGl6FCbh7XZDZ6tnR1CzBJ69liYO4MMr9YQmAyDb6v
lyhSXuhh+NKpUhAQxwshN6zEWJEFNuN8xRG0DZ0JxxR1+qWdt2S5G02fepU2taFv5LMOZ7BEqeKE
zexXeourJAxrfavYvUz8qhltdW0nZXWlKMVwsnN3OLQaz8xGS2Dd5UJpb+NJ0fYmiaIEl+Zm/I2g
yis7clp/HlAplAP0hkEN1GtlQBHryZKVbCL97iJI5H6Q7SVgPUk0bvFq9aBk/CqKCZWp3bnxldii
iRZkgdhrrRUSyJs28tIqrJvUIAG2Y8vn0jY4pmkE6r4KzFWtjL6amlfAlM64r66lZm6ioHqsmuS1
mSrFg2t/tLLs0gnVHXjggwlu0rMJ01rZdhT5faM9kg1NH0FFzt47CeIfor0mLAvbuS2PjsiuZ5Uw
QCduivUMqmFFwfyEhLxdiUJ0m1TVHm2LNwYIj8qfQuMMqxheOG7w7Rh1Z5pMr+ToMddoJ7kaJJyR
yJQ+r5wHPeOP3c7+wYF6csCDU1cPx6CK74veXEnjcehmzGVN/9iK/DFS2UQS9sCuTq1AAHW3cIBP
Sl4gWOnInorttVRMfCr1zdCZX8n2jz0p5Jo8S3TE8S7km9Em91rpAh6xB7dvWk8R6pr0j43j9KeC
RGbbIQlRc6VGEG9PyndN50800UVQWH7Q5d+TgS/QfYhK168r9x5FzYbm7J6osx9BEm6TvD2FWXSM
rH49Ov13NSvu8TDDF9bkYU71pbtH2Snw+STGra0pR6AMvsYuaoothkDqpRE+a2OX8ZhHj0MlTkZq
6z43Zu3LtDgTZbZzBWvBGGbFjaLxpKdz/mAMkyfBDGtWeYW81xdDZy2RB9+iIRhYXcNLU8tXZqw9
K2Z7bQIB2bPOeFB4vvBMfUmHybdtQLSjVnx16VCFUX5Um8bZhu6NCAg310bnJS/TU5eLE3n8mZ8M
3I6yUXZTZh66wAI0wB+MRlCekzDKVrVpwQMH1pJa8GAoSIh07oBXTKLzTWfemnV7kxbjdzm1w6FG
bk12RCtDMW4jQTbc0xSNQ3xt5SbBttdBaY/RGlsbAc1xOh9ouf34c4H0QbG5CF6xyaPyM5hP/LpD
iJJYXYDv5XZo+wOktm0eKViBmo1a65/U0R9tOTkW/SOVQY8m7Hf7dLMUMulsjmXnJSt2sBHTi148
mG0FbaVoaTsb5mqieVU5n2kLP9i7o/cHcqjTmkDd/m7DaapRjZuR3a60xN4BqxCm/WlWrE86EcsZ
vNtvvT3D36RzeRMUccdhpmw6hjGNULL8eSVUewlhhPwTWB2RfYCO88/3DL8c+N1lbJVRaXJiy7ZG
4N4RcrmximrTE02mj93hz3fMR18leyEHSR1lNXblX++YcbbSsSrYPysFaHdDu6Z0JWegv/rzYT7Y
J6OM05ivM+dx6Cr/ephQLzUxIw/e9rL3hPuoZ6Sd9Qayi3SdKvYnU9vfu3d4XFHOi59mU9KE3u2U
TYpCtQuWTV4fLwHCyqoNoq9dnSO9q/aKmV/UETGk4YKz7+zbbGg+GcJ8+LW++QDv9s89wUFSHekL
1DEG9UzsTLw8mSNv/vy1Lv/Mb3cokzo6IGR1/JbUkdViZuFlE0ZFHx3o4dcej8JnW9iPHnWa3Jhe
XJCifLHv7sdgDAjpm2gYM169APaMMRTDp/Osy6tJV690M38ITbnrnXj95/P78Mh4t5doBfqgnOav
9w08DFuvso4nfWoPQh0OeTkou8ZJv84N4hY07TlMDOM+rKODAILz58N/cBU5KIN/5Dsun+Ld3j2N
spRcs5LncM7pUXcTUDKbUJ2m18xP1poPNrbkQSwdJB2ZNhrXX090qmB/jk1dbqNhto6VBVgzz/VF
ESrjXWphrJlbIlRJ5hOfDDI+uIfeHJncl1+PXCkF7xKbk7RbZ7/MswLH3P75e/zgtbR0JbiMLjIU
4jJ+PUQ4w0mCNVYCxOuOhdg5ZFuxX0Ae88mBPlhmligyOkm4DEHDvnvscuE2EQmL5dZJmye9vmmm
9BX48bpuw6Pdik+W6Y9uD9RC9HVx7jMle/dYzIozNgQT880Rjt50YtMA91gilv787X1wgZYNoI7h
llRBRp2/fntNnM1EoLN2MiT/0ix2Mcu8/g8OQZOa9jGJGaydvx5iJElMrUiK2o7xdBLgyTy9+0yI
/uFpvDnGu9ZNqI+FiFzeNKQj+wzCvC79rA3+wQWBGMqbzGK8Tg307nnFiSAr+hWIqlyV8J/4dajM
XYRC5J+vC/z7S0YLO1F8nO++rgEV8UgYO4I7e34Y8uTrYBAAhsV2/efL8vH5/Os4774y2wyH2qp4
i2CfUOCVDCvpOHc1PeY/H+fjS/Ov4yyP1ZvpgSInAzMW50PsyjXk52sljz5rXn94DNCxPzMuXOu9
v7qfRCNcgETsT4N1H+i7uvmsJP34EIsJAbspi827t37lTM7IoJyWZKcckq64GIbPgj0/WMnoJS4i
VYJ7OJd3i6U6uNjUXAoLECE/zKAHYBN9rYkhnN3PBswfno3NxAjVngEHfPn5m4uiNQEJ7jWmgpFC
82coW0Ic158v/Eeng14D4SgX37HfJ29pbpm6Q4qcE2XMpauUtTc4w8aEdwFe7z9I6vz/MV3K4sL9
+3QpjHpEd97E317eJkwtv/N3wpT+F08NxmZSEHA4Ix36V8KU/RceMtLwmFLj62f1KMpmSd/UtL/4
BVpcKJmQFLIX/18BUxbRU5RR5FMsaisbQeg/CJj6rc7mMSD9x2K/SRAQMaDvFsI5RBOaDo69nkZH
u4tax9g3onVXkVbJc9EP8XYQsXtRLh3delKDxwIi5zWYxvnuzZd2/q+S9xe3/7K0v62E6QzzRFp4
v4hTwOn0fgnLCe/PJjfdyBKJGcndpLJJDMMHSIdj6QNVw+4YZfplw/h0rSgiWtH3ohMNnO5rSvP5
+c8fiNnV+09EtbwIfFmLwJj/poYSeE1bMhH1dUfIggd+WfEsAD77Ygo1GLzua9RkI/DnBg2GIyaa
TGPZwnkd7DUaB/VitgrtbNFd86fZMJ70QLG2dUNQ0gzYaIK7uumjrstWMe7QU2eH46alT4v0RL2p
re5boLfhusyG/oI0eufEeCu6BEOpHih0O4hVRk5sdRM35xa93Y0dlewuc9s6un0Fw4W+PAojRFA/
jNEU2zztgyO41OLEnscmcz87lpJ5OTqM0o+VvN9Kw/yWd/Q4hzL9wgehgW1F0yuNrwKFiUKHsjUN
P7TDGzPLjqMbmg9ZJ2qgGPn4kmpmtBmjywzOGfIK45utpM8iUS9lVN3LobM3pJ7jSyriU1pG2RPB
nwSPV1p0zVgy8mx0CEQEahb8xRCeEKSYtWyb9jTXoCkMGYybNLLa+0IWKVyXot2TrIl5NNOMvQuZ
g0BXcwI5rVcp7TLjypVAiGiBx2urGgU99OQbsetjhbVCUa+CXpF0JxPmH6URRIxO1Akya0ijPlej
zINApMNssFqS9CPRmC+ZrOPsQPDIhaJFcbBrXM1P5YxiudzBNlJ9ZXioLPVJ2Fy+KoTwnketoKWX
f1Wm5mC00Q+6IHiXo26Nfpd816RTdyHpKMwhyuaYqK3YTYw0V6PIvrnOAuvU4LW4pdyDv5g8Z7C6
U2Ea3ba34sobJjPxLEseCXOP7qH6pn5qdsoqmdFyDKAqo9L4mrjBph01dc80Jl/xQkUSaejZnU3b
1sOwexFlERHw1fSaMFdYU3YhB5EkOwHRVf1GRN816MgAQp7SdtaYdAQdMK9Uem0KlDFIrdtwJPjL
zOqdrahMnWwnJ37UvjJoamee4jj1HoKWuqY9cRP0jS49hOc++TPqucoI79j0TuAyshDmOQzCaTfN
vXtPoCaXtIagOVcqzOm6DeJDEKvaVSnS8RwD3cgB29oVqJZWnAsgrRcF84jlTkaWtIYsRlh7r1d0
h3tFzCnkTBkdS5Y3aBkOyadFFWJl7qeXWFXTa6UWW8Va7sE5NRWbePnSIDPVTkVwFKB5o6tyoE3m
x7lQMPu1UEAW6PnE2GREe+PAyqxH7VotrXHeNWUzlRvbGvk4piTjn8ZmegXxdLTC9Ims3z3pxXdq
XFmrbghBUgV9ABciCzz4HfTsrVnlr0bVwTCldTMlc+eDyCk2ek1irKfUDUHEpf6S2a72wgrMIMeK
stILgM3AH7PNiDbaZH3JzUD5rkZ2fw3xRb1T4JWcjCBHzREEdv2qlMHsl3pabxQi8EDKTiAN1Co6
dZqEvjuOOvHMLbkY8Ln2QRBHKzvr5q0hsxyy8RjFO4jm8yNzhN6To9reT7Fwt4477HStlTtdxvaP
tGPRXqkaHkmocfVtVBAt7DdDLo6yqeIEVJCG3TNhLjYgiEk9AseHVWzhfiIoloqppnlsTdxojd5I
1XMgxd8U3GGsadyu53y0uocoZQbgzQO50pveUpK9apH1/wCRTTh3iaHlDlQZuH2z50RWU32fnXpc
pkeJFlzGpplsXLfF6pl0iVhjdFTJlwEuC/xSdf2c0a94sEtVuwvsAtBJwGAD39HZsWTTeE2YgAlK
Te1p0oH61CVzhKZo+m8y08CParaxT4xCriA5EiymMbotK7cyeIUmEnaPJddJ32q+Q/rE3qhsZNlF
n+Tc7SNAJDcYD30ACXQZ2Gh3SFYhdNSwjJkS2CHuRLUZx3NohV+MMXALv4H6wTpRBBd1amf3GNjI
A+jjXjf8okySb5Nt3cYN3jDCCp3xXKANO3PLjGcbqfFFUVZR5dVFRJJ921ba3bJPviPUfzy7Tmbt
ZYBPtx5YMNQQY5BJe+o2chq5w6uc34ZTnt3qQjnzvMt9xPd/6s2eveEcqM0ptOxwHYOQIk2ZGRwE
jwwYMBCQLCkQwpd9vB2bgRt8mPMbIYZhZdRkZgO0tZ0LNzH2lTSIWzaIertr5tp4nuhO9n4+ulp3
Gy9Sy06bwk1YDkmK5LFj6BiVTqMyqTGrkx2Z4rFiHRo90UN2HfiKfSXMwsQrbIv4sC4Ph1Xdg4Pm
/+qtbGAbxgXQNFlW6TVIVGZWhar3CxFLXLP51XoPt3KjgQUpnHVYV/MV8GIbPQFpzJpQjGwtUiO7
gR+31p0qvbfK3Ap31lSyDAxjd5dP9sVoDsaGm1BdMGIlj/6Qr92MBPKVOkhwvYrs+7sJHMg5TJr5
uhhKw3Oh+mwhv8wXuVYpDwjtM1Dv6lYJyDxkXGUdNDlLAujS+jkDAreagtJ41rtS+mqfuLsyUEAD
plFx1zZJ/RzWqjih0avOE/lxl4nSuBsRmgx/phEajsZzFzqO2Ey8NmIGvMag++Q52CRFMp0KEoNV
K06e2A+mN2THYA9SZbMO5yY4zqnT3aqAIRNf9IgdCf1SQASXvcEcP+kllm+7rT1azNWz247ORSDr
O7VIqpcYIRHLj+16PAzOSzrpvOqUpIzgtlEaMpxu6w2gumw3ySi8F1oxMLAvdHFtNHUPDRSs22NC
SAlqjSy3DhZwqtUQGAHDULvk3S86p1kJlM0BL9SoOVgtEfwrozXa124Mw1XaiXVtN+nGhD54bmbT
2cjKan1NM4prF+rdSSUz7jVCjqyufj6D+pxxs0SFICXQZCQOuoQUd15XxyTok5UTTupOz+rMN2oN
gHI0ZAdQMtXzzwUijOP+InHd4BmSorPKOje4rDRINFRwKk9akBbxftKUyPS5s8p1QEa3ANhsquFh
lkZvntQy0++aLifZeIj1u6xvQeQCwKlGd+UmjtHdBiQlv8YDBERfAI8gILIbzwTwtPF9hEy4pRKJ
AOANiuBZM1AZrnKn4YYfGZsTAxhQ1YlCH88/X8u13pKfNrS1+wP4CGhBNAevRau6fekZoandpYnK
d6vJUkWx0DRauTJsbVjIy11Q+AT4JeMmD8Pp3LSds2KqJJ8wbCFIHcLgHOWCFi3jUYISja56NgBx
nQJXG5jT1eZ4/vmHVBrckIll8F+BisHgaZHVM4klzbAqe8uJfWx5nABcJtY3t6ZaiMZKfIusPP0B
qNTc0yrj10yBdsQBUxmu5aiNZwJGqme0HdVTi559iXtP0FNrneBHYqiep3lQzwOV/7Yaaw4eZ07t
d33tal6b8B66zSF6HZtyIO/EVFmYwqnnTx2zD89ugoXj59cfuoN7ZVr1f+2d/g8gND7evv9fmOi8
5Gj8+z33Ovsfty/Z8PJaNm833csv/b3ptv9Cb401EzetQc910Zn9d6yzq/7FGIttHWrexQL7dttt
/sVGeEk7wqqw9IRpQP03D0Mz/lpuclSOP9XACLn/wbab3KJ3e0uC6Snh4UBYumoxolj2nm96Q7Y5
jxOeVGuTDMFdj3X/Nh2V8gUE3bzrrDTI4PVa3bp3IVB6LdREwx+GBW6g5c25gw/mi9jJdA+2AXdj
qyuAkApIlM+l1gL5EQSvw24Ix6vQsYPIV/EKkYvSjStQ2QVVdhZ/CYRR3LTCmBmjAVi6RmXG5tPV
0mNVQse2wxAVlaWPwstH7A82s41VXtr216Zzk5VuLSDDYhpEsg4aWNv9MmjFjK0aj1GsGDYblHR6
KpIW7Br4A/UUBS12kHrOleukmbrrXMut1youanPlzpFeeX1bk6kH1t4kZXmAWIsbpA1R4cxZuTMy
tjF+wHnYq8yKbXeX8Nx2kLt0UXkaQvvnprTni1HX0k1No+xL3NFI8TslIykKMh58TYpjaLpAs1/S
3JoOQZYvYO5CfmE7EMCRb42Sfw+8Ge4HUKJO9QrMb6YvbEyEuqbVoofjAuSI98PuKtONhlMfjZNG
VESyxjyjHpC5bwvZHagixGoWzg81tLq7ELpe4nXkc7A9A3LCa04nXpapbn7SMiW5LKr8bKI5fsUs
MiJVa0Qyk6VQsvihHIKqYSmZeh/yrg3II+nLl3JsVaRGgxvtuoJcMXXqnsa0riikC2WX5WnldRWR
9F0rm1WQ6M+52RnhCueIwvKpXAbWEiYFkjL8ERiORcAc7YI60e5TrYG31qmnJuhhXTeu+WVooi+o
fIApwouyqZfJ1reVOgq9ISOzu5bIbmtqWCOuDuwcio2keD5ROpwm0V+GizvFTnPQhLkztnwpxKCQ
ckPYaa5k03Ww1CIgzmxvkWDe4eBOv1kd8UnWJPN4a4Gw7LiBHOdxnjWDxlRC+VVNd3NUhhssANWu
M7oAHmDhkG1lwNwCY9KO67Dp2GknkYUyMUtuBxxlWyjwPuhJNuBOt/Csih9CIolSRn1Yh62ifLc0
vD9j2780RZJ4at89SX26zkqMTZDkCHvRaMdE7BbLBJKrHvVfxJhXbAjbYlVoxldg4rlvRgJWiI6l
xW5pBdVsir0A1CF8l37akxNKQHBUtZvCbZuVRKs5du51G6T8/UQr7tLa/U4rhG1uqefrvmzOldWl
q5LawCtb7lNFU8KZyEEyfueOqAo/V2xzgFeuKOvK1MadTMP4C7hl9akx9XkT6lJSv01VsU2FnrJl
169LNS39CsAj8HUtXuujKq86k95UlosH0CQZZPrR+ErikbC8QWuNJ7aJFjdQ0PQEhjtp5ddF4qps
pwS7JV07N73F05QqJvfqBJDTKnF5KSQodsRTQ6lG9NmIafBnR9EPIbnu6zQwMy8BoIraRHdvbJoE
nl2X2rqZTJemVON6kxm2mzLQyhDVkVACj42k+6CPSyvGqWCCFbBb15CmHWNlkIF8ZyJrtVZzHTvh
pQqjZmNOuHsVIzZaSML2jVnNBSZwO+jO7LSRDtZ1+4hULLgdp0maZ7wk6Mc0dHOREn8FaI3pXp3S
gyvleM6yRNwyjbSgWUtKkjSOgHOGGnrDuW3L27Byg7tusOedmXZsiZuuXaWmTV6WWrWrhFVjgwon
9vOJhh1dsRS92MicGPdSIhB6ooMppsLFrpeMVwN1yUU5ZtUE7oKqnB8XpH6iXfMqgfNztsbgQHN3
PE9JguY+ofj4bvXLE4ZTAroUQBrfHYvgR++yFTkHcJcfGzIIeYJFJW6L2m61i8zuiA588y7+qJX7
+8vN4A2rMlbT8cjay1v07ctNR4w2WfFgbYaICO8Q9mEtYM516SGP9YNY8KlpkaIBdNgd2gSlVmmP
rQ57SVk/pgWub+HM7fnPn+rnKORtg9lawgYwKMCeYQdLCuWvn8pICNmKULdteiUy/FEJYAPKh7mU
wqvi2kAePt9pM7vrvvhmcDN6dVa2SJ+VuzSGymwISvIyobRcpPlu6a5MK889CHx3BgJ9ytv+B0qD
2UPdelhunj9//J8xh+8/vsZEHMsxDmfGo79+fNHYbRUGJh+f7fXWRS6BouIUIpz9CYlanLrCLc8Z
PQSv0uMttEyTftMId7Jek166DYcg3xHI9ckE6reJPV/rojxaBtzCsgFe/HKxTUW4bkd608bOqs5H
ivSQRbnhdRab5ZDQFKMbdj+/in9U7n5cyP6/TTlZJCX/vibe9i/d9/wl+2UMtfzK3xWxw0iJiof4
aApcRA+UnH9XxPoCOsHa6fBfch+WH/09iLL/QllGNMgi/ULAs/gI/1UREwnMlNYiHEdD3mP9k5KY
WGdulDc3OIZ6UqJ0FkCBHQVv67tRVCrzFBV5kSLJHON18fN1t7z4KCbOwEmpupaXYpqEP5zlNana
jbLkY16jbdolydSs9OWlSvB2CBJIn/aBlYZ7PbV5+zq8hwPybSRsrRAULnYo0u6/6jOZ+JNZUXpO
8kuZxKkXLp3gwuoR8ZqUIIpt+aRIXKfO8AR2GY5RIF8YjaHUTimd7NEZ1vU0Rb4u6x8WhSr6fwGf
zoDDTMLmFs4B2BLSWoicp+xo+4lsYactvT4iwchrf1Yu2lLEFKQnbTqp3oVLgWPEtrHKlqKnc2u1
W2WhWQAZahABs6VOv00doZyTNhkbfixO+jBO11VSYQMxCCTfBcvrzvlZc8mAJYk40Eu70i7HpTBz
lhLNpFYbfhZtDkmLSdDQY1gqOkNW7ZFmKnVeAdhjC6rO+lIvpWCzFIUJ1WFFlagGSOfzNBWEuyvh
Dyy/VJOV616WIZ6EHodDSAdCZ0edtSuNkHQvXUrSeClO5VKmpqHE4AI2vG3mjZmb1v2UT/cWse67
WqrhqYj6fN8Wjv5SNgU8i3qCbBvzyv6SSZwshTbrzDPSoT1YY/aMAn96tey6vYjNTOxRyQNTrZX2
q17WL+o8FeZSvUedZxu1peLyHoct+Rg9i6Ptypm5j7T9ZGzivbQU9wqRKK8sq6wPNo0zCGtFfdfp
SuxXolW8mJZrW+nZ02wG+d5JtX41AJQ+Oq0UrxQ2vVc0In2NKZSov2vMY9eRKAzl1Mmaxlo36kBx
oRvmtL46JVlbVpQe5sFKLH8Yg6FhokgiKyKpwO/HsC52Q6kgow+cLE1IC9GLmyikEvGQkjJSkTbN
fAaCF3NoGRc4MG7YcuKxGBaRX2HT2p8jOiyN8yhkdukCLpwUYwIJmz3qnWRHN1UPFJXtymimWzqq
5i0TqvRol1HBtqpO2SL1BNf2PgOFaXqssHXVT4OSlSerNpxd11AvWUXfPo6KjDexFtvfnDFJqhVd
svlWtGnAS58LGIZielQplDejzLvbhPTQizy3gju1zN1totgFSSGj5YDbAtTbJ6gYbNLdbtKyya7G
Ns6fjIlHNutL9cJW58RYx/2UlFf6JBXuh9yIN4V0lEcopuO5L3SFhh9bSJ59lPIR11BJtozqyh0d
vWtGtj/UYFD9SZaab3eu7Qmnz1azpmmgU4z+ENOahwWWX2VB8JSq40oZbHWnyKu6BN8GcDjdI4eJ
0cDk3/tRjph/jGJTD+omT7CNQi/sV0ahpB6KXNc3C3O8AzLv0Tv1W7vR10UebvoEuk4Qh5d60r4G
qtF976IGmXDsQi/3gP0STH40YRYr92krnCi+aEIly9rLykxja1qHsp2Tad0y3ydmQFiBTr5fK6v+
AcPtcWZ//80gVeKVoa54sspCnMEsm4e6BovSdOAfFSZlYedgfAA7qDhztqtrM99Vc8MAb3HWXyex
9a3rGDwkoyt8HTNaEQ3uOjM1pmBhNDy0UWBcFsoNnJ5J+IGwqxUxF/LU12PpZWyiLlwnjZ4Ttwuu
YIMMpyDOw1PP8Js0IRz5m6hRxCX84a5et4qxIVb6YpTxRRfYR6dvSm8ci6/6xExQZTsxtAXm0qr3
9XiEIR40t9gPtFXrqtfWPOLXKIDAs2H0DatO/TYZx42S1umhrJ/rMfLjhd4dokY9Ev7unJssiNd9
VA1XbpKnnsIe/YG5SE/LGhG+h4OW7rWWqIrXkfu5YQOYeqU62qMX2DbJOlpZxmusZau5mb9lSPrG
qqUTrBpy2Fd5pdNriYwfg01eRtYzDu6H6XpZM0n+ESdglQOZG9qR68VgXDBri8Gve1ZdM6dDBXUn
mNDhjtGunEwpdsWojq+6lWYb2TL4dMNJO4xdfNuahPPazB3vDMHwvgQd4lcUkCsyUyU5I024I2M9
XHP/Vr4WoxT1ik69zRqlvBlamjvxWD+pivM/2TuP7biRbF0/EWrBm2kmkIZJ78UJFimJiID37unP
F6zudSWqWrp9xqcHXYMqCUiYQOzf5qe+Sb0I1Ocb69RubioNIp83rprp2vGGoKCtUjTrHd3Pj5jv
vF1Zih27gwxbY/6U1CTrVjYTIvvkhezMpb1GMMjzOM/9Noc0bdv43CFx5IVgKdpxCDXbWHGu79x1
2hMyUobV3O9jY8ojUQQMowaKTDN7sPMx2TflKKmbaeadb2f+ruNbee/1yUNsNy23ufPDKvPuxml9
Xscpuxu7tIEumOifH53iYI+d2FbzIHYDhraQPQiRCzYWLHxu+Dmry2QeLjt66fF7mf4pSGsyUogP
PpL1t5wE8YAHGlnaLQQEmABpDvipldoAjDiSC+ibp9PTXI46ObDaja8PgCL9UtK6GV9lsXGZKRig
Grpxl9lEZPreSKmgG8/wWCxM7cpK1WeggPO6Swf7eSV6xZL45ppboZB6PkCd6aT2mTUKe6SmVAAo
bszFqEUE4aZ7j1qeZMy4/mjSUS38/hUer7xaguqqNMydCTiS5eUjS7ezoXYa3nnsjWiWGoHprUiJ
2TEBkUb7yehNZz914jAHwYXpNTdVmZKyPi4XVmWTlZUIvoDuBZKzHVHeYYlNC8R/w7BzxHTQbshJ
L2lgLXfphEtWPvFZfQVhwrY3QwgEGTMuj4U/w5UuTctei0hFvafzNQa8jAWE+3IshYxmrIHd2H4d
6kRcJGMw32mTuGYreivx8O4EM9JByyo9NLuMbimLr50b5vi8NjzzrFx+nH1tKmHc4aVlLFH7NJHS
ETzFzoMz1SJElLOESTUEd5OJisacgu9OMJQXAyX1m3G2v86wRLtq9tobrR1GPiJxX2MQTM9REusQ
6YM9TqYIg2WRaTTkbLyjekB432+qSsj1om0Tcwh7f66ySxupjnORDdAp6cZy5tQ7akE/TRukJIt2
tBeRjk9ZMMng67J0C0a0/xuXyl72y/1SU5T9tRrKvl1uvyfy53JsRpLfzUuHqvw2tK/djwTCxx/5
97wE4G/ZAbGIPv/4aV6iGBKVmq67WLRQqv3YqG1QJ4mgzsYCoIYYz0Ds9+95yfwLFRnfKdD8D+bB
/m/mpV/xAPKnyctSBJkFqPFZ9Y/kdMhF5rq7eZmWCIR6AwPpnHo9vbG0DmssrQJD7NJk5oNbNk/w
rO7ZmhTmccScFBmUUa9sm3aFIW9/uI7/gP98ZMv8MMk56PjgXIhnoMoeEePnNG3pdZPZ26zb62TE
X/K4jJFIFVlSbmHssn09dckcwcAXRzBMPT+Hr8Q66RJqdNRjbblbJd2ujTV095oYO1US0NmhrRls
3qC5r82+N8iTSYS8Tqu1rxU/YgMsVoVJklXKuDRUcfwdhV6AN1q0MCgx6/C5ZhPg8vuf+pEr9+mn
IiBneOMOGNh4Pg2tnWgtfNgz+xgYxPu5HPppF/P5xlRrYMKXg8R0rq1HXyP4qtUG+aVwam3cdItg
UKBNT15ovZleSZyLe/RQ/je0oAbbsjr6w5n+AspZjoeBi6fz4x+f860Fc96oB1Ls02mdr9PCKx58
J4hanHhn0GHT1YiO5GEWc7tb29G+WoPaP6arR2R01SfDNh5ofezjSp7cdZl2fzg7Jbv+6TqCImGE
JiMNrAHa7tN1dCuUb8wNzq4muOmu6psZDFD3t5ORF4dCZuMjKOwVYrMYDzQ8mNNNxh88Z39n7Hw6
CUAsFZnEeYBtfNKGY7wkwrZNLHB7V8svqDpJrLOk8OsotbPnBI1SuFj5soXIbkP0iDYCnirbeMnD
CmtFtHZpnLJmNdmST/q55hBJ1EzT1hpXOIlkrG6ZvGtnU2nLwSX9FGrdMa8t6Uz72TaYLtOXpWsN
2j/09JGwvVzJzbLHbmmBjD1855Npb1ttukdxUV804CUbG/nRSKLcIO+FNQm2Cok5kmVTea+k0xpI
ZDMz38UaBepb5DVl6MaDeCj0Jt/rrX5OeMrqb1D+gUGXlINvCEsYj1UbZNomWXp9m5Iq/zTE7EEI
9yZYHn0psEg+1sEuGPUoMNJ7/LpzyNbdNMgLsb9O9Du++EbWHGRDzUgHhc6WMMHX1q6zx7sMHRJN
uQMGUoup+K5pubFtjMzBZMf1nfo23nh1Cqk5Ev/5iBBiYdKgHXKlAuYlQI55qRXKzYlZYN+bQxzV
MXO7cObqoNlN9xpj6kwLWZ77WK12zTIWZ0Nm4tcHGdlQJtIei666nMusYG/aOKgHx5QctdxlcCay
rR416uhdhGliMcpzUuPE96DPM/Q8zXg0tPrOotYuLFoAIQjAHfTqtNeHZX328qomdtgNrvImaMm/
HiVYUhcEL/0Uf0Eedb0u+thsx8Gx7is4mi1KrXs5zXUeCn8J7lMa3t6TvE7FadYC9xKF74x80TA2
nomgaNSI/t0sGdeeIM/5MjEFNI3WmsWdu6CeW0rD3TtthaZq7u+Woq52mdegx+joakShnvcbcvvv
hUiDkKlpGba0Bs2bvKjouZfcxNmsxA6hinFkTJffIZKdbaCXNIZPPgKISiUWTl9yEWjfKX8lUmHu
BLKM6mUWkFBuxUVeSfmI3NSN9wBeX7UFLiWeAzQXU3sVL/0bG2xzOwe1s/U9S9tW6IqqNBkjRyPF
g4a5JlrTsgslD1LRzeZpXLUb0aQ3eex01xn7fLt1h2OerdaWtzHe2UPcf8ty59ox4nU/NeKyqJNp
J4hyJUTE+6qNyA5x+qu0Ch+yXRYUZAaSO2bKdmtSoLSJRWwQYtGZp3mMxTswSHfJWqPDsw3C/DKt
RMBURubujLgaD3Il5ndbra1BEWmyHNupZbyrg+98qrsNQQn9lmdyuqqXbN1lqezvlxweK6ka+7oh
ObGExiHGJB/DunWwXUswvHOnabNi45RSh3ry5hdCQYI3q2jsIwJJ9xlxjv1CyJ69WQJbnscF1O92
yDNSgSRdZgenW28rM1gvUTsWJFta7pXflITnLE9JB13Eeueco+xLDoScxTutruzHlryOOyHiszXO
17OqKOKbbIY+74tJ5cm4B0NVvKTx4pJMaZjpIQtS0Awn9SVEeSWG94x39MXEROWTEmEClKClOSjL
9y7vJ4arJSX3bcpDI1nTfd+SqoJSZq6fhhJdX1pMvG449od8Gd51Z50umTDayFnbcqWhPoeNTtws
vQ66TtuCGz+n9XLexjS8i45ljMSUZoPcszkTbkGLWAZktXRadumvifskUfRTEj/N5anCC8nQKL90
Afx/q4lb+vuaSztJ8gNz6yA2xVSeGR4iBM+fgvupxE/NumvcdqjnQt3sup3rCrZQOlrLAKGBqEMn
kVeJGKxd5cmnCjubDGmf7OqwGAdiDW2S6Ptk1MyNXRrtPl3RGFde357pVkdbhhqSeCaKLUFwVbJB
kIiqq6c7SnZFSN+tOBZGkz5PqSEf9KzU34F1pwvG0zdy1OXJc4L6iMLXuZ+RU4ZlEphHY0rfA7e5
G/KA5qNgeF4/dlQiqcudwAx4kdAbfMxIs0fxXnsXjQc5U7ZjfJW6xU2x9o+pXTGPG+4dnylxZlkz
ImjajY55EOx0s6rP3HY6T93uylscK2L8vayBqTZaVznbTLbt0asLcDG7MQ6ZXL2TnaxnAGw35ZAP
RDVN9Ya0AYoh2rbXbkbiPgmDWOKtNUtkj60UuziN30qCi0KB4ntbNG5+SJYELHmsn9omqV6Npqkf
pJnmEULBahNYYxtmg+3sYRCp4c7tFGOqPW8tglcObhYkvKC2Gc3BKI62aLwbu/dFKNYm3xU5OmPz
Q4fqt/bVUKRI9Bqb55sv33ggbSU7Vez4HpagJAy28L7NpkbchHwYUmogjCW+bsaxjlpUju+LXaCJ
RE92kcYe2ujZKRn/4wl1BBGM38tO5u9eMkyXzdgkYVv3qE8hgCHVS/16ToO6wz+vFVVoEkuJUkKr
GRC7MZ5RJic9y5dBVcWw8ZN5pA2LobXdaUPZ+adWjiRIlX4C+duMi25DqI+aQfPYXDGVExGUW3eL
9FpgfRnnJcVlTSPCSZOluXGGnmCiHMA93w+1VXwt+TjlF82YTt7JLSx6NQyf8q5vpPYA5kr8y/pW
5wGqDiX9uDYyuKLP7gDcinMjzgfWpwDAeHSdvr8kI7ZyD0nTKY0HIq3kqOtz4+7MyWonUoIWCACN
PCS2PF4HUgn5dGHYU/I+tAv0eCDEdGdW7K8uecwHBpiWbOlZlDQodzNROjPXw0SqSpwlOumJDVg6
npPyahbhai7dk23kxsPQwr/Y45hf1qXPors4WujJInjVs946oJ6wojL1PYx5aPY8XthaZBHMDxXv
BHpBFVDus7UGYUfDuqC0GrtkoZnN8qh+NKDRt5o+ztAiZrVWkSDSh8ygyoNZ6vs+ffCwFWvXhT3Y
ZD65yfUgZLYbUbRErDL6Ca+TdWG5FgT8VMVfPOTZbdSbXlaHozdWSySEZG0K2hSKd67RSQBAxGda
ocdnGciMHrp2Vx7r0p3urNFuzsxhIPnL1MEqhKS4vbWH5Y0rwD5tKOOaPWjq3lZNFZ8JObI3Wwsq
6kyyhCj+Hd/qzpRnw6oZ7baNpbw2zdh6qgCMXthrWxH/yfqGpGuNYi8pCQ7QKu878mjhbT3Z2Xde
Md21ikMYqvKxaNoqjAP5JLluWNERX5vpJaXbT51iIlbbYsOq2AmqIubIzLrbsRmt86pc4DAUmzFI
wtn6Us+gONymvCV0RaaH1Fx9SJDJqMpDHY8xipIkD1ON5IdtSQmhg2DFSc8K0cdpZHvDWJzXOZk9
ThwLAqaygfQqEfedeSPXgAr5VbbZtykgYEtne/kNZL056T5xjEBmxbFV/I6A6KkU4zOvniTPzK3v
tcqFACLY56weqatTfUxX2pjCG/UtDNJSQyalH8SSoTgm94NuSj+oJ3Rf0FCmWb5O09S9+XgPnumn
dI+2B2/VZe3yLU/TL7PitKoPektUNYI66v9eXFkxAK9tllC21JuvKdK1I/RGctHjlTvIeCQ/oXUe
LMWmTUNy0SlNmKHUYeWHUMxVmjGtV/IxWynJSlrPSXFyBWix/BCboW5HeIZBKP1WIEZDTJRe8v4W
F/WHVG3g9BMYPssKNQOgfAPdxN4GgRvpzG5YIHkbkb4Bb+tn6JSRwwVKGZcpjZxwmv6qUbo5rgQS
OvtDThd/SOtmpbLDP0LVFsK7SinwCqvS0IArXV6gFHq6399YcYICr4SGDfW0jJ+yDz2fVvr9Hiqm
Dr15KK6WChpV2XNyj08q2bAgkinmGn8ctS1JzITTAxfPga+F0MDG1mgDbWPX2nc8dvNV1qVHvrus
cnHZv8sPcWHtjX5wGFy798JW612Chcq+OvQfssQ8n/CBeUtGj6zRr92xtuvugmv+XuoS+DdYnINV
dfoW7i9qNbva+Kj2p84SR80JehTlxc3UyzzMMv8paZp1i8CdzaTVviZdMiF95/1yRnQd8ZzfZGlm
XMzEUD745krBmK3UlcmH0DIP7Bj3Q1DsyMua31hRVuKDshBSG0En0OmRGavepvXkbAKXGbUbfHFM
WIDDmMI9iKrEBzjCZcjDD0acuMSbBYEAQ1LCT5l66WM+iXTrNGw52XyP55VSiLKly062Uo02/Tzd
U09/zOceiWqT3y3YLTdmXixRXLsMc6iTyod6reZQzN44osvrHJf4Ns266+dMQcVkbKJg1Yt2M+P5
OQnCtzdmw2oeLIZzOae2qVppragzSabiiwP6mlLs0tJUsask5ZfkGXmvgO+Pde56l24Wp29FVnSn
YgqmCD5IsGXtjglaQFvzsy8xIZDOXs/T5Bi0VvoVVWP3JGZ/2kl3Sh7Z2GqnKhiM87oYp9dh7dqr
dWm6ULeoIlNnlolj3UuLqvHSYvuA6+2rPiUA9MZS+7uidb1xq/MxIJ8NuZoKDgkxblUnmZrp9w/4
5P8UMX+CeFWgy3+WxFxiyuZlGX6SxNDT/v80MeZfqNNI7yN2mbL6QNWp/EsT4yMgV356XcmtAMJU
5Mm/NTHOX6idqJgn1APNmK+Cs/6N8ep/eeTSMlD9rzQxn0Ex1Djk5gBHcXyUMZ8s0V5O4TyQV7dj
KGpAThznDuF4v7PiMvsD+PWLigs1vE4ukE2+Ayqgz7ljlWvVTiqDdjd51bEpesLZsz3U172Np6f3
tL8lXP+xxubXw3HJwUtN1yYp55cA+6zW/WWSTrtzB+vejv3IQjvDMJxS1LzkF2uaJ39AGH+BP9VN
5g7rKu4DBeAngHFsO6ddBo4o+ASxCjfRPDYR2+I/xWT8WmLKkUD+sfvzJCjTP3f1B2m/g6M3Lf2l
3TVJ3B0UA0/uHOJrvL7JwqddZCfH6/p77I01JOpITf10x9/0Mtr1c7G4+5JNh7nxpmDFs9Re6XZc
R64ZH0sWsVtnKJo/hIf8mtGkQlD0ACyLZ0yxEz+fcWpSTpYHSb5Ltf7CrZrzpeiuvSRYyG9lUBH6
GI4g/puCmSXCqTpFP7yV/0AY/MplqBMg9pyXTVXufQ7hnhmmqYPyCWcy8L1tS2izUwUtuQv4RklP
KzfkzhwDQ9v6g7ZdC++cuqqzOXFedX06VcmsbXt9/UpG2Z/qXdVP/wkShsAIfDINUNLCZHxOJZC+
QEHuFcUuNjOiFBFVMLInFm6Kfih1QK+aqjGrBrScTId8ReoWrT8IV10f3uqnk2AhIp2BNQWqx+Kl
YQH78YlSIDzGrkDuCvZ271qKx3ddFkcQiqAiVXGhVRuh/MClzIsvWtzex9O6hjE2xBJT/DRGY71y
3UzfueWP1WcALvqOngd7Z3nj/aBsyIMyJPu8IWFQV/fMNMdFmZZhNszR8u9t4te0CBzWhp4l1mqi
7iz1zChdUpqmqW9Yh3PEVvCgUDH6m1v33nibWLnx5pc5/oaYMAU+jFrwpW1k/9TxvyeMyPobuOJU
QwG3qxeWjBgoPpYGfqKUhcl+M152XZ0iiR5a9hKJ2yk5mV4SnFuUl960sF0QNGnTx82oRsjmEDdb
r2uz145wzcc2oxOaZSizInzN677s82WHwFjbU19azU/o8Yx0v8T6ojiQMQCHT7Oj57ZqqKTe9JIA
0SoaM63+XnCwe4vMZXdT+n5+LhpD6Zb1/t1cMJ9sMsOPL/Our1CTd+05YbK6zeZyaZxNzrbB3Mhx
pdIH/VJ+brVe/y7MCRpAq4KnMsBlvfFmrXguPTe+JGR2ujA8+otGIzePeS+zZqPV9hiWtYVKrMfF
l21bCs/OhOgBm0a7Wg5lHkP2d5j9iKkoBgI5cxou2Ju5wbQXMPDDvpt8EBE/qcct5KJ7Hqwdictp
bnZvtRTaVTI49XIUFJ0vZAqjpY4QToIrtLO7rtvYSkW/41oq1ZgNMH9WNHp7pJWz5kc6fgYJj/qk
WY6MIkZ2BCDCeiJ74WzhxL0dToxsOzY1qhqqfQv/ypRyAZMkgC4ORysDCBjcat2injPajW31D3bi
pHoYW938atoNDD6JBMT9Zq0RuNG49ktysXaJljITpIQXZFl6E2d2HSBALLT7pPJBCFr2pmHZsLGN
hmxElu2sPsADdJNLQBsxwRXB8Z5zM2u0sx99BdRUCrJpvcX+7n/gOF0DvJ0pcGcFj7toHL+/4MKl
760CgZzFv44XFGBWnjwQbXSRKcBoBTmqFYTklUV20vJgOEiLzElc0XWOEQbYKQZC2RBgsGykAqWm
0cJHC2N7syjICiW6GTkKxrIVoEUawrwl4jQ9CQV35Qr48hUEJhQYxo4S2cwaVA+dgsroCn/SIK+2
prXkh7wGyCgUtIaS4U1PfGwzCnbLFQC3GuB+nQLlqLxFOZ4qqA6PP9d6sW+qcT7zrdo7TQrY04QY
wlyBfWnl2qgOyX8iLeGShkIr0szhCnfwuaHAwgLUMEmL+ZjqrRGtol8Pq+HfUYCM2AKnxGbUkFeU
uXalVxYzupGIaO564zgNXnHsK7++yGdc/RaEGSHbAJqmS3NS2ZjXJlAn3mkwT8n87ygcVNONGqYS
bHROs7dGoaV6aa3vs0JQC9bN51ahqiRqF+HYlzfEwroIPwtW8kLhsIZCZDuuSVgrlJZAGZcKyaHd
w9kB4kqF55YK2Z3jpa3D+gPwnYr8yXZ0C9+0vDIVKtzVFQCx8zdYzOCxaxWC3AIlT1ICKsMABfdg
N3ZIjAkGMQOpsfOBQzP0XCLIErcZPUQeYLWdmTZbo6o8uU4GlK2nq/PUoD+7jOmsOkmFeZOg05yN
oh/CSjI6aVPlHa1lOq8ngmTKKpeXZSFvJok1buN+wOq1Qtj9rp4uR4W6C823lISsgwyZKHb6AOc/
cHpTQfZubeB2S/JjoeB8BlZvl9TdN2gXb+ubbXNlZG1dMnXp2h6xzfDeo+cNNvkHT7AubU6KBNuK
TY2sFjvu44xnONL9eT23Zze4KYtgOTPcviGP107PvNSzHgWLxZ4qECKwAWDOjZ6GIQ8mI1OUxqTI
DfwVK4Ka9TagFfPgayh+hoocCtOaoYRWRY80iihJPCiTYq2X55zEkLNcESpu288vBNSsUUBKdLGR
WmWd9+SJ8PGUfFd8Ukn2NRne103FrjBV5A1V4OvOUISOn+ck23hWGo0IKHHaQ/5M+I630tQpSzcV
OZTgiNn1c1dFRrpam9gSXwBfrX3WDSuSMsUs8UlGXSSDisqrlkiFIu8iX5q4meeYv1+IdS8VSWVb
zdtYrmdjtb5mNbwpytF8W/MTgBHit47lKfKL8jborJUh1rq2BnObC9G+FmQ074kRh7ytK0CJNomM
UbbXq3CvYFzvSsWrNbX5NbGww4+ACZEoVWZ9nFF7YBhbUB+kfyM+ISfNM8xlzdui+LtWMXkxRnwy
0M9sdL5wV/G+zAYYP8l3O3encsvlfCkWIeA6S4oH6177bnrpbUKYdRKQZ1L7Io9qg28bjWHyu9vU
xrFX+L8MRHAzEKiE9M6fyeDGtYREq7cJPyB6fKPXLFS57Q67FGDAxRj+BgA2vIoPFnRxAIZXRY0K
EvcRn5mt/cxuw71cV50U+NHklTnMQ5o/SK1vkFdDvdaKg0WNb92PuT80BAsN13HvDnUkMrslXQoq
t03oTgQuye9oaxtfglaTiOrabCAmqZLyxNSPFmURwZc1W10bmtEm1acnm+GRN0EeUZITF4KAs/me
OT6PUCCc/nldSD4ytGneyzpOvLAq0B5s6iEzYtAiG7O8HC2cmsbaY5Qnu6ZhLyEt9nSyJj4G4yHK
I9LPAzpAzSxpim29tOaVI5zqWsPej8azaKvH2NVmPayd2Wygz4Oy2SyNlPeVTBENkNWCX7er3fTR
KkoaQAj16N67YSAmadJm4pWszJfVpnW6+j5XqgakNDkhRuUQOmvOKlRrxjlMgX0pAT/ss8xKvBgq
MZ27vVu0zoXvy/Qbso48iaAprWPn9tY55Qb+oU7s/jZYCrrcJd/np5Q1YNvZfXk3D1VkFfZ8qmFv
2o2r9yVLlh5/WTJiOaEppxMGh+mA/Ke+kJgC3hA8ssPcOF0ZvIC/+u950cx7nvL1ZvKS+FBSimCE
dddYe7zM2PV5740dceRLQKlK7hHpUa7Ax0O+JpG/ZMt1aibueCsDfxHhIPWCT6DrhInXW/y1XTpu
58ELahTfRRKt7HLq7WCyyFR9mp1nNJLQLVaX87MxEeulN4MjgjDue93atICuVHsTNVk8gFHOXz1G
q+/14C93BrBvEPZ53RKH3QRO6MwJuKbZ6vqbREObombXq7smKXPyMPCDI/UNhsXZsm7wFV6qgHsZ
L9Vtk/NA7Bfku5eIaIAhm2LOUWBOZWQaonvWhBk8d/zdIkINV4Run483BjPCmaxEf1vKVdvnS96f
exPOyA4Po2RDvTYoX+E7HuuFsBk2VQNx7rhQZweRcFBVR9uqEpt952qt2yKeR/cxlw4bMfriLsyP
bB3s4W6kUO9sw61Nd8VHDg9s44LgQzjk87DCq7Ae+ZHcY9W4ke71Lhf5I75jyOSPnJ9gDsj8oYmu
f8w+goA+MoE8FQ/UmCopyFahQZOKDypUkBA604UTJVlmTfs428zSJHLI1PgGtiqHyMoD55R8pBMx
ijd3q4osSj/SiwwVZGQG2XTIluHQ6AtTiIo7mlXwkacikHpZS/KOVC6SqyKSTL8U4ZgE1dFVAUq1
ilIS2tpu2DyICxD+kW8CUHdSts0uVjFMgQpkMv/OZlIxTb5PYNMqiG76P4Dw/0sDqmyS/xkgvH4t
X4uf0UH1B/6lAPW8vzCvmr5r4wJS1je0nP9GB62/QCpABTA2Yrj6MNP9Cx0M/nJtzwEXREkGlOYq
yeC/0EH+vsAzSTe1LXIgdZfUh/8iRMLk8D/DAsEHJqFkoCCR1Kf+DAuUmDE7O5jtqOmF2AWge3em
t6CUIq05NP3ZRCk19seRScLaxiUW60DJtx0w73NL07PQHJCwEUU3RoSHOfuexsSOsAeS5ALWvb0r
+HsSGqToZJjL4w8X+h8wn4/I6B+RFeI5fIPWTZv4ICR/lgI9foDJiD2gTjsOrCjXXP+6ELE8BZgM
0m2RLDLsS+dLlXY6inGlBfOyUpwtKCk2Vk14ME4DWipSX5S7UZc77NJ2NNt0qzR9kZ0hsqNg0h1e
OlHdOnCIzwyxfJQlXwi4IT00UosYLhPyfcsSOe8bS4wnEehLGPPBDYuA7pSenuhLfSzkoaq0jtRw
Dfn+4Js7jC3pqS2K+Q+QKHjyp7tpqgJlEDAPYJlPys/Xw6EjmlRGkAofk/Z9XsuOzMmhSU5xINrN
Iq3sudFXc94M7fj2+3uhRMmfju1i8kTHDF4J3qWrc/vhXjCEFnTMd0Y0TPzfSijRQ09mdVj5ckaR
STuR1+ahNyi0ZRwfNUbtM/wHX39/Gp9BYVg+RJfkY6O3Dgjy+gScVgK5PsnMxH6OFtKSFh+YPuXv
muc/2maxHrkOcvP7Q35GhTmk79gK+3fxv4Lx/fzDyfeLh77xelh5HX+T6z9DX992PoUtvz/Qr3eX
AwE9+67jGOQLf4JYy5rV3VndPrJTvq6Y99dqH1dOv2OmtUOMBoiOWt88S8fU+W/hXfUjQS55x0id
gWf6dOyYO5vU9UD2ZEwOf1E3deS7ZRb6XeJFud7e12VMKQ5Ozc5YH9Wg8b/48epCW7AodH18vsqd
hpQLY2MfVU78rMfVK2KQ59Rio9zAP0+9AQzu/p2J9B8ZBhWg8/PywmsEDk8iv5Kif36kJblQekkm
DcGWnXOUMiGCKfPrh9/f1l+fHzbZLOYG0GlABID69z+8OMNsd13pod3wyIIIkech0Fz6Dqbaltvf
H+oXlB5rCbgW1gLdxcbNWvHzsTx3wjkLi6FyM04Erjw0hvNdY3bbSl2vN2vaRmxSkLUxt5t99/SH
w//6dvomQneHzyE9Cr7zaY3o7BW6zOLwvWV+a7PqXJ/bF0/vX6xkOBgxeA7xBLjJ3BDe+k7Xgpcp
xZrmrCT7YNzdNwnSHvIwJb3SX35/bv9wF346tU8POBAo9UIJp4Y27swsg+vA7t+4NYffH+Yflkku
AeQO7B/LE+vlz3fA1QiwQYeCqcCe77y+2/uV9ZirAc8fBuyLKS4Agb8apzebcJqQZoxavz+HXx9r
TkFFUPFg2xZ5/z+fgmRrmlbDzEPgN1XkAXZieLSaP/zSXwgHKA+qNWFiIOmU0eXno+hVSqKFPnKU
1HtIFu++z/vHkq9tO3fR73/QPz1WvEBQgCyPNDV/WvRTOw/0xhnayFrr9rAm3rOs8JuaCK/2pN46
qudx+cNF/KefZ6mdnQFwRHTBp/sYtAY1amnXRnY93CcY0zauaN962wNPs779/vf902trkvvtGdgu
dCotPr22DSG0JrhhG6FpRTeuNfPW8ambSBZgI1Gn0x4VwYgj3H+uKGPTgWb+cDf/8bnFzcCvtX0b
7++n92OYYk2nxbelWte+CPjEnyRCvx2pSeG8DN8XbgvN8KkMZ4o32Ldis2u1P1zzfzwJstVY/9Eb
8xH6dKNBsqvGFCUa37l6pvnqdjHMi8Xo72ujfmRrR/6Vu+K6f7dpLrDm6vUP90GtTz9/EHwaJYi/
UCQwRTuf7sNYpMWArqalTWuE3hi18yDTqz0yERH1Trnr7A6mB5We2yALmjEs0xNqOSLUTC3qe0DF
ciH22fbSTdxopNdQ1hOiatHD35/orw8nFkLdYl9KNBwG208Pp+6Xnlgh6Plw2Q+S2tCzNPD3Hnz5
Zh0JUf390X5dOvmUwPoydto8o59b0jFquUOf5mjSnW78lmXyDkE/pmXtT9vbX0xhxMCQO0KMuus5
pmN8LrhO09jI5szWIzwACJLq55U0xu1Sdtdzwr5Sxjg3k3bBRF+UULtmEDqBPh1IOg0HHXl8iagU
2RA5zmXmvfSuPx76iaS4uiywrzpsJnDK37Qj98fOMXWiLmzDul+glgZ76+nz1wSQ5vdX7/O9wthr
0i3PrfrYuX9ejaehFG6NKToaGKAIcij8mzkBOfOJhsAAUv5pXf68+v99PCSXTJ4Mkrr69z9sN0TR
p6Net4R/sTs/Vanu3HRJ7P7hCfy8JKuj2BRv+ToBTmrP+vNRcur5CmCvNcI5DNpbi7d1li/9/1B3
pr1xY2mW/iuF/s4EycvLBZgeYCKCwVik0GJJtvyFkG2Z+77z189DZ2aNFHJZ5QYa6CkUaoFSYgTJ
u73vOc8xyosmw/ODf/udC54PTS4oOAdiFdRUwQFk+UAvvtZYDqFNx3BydfDyn8oq0d2wq570Wvuq
pdR+sx6saVwY+TvXfaM7WC7MnhhdO9d3mB1fXxg3Qxu3tj26aYV9uWQV0gtx57cWYC6Eeged/l4s
43t7/h6a9gd0fVemTXomOyDchp90jBHYlMLinbnyfFDysTgoMEdZ5KxhoTxb5CHYtE3OWHCdCsuL
PwbGnjIxQcJk7e5//Qa/CTngWjbm0eUABGZM/KDyvLj3yaR0bYoYmzkwSNf1nAfrQABxsBBSoixP
3Jkgio05a08SkDn+5GbNyU8BRG6gHU6pyQ/voa5+8jpgckSlw3LBPks7eypdZYRcKxndmIrxlnIv
fviqodNqzU90ND/FHVKFIErD7Tv3YlkCXi4RKIRYJDkJSqbg5dDw+nWgZsN8PsZkTzfJd/rDgPoI
3sUoBkYNRp4dzxdD3hVHM4X1AXK6tsBFVu23X38M0/jJx9CXSEZMxkyY54+kS6leBp3Su0Y6iG+y
9B+TProaVL3zfKt9TobOvIMFKgPcdU5wW2ON2aXpvMl0J7xR7HpPVdu+6Pqk2I21FaBSDhYdiAKj
BpBuDd54Lm4spQ6vUIXIPZA7be/k4KMLUkIfZVbJXSFm9XNbzrrnG4XjQSvC817n1RZ/SrNuRnUF
NybbpARgn4qBkDy6bmt9ohFBE0jfI6P4AtHROpDyJZ5o7I63bVbwIQlTBQtUbHNdf6gGMd5OKZhz
G5DPTjcbearQcKOUSIurjKRwL0Tg4qK0oMPfQ+vYBFD4LtOElkOLgHlpD9T2cRy05D6xilh69G/F
/M5gfDvHszCiSkKDwyBxjLPNE5VvmBNp3btIVOU3Gwfqva75+S6b1QdZO+M7++E3+yRs02jxOGnx
Jppvz1nOVLC/H9jcl4qcNkM9eQ4SupNM9MSjJcW5sjKt8K6zlcidejhDVHZATcgheeeLv3kNGQac
AqjOm/ALCCd8PRrQt6tl1KmF207CvDHhB27wtQ/Xv37b3+yPqb1R6oEftxRiuMdnl1EmmPiyQ6Ib
5OJOBsY97+yXwio/dw18xGjpPc/Njs6rG0zK119f/A2Gl4ublo2RX0OsB/jjbLOVRXNuh2bakxsR
+A+dVpKJG1lyg67K/xrRNYzgSlTKWk+V8dYc/OEjNPP4Lkxr6xhYhfm9j3sGXjwqxzbDrbtS0ghA
Pahc2ob+Mnsn6jTe0jvQ1/TfQG9Y/CFVNqpXikKjlQ0C/9ff6e3saTBRIVwlNwHxqHk2iaVympx6
QPOFMhsnUllH17UT2Vd2OTJWzNDf4/oMFrMJppZfX5qNzzIaXk+hrKOw24BM8T/+hLy9WE5CzW8D
1Eyt64dIuLZJjH5Dk3a21wsbvUNZgtkuInBGqz4YLXwWkcxWwJmyK58s9G+jHUUfA8KcOTtH0T5v
JLhyX/pUzPB6HeloT59sk16iXvbf027UTjFp10c90dKTPWicFCsCkg00i+j22y4b+60STcU1Rt/H
XNNOqpVqO10vjGNpF4hnhux+drInkeOvJeqn2Ium0T8iF7E+01Ir12VRLD5wgREOlRDsKL26blPd
WrNDc27JYSlPg6E3Nnb/Dn8DHgYB3COtd6Ed63fFksq46RUcNOwvdpiLysewVTUv9k08gLQRVyIv
iXePWFY/hVkx3FOnctwE/Qdo4anAIFXFQbx2EFk4bilUbkRGZ/ciatLmapEsYQwq+uJInjctXavp
5ycl6ZQnzhXaXTMI+STHita24iTsUrQGxk3cauXjSHMaSuow4ivo0i12ynmvwvoHd2VPNzDbi3Vf
gltVGt2iLxDTQQ11y6Lb3iGxVESvOsHKlrN0SwwRYtNUeXUi97wlhbvK/XU4xeMloINiI0M1qLZx
iSV37SuKbiK3a7kXdMjusraFLTQEavmIF7PcNlVWRCtNKM5Ji7TykmAjolHqKP9siyo8EvlOhHtB
v9wJTBKiiLlY9abVxm5doP0C25Rnj+zdCLamUgxfBZnHDn6ztZjkOncSAN2mJI53elQl39Sg767p
ZprrKXGyFY0/4ouyMT5MBvRMK44IRs/nGIs/HNVGzXjVJtQfYanhI1JRnihFEm7a3jGh3ze2cgDj
J5/HdiobNk5qgPebEz4t5Zayngevy4bjj27Ga3sf2uhUUwTYFuaC5mf6JUm7REAW04W3q51Km9ON
kxDbSkwEF2E0Ym9nVeQZdtThTjajQxgH9i6tkcKoih7WCAYcGEnBkE6H2ZqCG8tkkzbL0rlIBL3I
OY4+aFhILogjJF2xrNWHGmIZUqJS4u+eyAqqVS1z1SjvDoRiVpsqNx16rE6/HWvb+hx1JiICOGbV
2piTcD0mpC1EXQ69j+DhS1/pEcHoCjQxNXP0wwBiZ40R1NUmu4NIayoMMkgjoIDKg1FYzsPUAxIj
uWK8rRX2U5jn7OqynlJ/W/QoXfrJ4o602qnNgwrpqm5c+ubkjlUzHIpEs05FUdvrMbA1VqU28iDE
de2qRiVioh2UyqGdhuokzbj+wDB57KxabEwkPhuFM5TX1rq1d9rEOah2pOxm2UabGdrjXZS0ljsG
vvNp1OLxdgz1+WuZ8jD7YLC3JZPmbUI9/bJTy3aTp4l9IgDFvLQsv7+su9n6orMKfHVyhUfnZ/Gn
knUbHT3PdGgS003HxdQYjUjPOJoWR610wnFntUmyabKao+4U9e0l6Cq6c1hLtDt0AWyS8DntNBTU
6yhSq6ONjvxKIXvTQRl53WX6eAurOTr6Y1xsexoZW93yJxR5tuLiUTKhccHVw/OLRiOLnwZzdLoV
NjllrSpYIVNT3phZw2JU1o6rQ1C5jjiSX+dB4mNpz9AorPRZma/aYhaXQ2vFOLG0gs1xnEiETKaW
RLjXO3FpRrJvVmY63OdK5aLlnD9E2JhPVsz7yyVq6sRw6s04gV1e1zU5DD9WQURYtPd6QtM4gEV6
Mbg+a+1jCg77hNO1fNS7Oj5inDK/4elGZFQNxVFYZeRlaOrcLIdhs4rqRIUSzY34VKgGn1Eb+/xE
xsyubn2i3VO0UKEdXPWOXW/BcFQHg/LpKUpS+0aJEbXkU1fddlAjPs91E300J2O6yZ3wQz4UyrM5
WwZzDzoRaobaSUwqYVdxn+P5m7trC7CetlcCrZuID0JW0JXNgikn1sS6KuO4BhDd5/YtxaPyMGeJ
TtS6zS+zPbHuewujsDuqDhz1vAv6cZdD1roBhzE6W9iE3YY7PEiOxFqubahKxyP+91JZDRWcCg93
KdraBLnICniAGNdJ1RMHNGvlFh5eflMmhFCu7cos1nVc36ejOqzDujavCtCgz7GmjB8XpAOXbvph
22uj/5Fo37AC6wUOYmj64lNMN8CCH6KYOF1HiSTbqRPU1mHr4A1Rv81dsUTetds2kRBIEcgRSObL
S/z+8ceFIOFFvgXhOoX6CpA/Gq5pBvSfrURJnhI1Q5FUjsE2ywUCYWcc9BaBqt7AX6yV+VEx+rza
ANS2yzV/PtvJYGa+UdP94Ij0hn5w8X3ORbJGEJlDNnS64d4cxXRdKj1VoABlLsEIRUaCWSkOWhhX
5AXl3bE36UElpYebYHAhJxhPg6O3J4wO473vO+W8HcleOfmFIZ5VNfqCF9C6ClpZf1PKlH1iB1vu
fiRqCmu7QdhIqY3sapLStu7nWadbWkj1BII/2Ttxp1NobUFAEiADXCABthfH6WM3kzTV9zXA2LzB
Wwjnvy6CD2rSHznfNbjjFQ0ASHAE/Hpjyj5fOX3lXCgjg7UnaGFPldUWrulzoPM0WKIXooS8psgx
v8XNrXuqNrSbkI7r5zGGuveAkOdxioxQ3bJIw8ntyLFaO0bPA2oKRmcYOodpBM/OPnyXkWbNEYsz
noeK5zodlByljiQPcBXqFaucaARTsCFqlnYrp2/CPSFfahh8AqV+7IKcLkBtE5ZyX2BInFHfZNVO
G6ODzWe8ZLvSXDORpiurtR4yuexj6tQ5EkCbrtS4vxm0INqydMfHsZ2PapfBnzcrsr3YTctMbTyr
Y0uNBRg9V5juEJ9nTKCYFznWNqtOtz7mfuYOIWemTrE0FmT9u887tZMyn1elmkkXFLybKZ25LcOM
6Bw/h4ZZDJ/MuCNFAQ0ZkXglF5RJ+MAdSr5kVZgDL4dykdhWcKqcit217ewT2ZPtnekNFH3b3HdL
kayuwvGjaWbRoUkDZqDanx5UFfokMIhtSyw5HBzEfNqgFjBWR1SLY4HgdbSTvSqEV3VIzUQzcBIs
dlE5ThsjiO8YzOk6CeZTgq0dPEuZuM0krluT0L4E/8WN7WvE/8gRoOQ4Rd22jcL8KhnK6Vqfyybb
1nUZniZCeo6SBukNmrTCm/EyneYpvmJtA4rLnWEHi1bQy2q2o4PpNHDacb86THQ3cuzoHZOwdBE3
UXU7CKKAbC376hOPc0xTCnYbszPti3H5gVq3cbA2SG1aAfHX3BAI1yK3td1mTGr8sYAorL4aD+Ew
Sup/QXfP3zn2jK4DxNV26VJo7VOQPU0W6HYY8sOm4K2F6TOxIyO+0auM1GCf7McXeidNZqySZxj4
lRv52Qkag3ZSDN5N8tgguuj5zm+IkwwbJ18BTDX49eGrIAraBS48ncCZzsgbtWGvDom4V/CtXKR5
MN32oG33ok3U6wCPidfrKoecoksUc6Opw5htaBCPTJ/adGHNekbQpzHdm8BIV7FTxLcA/pGxEC7S
rK1eB6WDOE1eiiBPxAq/AAb/QuGtnzm4oS2zqiM9oaheARgU1opEFAZPN2vxtIYakWydsA/dQCDj
Ww+YB7HBi/kZ7E45bEhQx9MxB37PPr1qzWtsDYJXx66LzzEsxA+9kpR7xN4kzQX+YMNpxpF/05Sc
c9exCoiFsCbUcYU+bokdJFAzwB/jrIt6zu66NFYuUmFg9+hmkw1AQRQFN/tTiZ5o0xmgLH08jcia
jfEW3458GvsMw1IljS2VO8y7owqnO1ItRHw2qGlUOFOZeoMhbQgAo3IIZhFvtSSPb6MUmZ1Wac4j
yVD5x6xXYDIsGVbFsuZrYc72JY24qTO6anPVWoWNmpmdIAQ0DmHA8q9UM8cbbM7Rrin0nMq1LN0x
VSo42M467yX5Eq0Kn6CRNgRisqN6el9TO09uBqJiqzmK7a8b2JzuEAlr15P64ppTWn6deL02amDJ
rW8r1laya1xM0BMWlQqm47XMAlT1SldilEY81Bq4IJI5Q/8HREglvKUwN2Ztawc/bks6gXARSur6
AIdb6KZzToxLhDKrSq1NM0g2dWIMMbnAHleToN6mOg+H3IJD5UwnWpnaw1wq36w8Dh76QURf+lZV
t3MXZF87JUPOQtYHivI2vx3SLjg0sggvJqVnbsfAsCEHTKykMRBZMuSO9sExcIavy1kCil4+UmNS
eenTC7uttXIlRZ1DUIK/UCt9ddHbOsGx7OnatlR2VZlUbq5b3UGlWu+N0vEP2ixSL1DacqOBAdwE
dslgXYz3epAPx47JijSXmvOL0qCWdZALrMO5RhdDkXknWwdyKDsGi/5PgTZ7lVRBe6dPM5B1E7ff
sEqysHKTIfVqSiKXpLTZq1oQhwdtxptFzfY2EB13EYLpfhhJGAnEZEIqFf1HQ0/IVy0VWCd+k/L+
5rCcqCjmRyVzWO9qfdOHd7M0wgMWk4JgmJANo5/atKtK1lOitmt2d7ngIBDfBUPk731NDTY5JQkq
ENOHoInMw9QHwMBsgL1Lzbzb+0Lrt7nI8OQAmtkmKlOSkxYZwGF1LtfctMKjMkDiMXt3N46HBBMX
lLGS3I+ONSpuNOuiTtpTN3JcZNlZ947ovwYoEzDx+Y+OjhR+Sk2KUQgUr4NFTU5lxFgtjLN17/sX
joXAzmybYTv7seMKpdjPc82SbSifgP2i0w6fc21hFRjLIW4o9E0bz6Y7ziaBcQY2uboFQdSRnDP4
1XzX5/yyCGMCgkZSDQPyZGKVZh1nlXXTk3lfDEFFGWSaGbFO7JahpWwLFeZcCVMipDWzCnERetWY
DBd2TMVPN8AK+UsObuqDAa1FvlEtfLQwFq1LTQCLIwb3QuRJ5JLNgY0m1LBDTCqtomi8zEkoYgZM
b32McisJ84VXrGW/O3q6qd7zEJ7aIH7gRj1MMtkNRu1NI8GkOGsvK1Zkw+3roKw2EY4oH4WgcNii
zJMjV52FoNo2lPFapHFz0HQ2QfMMHpmZclhVhgSGFUEIvLbnerwxogotfQml5xZaQ7Wqglg/2Zzo
nyPHJFBIyz/O9GSLlZFAU2uA/WydRhndyWiDtR/5nRePjvGV8YQbZZn2oZLpOIIEAPmSYhGBjrqX
506LThG2d2rC2NN68bHXxJ09wwocsqw8SUSMK1RtHzFURhAIpgR9mzYf0SDjxOBp7iI8DOvIEZzM
nL5hJyQIzNICzvORcD7rzXyf4rJzU07trKLkIhEt/Y3iRLKunOheH5UO8WnYr4mJ/db58IRr/HKD
weGa8qZ+LfVedyOygi6JGrRvhN3ZpygkHFAru3iHFjA7BYq2XyKeEGWnfrjKhy5lfUijB3+aCpbv
RJ7asNUvU7J7T2oFa7Gtgq06iE92oMEay9k74H6Ul+ZYZwyuwdyZEJM/Wdo47rSuWfcIA049WwPU
jO34xRmU8raISZ/EcUg0xKzNB2r69EtMQbVMjlaJ/apqdnhxs5NSxf5lG6bOF6uAhYaQlGylFTeA
alqKgKJeB1WusFKEqhndtxR5oI/Y6PK/ytligUo1E3gJB2Rx6lWDDXFA2GSpduGTRU3kWDEmbiye
wTEYqvyYq2KyN/ZsNc+OOYVcLoxpw0xtu8vjKbiyLAxckjX5G5h95UNZi+S7X2bTxZgG5WOTieQW
swFuOUulomVVCBSmAbgoRPUOgUOjbxauvAvMmZenCORG1JXNUNTrT4HeTHca4e7eCAfrvpmNAl9k
Bwey7aJw5/tsfIJYjS8sfGEu0oTySMCsn7qcd8YVWx/ziEsy4HzeGmscqDCzRVjMG51LXxJTFtEx
rLt9XP3gmcRI1RoyNif4M8gg+/YEIVqsgn4KrztfyT7AWKx3dSTZ1dgJycZuhTODngDno/GWGDu8
yeQvUmhPtFo+BXNEoQIFqeP22chj6tgyxEdAtIBIbCv94tSsU7M1kIo2SuncVSbO1Epk5XpOM+Mh
n0TwUWFrYxWT49pJVcB80oWysatqSQ8dWSayWXHWJXirh6gRlNGsMfjAHH9LRW+tGhyJkTiwNfmQ
UH1koya3lVl5I5xxBNY2xBUWMNsm5EoL1bWm8Zp0Tvq5zSg+NMCmaUIo30kH81dqWFLhJkVnnjvD
pay9C2k2rLFE5hvFJr8aTSfJH0n7EJGyzdDtvtYdxZo6HZpNEZpLWkNxWxYVFUEfrFkVRvJAEkq5
At9GyLqmkOxhOYU7jySGp33S7kOq2BvJIvus+izRrcz0rTFL+TyNBBjIDtRVx0YPMCYbk8Hpj4DT
y4tF8LqnXq+Qq6vLTY3FuVkZfUbqppOn65DfO8BAEgW3jkofJdjmQwcFYEX5qr8sAyYK3L/aXdJ1
jqt2AiB4L/OQXW7AwaixofeYDQB+RLomL9No31SUtS5+HLinMB/ugzDXLoQgxxc4e7tSpyLc2XEq
WXYH+xg15gFobwo0Xd9OuKZJ3kPL7+mF3n3QDC3zemPqtxSrU4W8kyL2RJ86O2PoIFOJtnwEW2M9
5QTDfKq1tnmgrgbgf8C2HG9iPSyOWT8S3UCX4Ag+VeyxcGuniR3PRTWbJZD+JPbIDCVlNycyLJ/C
h183XN6wJhYdyIIEsE0LTgm6qtc9uoFmVBKqeuWSIGasCS5dzLTOfZ5Qk07Lq9zXyg+ST3VPz+WZ
5YlNi56pFtJEkconc9lOD4FtelbFUT9V03tIgsWhKWbiDqM8pL4mnXc+808UB5J5HuGMMGlw0+B/
/ZkNKkz+IBLUqkVs3E8R2WbhKAjnMcqEoEaEac0y4+hd8S0UDKSGpsExzhrjsrSJZZh1RK5sjt5D
Ob/tm0kL5bkmwB7wqbSzPq9Qc5zDVkAsBSXvBmUN/agb0oNZjqoQ+hYI6RVEu/Q9AdbSYnzdMZMI
evCELF1I2A9n/U9LzrzRbQT5tNDSg1MAtpzMsY9hM1l3ZSyekOPfT+in13Yd9xwR2KhLGgartrLz
63QuU1Sa8onSQ3JJI9I+DZFR7K2KDL5ZoduWzXqBXFhdmlS1RjMBstWGZsf3GrHxioq2xU6tZBpQ
A/2rX1cnPyegWys1Nw8Hx8tgNq0lcgRoAXn2VZlwSVhQhQ/Y3xLWhbng2G2ad5RjoHf3c/9YJ9q8
qf2s85S4IZbP0VJ2M9mjjdUCCEqsmV9nxg7UAgrgxhxMzz8GxW/BkC6jr3XRFN/b/7X82tcC+2MU
hO0Pt83/+3/ec3F6yp6bX/5Dd0XGv8//kVd/tvnfP34cPBebp/bp1f9xf7iUbrrnGkJ906V/foS/
/sl/94f/eP53vE68WP/a6fR/+AuAkP7xlH/7x+qp/tJ9Qz/555/df/vP/+B3/zI9mdof6LAspOxL
P1yiyf2n6YkfwQiiqSsQUOJhMFAM/I1Esv5YjE32Ig43zKXs+E/Tk2b+gfJPEHfL30JTTBLv75ie
zjU6trnYsfgPDYmOg07o9ezR6ZS9yrieWLUy60M0dg2dHnsq1gtK/osoHdiQsk/87aBqcDlnO5tW
7TBhoE360Nrro1NRwap9wtdn46Nti4ZoxXZs81UEQuZLovup588QNgFy5PbpxT2//nNU/4PhcV1E
edv853/8MPG8HOy4yDQ0PYt0T3JHfog/XrTHFXWGNVLIYRN2cnqiWaF/SEw5cbR0cFCHjlM/aD17
voJoGuiWmb4BIb+d1AGhGXJIY19TuohWimVrBVtsje1Kp1CnCkIKDEzsJ0uzp+uuFcMnUWuTXFWz
UK7pL8xboqxm17TSulvFnDw/zRxU1asgzSk/q/CKbsw4Di98PadgjXs/4vRgjNGqneDbNWyt3hML
nIvclluBNAULGPfDQOb2+kFqHduEFO77hoxkn01VaK26UVUQueHE+fVtPxc0LpfCmmChNqI9ojpn
erqoyAwNYxhIeWtCh52X6qFRfFQdDh0Cq/EtL+jym/+uWeiqf67brn7+x+VT2fxj2+XfnjhB5P8f
zDgaz/RXU07QRenrPMLlN/6eaIjDwHCGyQ/cwkJYYzb5y11pij+Q4iABJNcCFaTQGOR/TzSkGDqI
WhzSXhaT5aJl/5u9ZpPQ7YCPYq6Bk8T89DsTzRsdFunfTGiY8dCyoIY9H6pz1tMRMwOglALmgVTR
pdBvcqey+Fo47Rc7sm+6iuTXUE/KQ9ODjZ0MDnsv7thPJow36ij8YtwFYZAxYbA7OXcPkH7ErgVs
z6YTqnrs7P5g56xocXw3Kg0oQYV6BGXdVZEXF2TWDO+IiX5Ys15NWFzf4i4vGikLo+vZKGUmKLUG
RSbEHwRnG87D9GyNpLoqMxkShAWONFsJRZuZrUxLhRRsV4oEe58M2yHNic7K4LytAhp+Jae4ONyY
VZeu9Jp2U5qWZbH5/WH3bw6oVxuDf7lh+B+40C+C2H897JbV/elb0bxc3pff+GvYSecPQ2fWXYTr
+G3sZWz9Nez4EeYMW3cEyfS2lAbz6N/DTvwhiLrBSYgxE/3+ctD4e9iJPzBO0uNiLAtpY7D4nWH3
g2X28oXjQ7GqIx9jvlaZsc+24WRKN7leGso6ltoF9eCg3cRUpN05kX7nsuk0alfxdWWmNxLN0brh
eKCsQ0PW7Sqj9HII26n5LmdiF0FjpMMzsQlkw9SFgcILZA4dYqEN35Y4gFUN/eK+kHl8WZvpLP4c
O/8N+9B/84X9H/gqLo/vX7+Kd+Ezm80Qi/2rt3H5pb8t9vqyb+T8Kh1TQ/C9zC9/W+zVP3hDeVEF
CEWsWstG9K+3Ubf+0PGMAcd02OKwpPOjv95GXf2DP8M6YFlIVmmni995G88lsJwDbawJ7F4N/cfL
/3qPIuuB3qomS4+GW7GWAoAudLJy++Km/GSSP9+e/HkVUAFsqiVja/n5i01hILvOEKMoPZST674l
4Z2GG0m3ijGsxmLKMcMb4Ttbop9+Mzph6oIiQLB5phKdi3CeJ8MsvczQC3eqmxqeOSHlv/5mb0bz
8tWo35Pqg+0HQfPZ4bYD4NNQmCq9Qsug3xsRoPyNGi45lU1K5uoUziYsY84uFzBHwMXPJFwekGPS
64UjLPeVWo2LriD7EpHSRuRrXnTiQwxJpvP0ElbWCvS6ckEtSNGvOzTx1HkiAk9upyAK7379bZap
8dVRXdV1LAmWQ/WCnQnnkNcPCq6yQ50Kil8zK8a1out4PI08pC5oh/p9B3xwNQ0wu5vW8bdxrfY7
wyjjLTkyHCeUyhreub1vdgfLB2JvwhYKuD0Wb8bByzeHvO8wsi1iemfFNg+Gpo+P0Ujjd1aL6QH8
UQoNiMCtQOnN1WjTqFLU0XjHXv72TWIZ0TDRCAfhMYrj159BwukkWMjKPctPh4+R2WSXvRW9Z9lc
vsnLZYFNoIl1XVP5L46A50ZrJVJzNRgChCooA9f2UKQHdYkeoQNcv3NX3wzHBfmBFYnZhQsZCxDk
5U01ZKtrjUrxyyD39wgOY/yI5ZlwJBuEtTqOyjctqPv4dwckV7UMHJpsNjl5i7MBOWHinXhvAi9Y
FLPIX8YUjUOT7X79Dr+5j5y2qDMJbuey+jtnb0ygI7bQWq3yIgz7ZAG0iZvaU3xs08r+3W/041IG
1ld25bYjzqY1v3QSY2yGylPaBsk8pvVGseqrX3+f5e169V5wEZ4TB0lE7/ItujbX8cjEZYnCzCGp
Bpb4Tm/H/gqwX32ZdtL63bkaUT2TAJeyNTZCLC+vXo6I1YquzFgtKoRrXUQXsxGTe0BDJRuVrwiv
ytWvv+Cb4cUFcYIaPLDlVLPsyV6+jT7T3pwjMqMUawZgHGMfTCqNi//KVbDl4oc2ERed7bqsLtcz
E0Wlp4GJocTaNa6Gp/+/chW+D+dwuNbyB9DmxUJnRS13lJQvb6gr353i4cuoWc07F3lzcKMsxNYA
jAn+MY4c5zVxn8jtireS72IAoxo0qHQ6IDXyx7SHjB7VBX3lZFfpM6ntaRehckH8XyCbfWce+dmT
s6hxyOVFwV2y/PzFt9XzPpW6z5ND51KSGeeILcny/jsv5HKCPh8B2GZ4NTQVDyWg8NeXQcpu2g0d
Rg+YDkesluZwHPaung1kgPV3YVWijRViJTA7B1G190vt84haALMtIOxCw+bsoCn5/ffJYiLj/kMq
UJcN2svvboAOJtBQL71JdHfLdn1rVNN7+6af3WDQzEzSvLUshcvc8OIGC0nrTa25CD3d3FOURVBr
kOv766/ys/tLqdPmCE6nhYPO66s0jZ0UdCxLz69zddclZXRHu746jI0VvzM5L3/qbDJbFnIVaBTH
sx9Hs5dfaOJhwDnuSq8vWmWFFpG0GFXmmxLp6robCeXDnDe5tUoQza+/5NtBg+dcY/6k3rFYos5d
574Z+JA9i9IzUfw+xp2EUErT3ys7Yq0E27FjZw3FM9okeUnwYHpIDeGvTV9G77w5y0N7dQ/gFAgL
k77KBovd/dnqq4DDL1podp4eVN9VVUEuMvWp67e+WCV4Gt8ZpG8W++WMwMGWr8+8hNvt7On6dtBk
4Bm92Mggj2NxDGj78vqeyDuE/JYVKOkzWhX3v77hb95drktFnGXLNhi6PzbOL97dVppDHQ9d7g0c
jy5Ni1ELgV2+szoaS2Xz7G5ynsBgxQEGGtkbJzHMI6JRJlLhOqW9r2x7oribdju/zpTjVFY0lfBJ
7MMsDL1WsdKT1SAoJjHMXptdNj9y46a9YWeyXKdyMPEFD/GIEa9w7qzO+JQZ6XSTKCyDHFaIu9Eb
HlJSVUieER6PqGgOAv3AKlfHbqOQ5XQjLKN30bAlkI979ZgDxjvCRG43qGoiV7QiXMNzjDxYZPU2
QWrpZemYnMpsNjfTzLz2248BIAEVYY6L/Ot886o4nEJ0RD2EPU64/lS26FXcP/76Im9s5iqHSM4/
bLcwdmociV6/ZINOyCX8ytyr/fQrSelXo4n/K4oiqt2wWTdJn1+HQsFfPru0x+Rq8E0v7OA0i4Tk
whwZ4ViTi1I67+0u3sw4yyfjnExfBnoR57TXn4xkzx7bzczrr4/dftbqGr+/cFa6HmvQxwNGgM4s
ABHAfmfgvZlWz658dk9k5cR2B6LJy4ZsQLgmB6BJeH6yCALor+//T8aaUGFPsEMkDQk97OsvGfSz
PqgdLmW7RieUm1WIhTaUv7tRW74QTDuKDyqF4/NTfCJKgaVmGdFNp3kCZsFGzP7D738VOrICjMuP
Te/ZdKUqsopU+vlerdnVZkbiThb9oL3zbH72VlCIoAZPgZ3DwtmzMUUdoDeMeTZsLpC4Gsmn0B/k
ZkKMfoki0TwMQdvjzFPgXf3+F6TSLMEBMS5p9L1+VgBYog5ac+aFuRE9wNJF8FIPcvfrq/xkkeG0
CvRkqSAhQjjbM82QUrFERZmnEzR4BH83oJgkUagIkN3WgRHSPP1n2ev6zwn3Zd/vJzeUB0a1hQvK
pXrw+lvp44B6yIwzT+kbxZOii1Z1Dxg6LgiBJkii2+g9QOcsn+p37ueycT9bAAy220w9OJw5h51d
2YG+2w8Y6ryZqISNJIp+PXdzvUF/EX8weahuYOX1BqVqtSrK8r1M5Z8MvVeXPxt6HS9RqXRN6ikV
0YxZgTFoNOvxnd3LTx7nUtMGlMFTo2l9dpUEqV3pN5KrOIbcjew8d3GArlLDrrpFsdy+M6G8valM
lkwoiAbZLxHp/vpxzsrIrroIU6/gZ5s8Lj7RipVE/Mbm2unQsCVFaFwpaLbIyO3t/e++TBTnGZtQ
M5lsIEW+vjp+C7UvTLX04iq5Yo52NkZnKVdVh4o6hYaz/r+cnceS20iwrl/oIALebEESJJtt1Gpp
ZDYIjWYEU/AeePrzoePGDRHEIUKz0Sw0imIVqrKyMn/DJpOfgfpvRIWb5vWsOkbZa85cuMkQUroe
WNHKPogCP0ftIWrqJ5FW0ITB8FjSZUCz4l/8P5AstiuprF+HNqyfeAYY9Q5yKSICaTA4X4Zksnet
NRA2TGB/36pa6aw9NS7pRx9D93MVXB0rpOhtzAzltqHsaU1j81EWEg58RdvybFEDH8jn0HfIBiLJ
Uf+VGU17BjaXf28DC9ZuYRdFARO2tl9452Crib7oNyzO7BDKbh9+F+C3/73/SW63OWo5JM4Ui3js
AVm9Xhl4R0Psd3FxtBxJ/lZzYwMSrfJv90e5zVXRGtR4TGkkcmgOLi5rTBg15MOQcJQocPjB8Kj0
Dua7WvYJtyFEwWvb2YgetwVGOufzk4TxsMkiXl5PrJSjOrQhYB/RqWmhcPb+w4jc/Z7zETw4qo8W
lkBZekgLmOhVhZF9bSE98Kfznn8E1zdJyvxGWWz4FEF9odY+YD1nzs4TSHAPbTnZZ2UIJhxGrUC5
yL49/XN/2LXJcwGy0We4GqnDAjZgmn4YgP5Pj01kYU1U5DJgaswDdauK90PfNMCYY/s7ckE1oNE6
8+Iyno73f8RtqFGRAXJketrcxLQ1rj+AI4VVKocTN0emIcOuWdEMI20OqHPHO9h10N4p3scXrFl6
vFmEtTH++iL89gMWOwBHxrQrfQhNLZpsr2Uzxa8DaPZD1PXSPjaM4gLZ3fIAoSSgrHPcMR3V3NiG
t8frehEWx8tvRhlCswapKmp/oOJlfzT0qd64o9cGodNPo53qHv9dBPWmprzdqfK8y7TwQ93pCIqp
qbaReayPQjf9/Yuysa6/ZxiIvi0A8VAt1+V9o6TqB2iB9saJuS0Kod8I34UuKgUYpGQW20brnLrS
7ZI0Kk4LN9X78G2ox2ZPF0F6aowIWfh26D5AAjWeMow4Se0G8a+tJ0hVDJL5DD9a4L8M0Q/ibbzh
Nbe2Br//uMUatCZAW0ep+Zw2TpUqDjivEgjx/f2TY7CS15kPS/AOXqCRPMumLlY67LWyVViCTC+S
z5pWZo9TCWEk1sONV/Zt+sFIcKWAsdDtIkJfj+QXVYA4SZIexylSQGlmUPosJzwUUfW9sbKtN8DW
cIuwJKncalwuDCcnOGhjVA2XLPDP4Fnis4PGxsZCro5Hh2dG9s34mvlz/laqqBtoCRGQ7qOMyOpn
3FmVo1SH5h5P7YaqdO7/cTbHcgLFJW3lGqEncj1e76emHYyMBxAVtmGPSLFAaGXn2PV4VP2++/Px
NBAMDEZWNeskX4+XZbUc9iOtpTDKpp1ptuHBNvIfcELqizWluXd/X75XuRcbk+co6kkIMiPyBB7y
aj2lIFeFn0viyF2HFXIsfjWFvQtg/+RB9iLJESBZwIBKJB5jqXyAhbTHq2hfKcKT8uAxp9e3F22M
TWmGR0nhaQmizpW/DxM53Pj0K9Ff4wwh5QN7m4RPXuw1tYWGOmqlOKqxIx3wM8BLSFN07v+uPzVT
8aiP0hP6PKk7FqN6tEOteru/XLfHGOdL7l9SbUPjEy12g9W38MygfbAb0MTSqBVBGh6RWEIAbWO2
c1C8/jAMxXWPGB6Pax7Z1x9Gi+LQHDUtPiKLVT9IKP49AAKDVGDbkKyNroSGgHDr/fnNp+dmUNoE
FLBpkt80sCwTs7VYMOgI1wRSpVLtKZY1Gzfo7dRmcfkZ0aYA3aXJeD21Dj/ArCtoBeNFC5uQOpKm
vYCxKLD8a5x9WsHxuD+vebGu5zXLKvLhkKCaoZeLGwjJOQV5CFMcNbnqj5olzaXGSOzkOn5CV9B8
CKxJpgZmbgkK3y4oA4MNpE4mAx9cvrW7IJ+QuhvEcewxM5SKuIRcE24t6DtLYTE/cHmkxHNUxMFA
u15RyZInnNtDcWwEPPyED+tZWYgoU+NYp76aogdYT9MPzPu0vaO0Mhy9wTkbSSUwEOtgwCWQTe8v
+e1RUQEIcgu9Y615CF//JEQ5kDuYYnGcpSfO+LOTqsqRstcSe6tbvToUVwLIHVOjP7kYqkw6myo9
sxeNHh0zOaaCETRYtwnny/1JrXxOLp5ZuRgxPGp4i32UqqWs27Ud8+j0U7CYZYXKiB1vLN38exdf
E8wZrSSqM/A/lmWnWh71MS3g/0DoEUe7U5w31BegBPs+rpElNOD7s1pZP0cnY5iB9GygpSQ/AImO
h/0cagJUeehkDZ4VVeOD3Wb/DxH5fwrhrw7FzGhgyTTklk+4VspTTG+a+Bim3US6gGziNGrq2Wxj
fSMRet9hi2V0iP+0kdkZWNYuP1at5G3bORHdFKX/5MCb2TnIUB6NAqfCCk+8UyVXMjJSY4jMMmLU
MFQyXOvi/qLZof8aRrp+GClt/qNZgYHp5WBArIDclQ1wPiGyCkT8aQRpmI9eTAGfecz87kWgsI0V
IESiGuT6n+JbAERCiJhrH8AmboyDW9kUZY254HGga7U3u8J0R6MVG+FyXpnrlaN4PGu6K7S8gMQv
Vk5JfUwnOxSN8nLqvNwoMLg07HY2JM2PpilBdaRi6v3pLuRSIM2aZ0WHcylfrI1hAwY/jI6UzYQX
AYWGkwXSyrK6jf2+lkggJa/SaZuBGvbydTVgZi+HFiyvtsqlY9/auqdojfrQ5qWGQouKqmVeNi9G
TyuoR4hnZwbVltzvbSih0QaUj26axt22xBB1vNHBHqfRsQIs5hl50hyMwcg3vuQNv40jDZ2eKj0R
BUbeErLdtojtYXASHpE7UsjlIDcfqhiPU2nyB7ruPpoEQH3wlc+zc+hXwcvoZN8DvzAeJ5xPXDR2
q4s2TuXx/te+ha/xw/jM1JCMdxn4RTKn0ERD6hP/q7aS/DMyTMOuHIL6hGuX6o5ZNjxnatcc0rhD
2VWdLExH0bKeqmg6+DVQt/s/5zYu8WtA73B5Ett5pF7fVoY59HqZmxg+1qbxDaK37KEmoe7DAbb3
/aFuc5GZIkk6QgV+rlzOP+W3F4yBuIOpNYY4ymxvSt81+hotLcgRSXrXzHTNbQLkd6hkbdVMVx7i
s0kDNVPqxAidLrW0tQyS3lTq8ZF4+TwNsf0ypraMlY0d7ApFNEiaF02P+SJyXZosRWezRq2lxXMU
x8egpPFpS4+0DlCKU4q/7i/LyhcAPUF1AGCmDvJncYmHWpCY+HHGxykZn4Wtl4+xDUUadKa+oZO+
cvJmede5BQ0cVLbmv//tA+h4nRZmkkKvLc14cs0UfXZLb+twY0/dXuOg6OiwwA15R7UuPjR3uITu
WcYNrqHV7+tI1OhR/W+syi9s9y1bm5WYPXPewBkZWHHQULqeFRqCcmiAJcIVUPa9qdZJtaISBxg9
Lb3Qwp4WGSN9I7ysfbR3xXlwA8iuLfPqOHGcsh8cMpUsj1AzMAPPdEiKtE7b6pu+96UXl9KcSsKI
ps/AcIvChuxEStjLPhtEUt5CyOtR1TyTtzz6hnqATXeKjfKMSq+Htj+yb9ZHuSxBLNfPdlTvs4Cq
e1896/7w2Sq60/29uxbMUGeiuEXEcsC+Lh5rFuJxIzlCfEwofe5EpCNQNxQK3Pqo35upMLw+rorn
yVDzM1MMDq0/dUcLqS/gNMFWDWHlOUCFluwbtBM5Fo2A671Q1lylouIsxd1YHCLYNJchrX4kbSE+
BHX/sY+R2gH+TWMA2OpOmM3wALcH25OyqZHvozF2f4HmAW++nQHNcO5HA1leHG7M4QZZ7Qk8SBBC
G0wlx4X3VqJpincy0gJ0j0PH/JKrYXcaJ4x87w+/duIdGhU4yHDqifPX69HBKg7ljs/j9AVvQKXE
Lxog18aVtjrJmZUEAhqPPlW7HsXPMbxHV4ZRaJtAArHLv2R7VPZUo7Fd59jvkFmU3bjX0+caIb+N
NX6fxc0i8zqhswoBnyTxevwBB0rJyTseJwmivnr42nbodJXmGUlyFJ3sQ4nygcEHNlvnRcuIQE4Z
v1AT/FT1KA8qvlfI1r6pFTdVgFpE4kG1k4dGF5caTIqexT8bUTxaQfcIcBGnTfEqF/0vYyweM5VG
lxodDCPA6Hz4MMrBs4IGOxiZHagZB92++IiKB57I6odhEF/SMv85JzsW1pO8qR6A7Hq8AJ40m/Mx
Nmch+Ud0zCCMhpc+mxNr+ywQwUJD+BSb3a6I/MsQOA/YFqAB2nrIjp5TSflQmOlZHoOfkugvYa8f
pDZ8UcWoorGREwQx72hgqpr510bSTp1tHH2sBH0Frz67L5HpKt/+eOPB2JtLDwpdC0C6159EAL6Q
MykgyRvt3m1bFYsXWygbG28FLzcj3mnq2zPmHdjH9TA4LkOXiPiAlUQzvy+d9GCKRqAKP/hnHrTW
oyPFaMxkiY+kVIi0nVnJx7SOft2f7u2NN7+0SDQtQMKkdosbr/fberT8kusnVPNHYdT5qZQ09Thb
TP8oS83aiLtb4y3CityqAUaFle9ZY4yqXExPYcAn4VCGeNGiIVM+3Z/f6nVnEb/majA0s8V4ltYG
Zd8TV3EOQiRMG2QvbcKIXeU4n+4PtRqyZm8VkMMw2ZYRkxWbWkfM6ZCk2FgPjIintMkWZ2N9FJ1x
KDSQGC72ZymcGFChjC5I4JQPPYHBNSU1/w8J12xZiuEOLR2QjdfbE82qRMWPOz7qLWIMgS/Hewkf
4PP9FVv5OMRVNLNwVKI0+w4Y+C2tKwZDJBk9+ePsZwBwDIkyW2S+J4qtBvvttpsb3wAu6NDh6reE
SxpdpYcx1r7H0bSnRyQM9R2idvZZywVKLKLIN14MK1+JdF3jwQoqcNYpuV6/lIJf02IQekxoqlza
vo2fR9Pfgqqvj8K1R/NhbrQvri9KCW0q8yg4pm2VuihqmijtkULd/0qro2ArinTDXD9f7gWLR0ef
zGuXmWN5MSOn2/PqSzdqP6t7YWZskglTeF3Kp5CATaoWtvGxjZXA05sU74ogm01biuBwf0LvJavF
tQtqcTbKYNkAbi7XDc/XXsKg9YgVfAAnrERWdmdbUd2f0CgMX1A9zKdDpFqiQoEpxGx+olTcP1R6
asduFfrTxZJkHUW2QctxPZNV8aVC0/aTmJx/DH+aDtLQGH8NkYlEmsAppXKz0UmelBG8ilsWVqc/
tEahYk5nls1bIPctXmFK3/XHYTRjnm6WMqJ6SoPkpwW42BORA3VQDnQne+DEl8qrr1YOOnNd2n01
qyjG775KUSwsjQ5TAPyXyn6XKZ2J4wdwcYRbcvWbzOsdZelcT8+pghzDLHnwE3yRMbhaSoMos/L0
pSpHT83g8GLS0iKNlWOA9KG3QdeAI1WT70WD7B2/bxxOZjDxUxsHtYxdbafm16SQ5Y+Nibeua6PM
/wXjlfrvaaLhvgvbEKdBUjDxlSNz5l9myGwkhn6AHG+0rlMYMd72amd+00SszZ40jQGorRcCoU2z
D91SWGJwR8vMXyvAvKc2VYp4X0+t8siatdNDVcTB5xJbwzOyF+WHFEu+QzuiE4Owh/pU9krrycaY
npzIimTsf9QB//ZCoaZpmeX0BSl0mxaDL4Vb7lQrz7y5F4lxHhgMCjuLVFaqFL/MZQMxXIMCceHY
/7Yor7qo8XyQq6J9yGtb30gv1o4s7yiL0ANgla7rdfipsIinTEBl3WpSaT/U0nQI0TncqGyuBVVO
kYyUArIgxIbrUVrErMcUMMCx5+lOaqoa3XEqjMFTFX98mnql9O4f3LUYQSHVAbgGZ9FYNspluZf7
2mBaWkNNDDUAtMJyyjJ9an++P9LaN8OFBOGC2VkMaP/11LIunShZDdERNfvGkwLN/ohLAUX2dOyR
5lXlv7F38jfi0tp6wm0CJUUlmNfI/KN+uw6TVsWRAvn3Y9ajoc3+7M5aOuRHhAZ/0mWTNzbJympS
KjaAKHFHASpfpKCV31pKZtYUVdCu3jnCyPdFEf0zkShuTGztsc1QtHrIqsGuLCEAtjpVtcip35h2
lX7ycbI8ynal7EuQUbtILy1XAdVx0Gr0HXo/MC+VWtSHYOItEXTyFrlo5eNe/Zp5YX5bZzuNS+x5
6GgMQ7/r8rxBDFxP912ALUUppPTsYLK8cYmuLrYGFGvu2ZO4LcZsGuKkVXH+0XhyDroRFvu2GA1v
snA/ub93V7bRbDSFEhiMLtq16vX0CPuBze1GyjuJ5ASrQPaCOJ5dD3ColGsq9ffHW3nLvDtb/f8B
F9dpb8ftoIL3PloTsMsgHkCSBTrN9gqVYyOrux2dTumcx1nmqUWv7ZrEchBCHjaSrvlQLq712Qye
xIvLHVL64tD2CByZGPmwtzjQe/yiC0rT2Xe0JeVDjBHboan18ihXQjqpRbt1nG609Kjb69TrDRpY
1JQg5VyvOyg2/BosvF/gGgtaT/khd+wdnsuPjdn+O1nmQR8jzxTVX34fn4EXPZLA7dgOWIrgqKPk
Xy3VPydm+mLJ3W5I2k9q64wbh37lZkA5CqwKcGeAuEtSbQfTLSjnPlFv1tj1xRluQW3eb+z2d+L4
9afQwXvg/jvLvlDaWO7BTBsKbVJ0z24pqe99WcB/9u0GMfIJjG37XBdd8YnOPmqfBYLSn/ppqlMX
AKSGzHFo+doepdkKLfM80y5NWNvjfgJOWe+LwOztQ9ghVr6bxtpKd7WGlr+LZJfy0S9YWjepowFb
giSP1Ue7GsuS2mqLoUfYVjIe5UhR/mgdI2/wJnkXrwKG/I+Tif4H3Ob0a2TlDckRHfjcrfS46vbN
VE/nKtRVfIjqiWp7Jvd2ssNkKTFdRZImbxwS+SM6RTJCXEnZ2Ijs+CI9+UZe4rnCKj12UZO0+wAL
aDJaCZcLJdGNYo+VCuoiRhnkCQLwWgFbLR1MsccvMHkdhNXi0TZGX4SBHvlB9v0h2VmY8X4d/U5/
xeyqRB84G4bkQpNldjbN973V1YqXIMGWYmwzYS6kIGf6xK+PH7sqrfSdGDPh70Qra92BJm72cSMc
3IY6cpwZc2pS0rQ5CNfnQJWSGFye5aBgoJ6F1moSytCVE7sYPcU7fURCS+TjiAGC7rtKLSyXH1dQ
aomiF7vEaiVypFlcDNmgfS5vodHeC9yLrUmPHjySNSvF8Fy//nnxUCHyXtqOV1s1dl+BvAPdiNxl
ZqB8aik7EqeP8Bt1gEq9BBpPuEaBWRMqsNP40RxBLPv1pbCyN7bn4f7S3UZuzqYCigc9jfl9Mh/e
3y4mq0APyid44doSPvaThs5mJcmvWZTrXxSJosn94W7iJckNVREE5TDqo5qwiJdBU8ZhWE4o3iOl
jrmWbO+mMO6ebJ1C4BAjO175GDcI5dtQTM3GLXVzCc+DM0X6LLQ7b1Bz05BqbRfW0RFOf+imWvDB
7LO/FIFTb9EWvwy9+3B/tqsD0i0kt0IZjKhzvbiRNNllX+CG1XeFf0xE1ryZI9QVZ6TOqpcGYrp2
88cvdED9IJi4FlhkUrplHJTgxoUds5RbkyuvT/ANQOB/Yy1v9s08CpceFTwESGHgX0/NEQO8gYCp
lYFSnANDpmwrJeEhrMf2gBPqlrPjvFRXR2gej8oGRWs6J8qS9JoNtCyTEHuP3rCw3IT1SxXCxl8r
G10Ad9auUwtjbltsdW1ubq/FwIvQUiKFj7Q9GXKMwbCbTkHn+V29hfxdWU7qoeRpYPfBDC2hWYOp
150ajfS58fk5SpOwvGbCYsnEivFJGJvMv9sECrIyqcNcopzb2Uv0kBQEkhr7ZXj0C1U9mW2ifSyC
QXsoAnZqbUf4bYxtckTa2L8o2Ebu/UgL8QWJpU/3z8jK+hq0P0mUYGyAJ1ykMMUQl1KYBSEZ1Pgz
M7TgOTJQ5L8/yI2TN8bmV6MsDgUqRUYl2TCGfWz2XNgw8U6V6n951sPO4fpw6cOcnXLw4oCGBDWh
/ZiP8c6io+k6frzD5KI60EvT972QsfqaKVRjeBgjOg4R1/ogy699HX9oUpom4OTcqLQqFzTBhVe4
eaibpnbvT2ltxwD5nHuJAAQ4g9cHsGyLzrdUER5RE9Pdnpz3IEz5M2imbo925RYp7/Y9Na8g0tiw
1ngPK8t++GClUjw1VnAMu/IfK0rUfTzq2gcB5Xyf+sZHQxvFAahR+EgAbig1+ImHvJ506WZD+vtz
X4mrs+IaAGh5DuNL0+NMs5scpn9wdArsDSWtD1AJqqedr/a8lxOTHDCZtl6UKxFoLhmjOTBjnmDX
XC84T4wgVRo2alQ3rxm+CJ+coE3fFDACn5RQL3dZSzXRTQrL39q9K/NlaN7onFNaCksBWaoFkzJG
EXrTVn4JlCl0Bbr2gD8S+tgWNadGRJDTh6+DhQFD6r8mlnXWzPInD+B/SqRKRV92FGu7X2YoaOcm
5HxS94My+SlARnFfV+0TFIoYwafyh2Xk9aFNs+YQYMd4/8OtHHaTFwA3E1OZ+5/Xa9i2OcqxDms4
ZDimOVZjeajhGxtFotVReG3wnQBVIMh3PQpVsSiCXRCgE152e3a0Cr9wtDcO4OpHASpFDwECBcfi
epRWCLzgetSPAMNMO+QI8KURiXJG0Q+rrCnDYoOSy8ZWWJ0avI1ZZQL8y7IVI2ScQTpLC4617vws
G0U5GEGUbuSEt89KEmlOOfgXqohzc+l6annl67EN5AClh7h40UtTcWtlkrE7DlsvC7Rkz/NbHECN
SZ+lomx2ZZXIByB/0RuYpn7Xd4NOiVQ3Xrqpme2zhUIOW1kTbrhZ4g6i5U8JvxfvP2wv0AwIFlD2
vBFijOMo8htJ5pNgzuyaKhJHiP//+i+DoP5HQj5H3sVVUojcr+ySQWSzbo5ajCObWWXFRohb+9Bk
yTAueONTu1mMouGv2dME4UNPCFRko1Xt2jkruD+XW6wXX3qGysxiP1Amlxlq2gpH962GSBrI8V9l
P+nnRKYdgQEVEjw86vfgw0Dc94Bhp2J4RcfFAiEAAk8AoD71A/5QuahAs2RZedr4cfMVtsj5qPLK
jDJza2jIXW9DNaBRH8A+97hL2h+gyXDagPi1k9OpfMCQOuY1zd0CNl1HyTWBaogpXhwX9dYqzQPd
/BDoL7NEE52vZdlymtDObkUjeWOaOy94TT2WgWSfJjnVPSPW0pes6Gf7CP8XXYz0l68HJABTN7wW
Rq683l+VlY2BnB+ZPSX2WWHSvF6UwKn7qrZzySuSsdwjsKW4oQ+15k9HmftuZNtAqGaVx8VlV+cK
wPwJ5SczUQcXT7vqHOIcu7HJb0Moo7CecwTlPC2Zhbo8miJTJt8D8Kfuq2IcTxHKfJjyRsNJBV+y
kzN12BgUYMXN52RYat3cqRSiQfdeL2EdjVplDI3vJS1iUpHyWOCo8pPmgS0fsETpjwVwVsctnLzS
dm1aJx8N38LUq0qNQXF7eeISLiz5I0C78RWcmMQlLL+YseO8BZ0uvg85YNaDAzaTtsGkpp/CUFN/
lpqJm1RhtaO5m7pI/t4mSjrsS90eJUpJTaqfh2pAjtmhw4f9gC/Udp9oU/wJ6fjEh9UYOaMbpaEf
uBaFrmJfK7Ez7CMjD/y93xn4vNiSWsVgX5LgqRub6LFKW//b0EtIGA9O8SMK2jFxRQyR0VXhKL12
baHjnzGkv7JGzf6OiwD7lSmQjZ4+ltGxnZ2Id4EU/S30xnmOEDgy93WGszdIRdUa2OXmQAZm9QUY
BxPC+9SJ8Gdsl5yAXNTRD6l3FJyqpQEtajVv/zKnEeY7nIG/lHwqJrfC2kwc41DN8CdsWhBC8Il+
DrrSvphR5gC8NMzqNALLfU0VGoOgjlTpUan0yD9ogHdOYQsdzFUlOfkeSnb/JSv0+jXRlQlbO7l+
tWk34OmSPoo2xY2vsls5AzBUUHDJen+2pjQuRBfrUwIi5bWMYx8jPejJ+ypzxktOn9Q54VIaocWP
HJq0r+y6kP8uLIFrtN47UbTjTWRUyGkKngrotUm1m0q+03vwvIPvSjZ15b5VlPY57kIxHiujkPTd
/yRNjLhOqQI8iKwQLnahO6+SMDPsljLjc4JKSeqivuljA+80HwPwVzgY2wLWmpJKNgUiXPU+24kp
vfZRmv51//TPp/s63lGjgjxO/wRxmBvUeVA51uCL2PeCGmlQP0Sgoc0V9WjV5uc/Hwmox8xARQOD
l/31USSzKNUqSMEkITZyKerwV9OK8ll26mgj9VybEwAxVTZI4mEFLnOaOAjCbggZiaeBVwZpdZkK
39jVrfT1/pxuiQPAa1EmQ/GG2Ek7bzGUsAvbltigXhHUyDRpuFBKFq1hYoN24iIZ96Fe0xoGYLwP
gw6epEi3Quv7fBbfkB/BD5DJgekNLIJcX2hA6Xrf8dLAnLxkQLPWGLD7zPXsszq2F4jSuCn6dr8z
/Bq/IJviRuvkl0pq/g2c77HUX5rG/xbZ5sUMNfNXW0zBqY61YuOWX/kuFJKgpPGSlQnJi8UaSmvS
ZRy5vEaaXXtD+5+kTtsD/Gjfvf9dVm4bnUYguB4IBfRqFi9mO/BB+miYteP3me+71KA/1FpYtmeD
jBJEog2uDnTgz/cdzdxZrWrW0wLgdL3DAx87cYahNG0F8teuUUY3UOP+xP9r/oelhBxD/YiDi8bz
4jBZSqM7YcZQDgZLbhth7gXCpERPspk2ZrW6x8lK2d821Aw4i9fTcgzR9mh5OF5X9eAqcj+1Dg4W
xod6Up1DQl/+3HP5HiRD6falXWTnkkxi4yqf1265x5HQ4Y2H9q1K6ez6R5hBFIxUKhxvipUE71OV
jmo42F400eFEE7f6VA68ThIj2/qqqyPTW0HuiYDC3r0e2ZDTMJYSyuYYz3YHzM9LF/9x+0HqkFbF
Si34POYxzvDCUDc+8m3+B/IK+2uoatSUlWX+ZwfIqVQB1M0WlDvWDoVCf8PZUptaO5UKyTcf12I3
LVHCfUmvJsowc8ckMNrXsen/gCT0CBzL2uigrs6HVwgQC4oqNwLVOklQiTeT4+mRWT6D1czZudEW
OmX+Hjc7Bey9wSWjUGqcf8VvbQ6DFrtDwsEoGVJOXaXVnqYMyZOML89TRuV1I9bMUWs5njoLlQPl
oDZ3Q17GonoAluJ4UhaWL86I6E1QNMUhzzu0w6cOm9ZGw4Wi1sKXrOq3GsNroY5oyjuBvaIay7Z0
ZExJKKcM72tWf7bCwfmgxhaedCqyLPS74BDJ0fDlfnxdOxO/DbqUmOoLxQcaxaA1rcmftenHF81K
Iw/6Vvo6OnoFFbbS95Jlfro/8OpsqYQC5IMaxKv8+uM25jBVAFn4uPTPEA2p8r2tJclJbsoKo6Qw
f0OC6+f9MVcqypRgVLCdcy+Jl8QiArSYdfpIOXFClPBHnvB+4Xke/tPpGAu2Gg59CKVMldtluupZ
cZA9VGj2uoGEnbnfGMToEftcxJFGmifWF0Oqyg+10ZjP6gSvPWWLeHA8zVOpOwBGaBJ7gKbVc0Jx
DRwf2qrIwWX809lGMUuDj/dnt7p9Z0o6gDzwHEsIsx4PeZj3rKiRSQKXXwA6l7Z2SOSxRvgZJeio
CiUIL7IVaK7i+NWW3MpK/KG6y+WiU3ClDLWI7GE1Wby2uF6avGqeZLzYn6LBbp8qS093k5blT7LR
pRg84+9aI12PXWTZf5B4x+0zRch7U1jJOW0H+9QjLeaOuAwfEryb6ESXxq7D9G3XTHZ/UaVJdnsk
t3zEO0+obKEjOaXmU4SZ7AF9C/mzYXeDWxe1tXcQ+TvIQY2ttQp8YeC37MwJD1QkBlFNUzRay7hW
0eY+tBpNFB2FLxqoetiURzudsie9jcavihKI8/2vtRJCUT5E7hfYA4WvZRItt0kpyRV7ymhmh0ob
O1E5CrWNkLZyvGepdzpUKF7Tz1xs+DA1Il+1SxJKQ7IOQTogdloo8T6oakpFo0j2atqkXs5l4t2f
31ouO7MFEKskevMwWUTvPFK6vjO4bQFxpmfMfsvuAr9ZbXe2Ocg+KpzF+D0xYuVcBBwINRTosiW4
k8IEG0bsoFv9Gxax7VtT4IKAp7UkP9rYjWKgptU1EsyREp1DfFb/mNE0w/JnJhNxafalW0QmMQpb
wrydNcsU7SQFSbOzVAyWq7DM99gdt3uskZGb40HhSU67hTpbO0UaEFDuu7nKtwQvBgA+hrHKSdJS
MJmj6utuU9TJyVD8jRC8tgVB+FAqIgCB/tSuQ3BU2xYyeExUibrAi2w09AI5kDe24C1ljfUkeZ8T
IAOs6XuT6rdrfIjSKK2nigyv6vvIU+oIa1oAmgjwDaRqyS7q4u6trqrgtcaX/aH3kyg5RVIS0f4A
DMgbKB8bfCgHJ3q7v0nfoZKLK38umMFooaJEYWm+pX77bbljSbFvJY7XN+a+lJzvQww0TW7TQxYY
pyIXly5Pnh2fGkmgf0x7+W/RTU/FmD4EVYEvV3/oi2hnyNlbR2G8aLSdsIaTpOQHFSljyYGNHbBh
Wq3bQ/qoXBVFko31XblIKfrNsAEUKanHLR4QUWK2Aky87fFAAhrZgk9Ji1bf1brxqDhNs7dmJOHG
us1bY7luNPbBK/BWJpFfxJVklEU7TSamylZbf/Kj2HhxgE1kFL0HwXTLxnFzkCF/w3dWvwLR7Su3
bp0fUkVJyi27aHwZEfn56QOGq/b6MDzFVOdTNzSi+JsqKQhcjiilfkmE0YRulaOhuht9X/0q/FjZ
YvOuXJysIK0TVBXBOy3fBUOLhn2YjbbXOD+SJJ0uSN+m56wAVmZ3KDVXssBou6wEZtZA5e8v5UqP
dtZmMoDrAMGEULy4NRNf8a0CAoIX0w92rbi8KH6NpWn1SQ5sWt9K5klt8pY5ysfQlH7pcCvUqN6S
4l3dRRatI95H79f39UFQkEMOBIg0bwqcZ1xb5/r9xH2ZRcHB8cvGtfx/7098LfoAz+Y5NGeBwJmu
R5yt1wEWsG8LpUe6JrWtXR4Sgu6P8o6cWe5UIhweDNCLYTIvT3gkIwDScr01wfgd0q7tZWkFkwFE
8V4VaeQWgmZ4QUPlPIisOgFRbXeOEhqfbX+AvBpZ+tFUgvI4TXPjNsr6E63s8HFEsfGCGKHmJQXl
28EMk2dU3f+8YTmLqs+YoBlkoi+F1WtsNbO60Gyv7FRxocWnerLa124YqNXRmWLpKZCkYSOkrH4a
cmQYz1CSQLhcfxrq4ROCHpPtUZmJqWCWpqvlpbGRIawdOwqV0GtoV/LKU69HMaeqqDS/t71EsXMP
motJWbR3vHLK48+GEdWP+K45lzTr7LcqKZON4deqIRRBZl0SlAlm8vD1+H7VlU4iMb4YYxQ6SMfI
JUV0zkFG7Bo/dN6sJOrJAvrJlS1B9dxs1Y0fsbrSM+wLJB+34xJaJxUR0KuO6ocd6oo7+pZ+apA6
298/BPdHceTFUTPAKw5Uzm1P0qr6sa0zFAMcqfkvcwEvpwAwA1iOLebVXUrVZqTAUrNVlRargVax
9oGN9sd/mAtYFmRySGmBsl2PkhhCS/W2Y29GYUBANt8y1BA3gvLa1gSEB8EMYsysgX49iGpnDZLB
RMMhzNSXxJ6i58khEZNGOz5piYVW21Aj/FDm6sEBbbYxx7V3Kr0ufgH+TJARlyx/39JErqO2zNEI
LeSJ4mqC5415/V4qbft7YzrxV10Tw/8yd2bLcSNn2r6Vjj4eeLAvf0z7AFWFKi6iJKolWTpByJKM
HUjsy9X/T9LtGRaqhjD7aCIcDsuUmEBmIvNb3qXyMVVSFz9RLSWjnRvV5i0ZZ+b5WPeICJedMvxH
P1Bz8z2lGtw9QCOHXkdpoTyqzbxHVFcaIm2NBzXUTrEB3WW1I94uGMNFO6Pnv30lq2UnxfGKR47P
6NHw8vbry4t6LU0h1qZvTAwGn3p1B4LKiMVQ58QwFfRwiMUW0QO3Apy+8ZSSUx86o7d2k+rMH14e
+dq9J1mldBQ5g4Dkn690puu1TUOdW2iJ4ncNdhD72s7+pjXNB7d3H2MHw9GXR7T5jesL6fmIqw1s
5i4AF5V7CC3lPW2U77mjLyeoQrtlXJSNb/Ja8I33BhgwabZJKrbayXXTJ33Wc8vmI17MRVNNtS/Q
9T7ULVoVMZHHPYB6Ohyz8im2O+92RJ1yPxlutuvd/ketOa92BISNzLUu6WAgJcATn8944ylur9AE
CSLEwk5laQ63/0bWcWVdz0ZZvfcyxE0UyYN1RpTgiJq4GSAmZ9NVbNt3WTQnbxX1T+RTSHe5IJgo
apF2G+dvxt4dFU8es0a1jCQCy7yzZXHj5f1zqfvEBKKjIzVunnA+qw1kY0SoVUAVKS7pw3ur92Li
laLeT7EWH9pIcz81aTcHcxs2+9acjdvKKM1v9B+Htzhg57dxpii7pQd28fKDXTk0SQQkKpTsWaWo
eP76qMWa3VChUIPXYuNzSLbSZJJMqVetXZEVNM8w8A0Gy/jsqs3w8eXRL0VkPKQ05ZzAqYfCra6m
pSARWWhmhAEp49DsvDQa38ShNYhdAokDZTf8DfeZ20aPWi21UyQLPPYTRXHulq62sHYEM+y7JQnK
XqFrfMCMKY+DtEpy+S3wdfmZm5sbj33l5IN9SW4sWYQAI1fnjzPplpKOsuLk6eObue+L21qp+09e
HiMvMqCX4lD4CtQ2tDcUD64EBbQj6BXDbQYysu6tZqpG4ayHRU/tqP+hpVO/S4fF3aBrXxnlCQLJ
l45PF/CU803hpXk62IvrBNqMOavvucJofcsUxcapevm9w08EaCmJXZxy63KymjuNUbWDE4Stl+9V
JYsf47RJd5Y5OceJtMcvvDB7fHnPXRlUNltAFwGFkaCY85djOwqRaViXmKHe1v7ievO7ytM+h7be
3FdiKb83zrRlMn/lSKdsCIlOFizQc123efA0Sqg/xU6AeHZ0S8G1fZwtagtupBlIclIvrTURPjQe
mJNpsr0H9CZEUNk0MVuX7rXpiNcnDJTJ+PSpZUqo6xoTFPduGLmtYQe5F+YnI6v7I5a29eHl6b68
ORkFYiQybuC6EDc5n26Rm3GCd5kd4HiXnxriiT3SE3uE2CaSlGpLe3RruNXWbQ2v7dhVdgALyN61
qmgO3gCCV3X6cK8nw+ujdD5/kj06atIC+2ndn9WiklxplEWZ7WAyRHOcOnqwuVDGjdjy8sBhFBmg
c0Zj9rjuMjWtbWDp0NqBHerZ3gjb6f1gRAYQPIXx8EC+d0Ac7JZk2pJ0kfN1HvhQaASLza1PUZiG
9/ny5ZHwinwWNn7tmbKb8xYZYjOvb5LMGbZaEZdD8XrAOZhQiEPryqbI0VMhgLSCpBr1G2h54Y06
ZXW6cehceSOpGINNBt17YrpVKEPNoIggXVlBHivRXZak+mkARhRUtVNtnNZXhoKGSaNGIhlhYa0u
V7OPUScoY4jAiVIhnbfUO5xHvL2olq1S0NWhpLCd9CoDnrVap7iNk7YZPTMoraQKlBHl1GjUx6MG
mXBjM145QPEEs1VcLyQgYA3HppHWdPFimgG216gbZSGi23FkPahLkn3WGk09UrJbNlbtSmeCaeQr
MKHgQoJac6xVjaQJO2oD+VOS4HpE2m4SkE9zx7wd8qxBf3wwH8dI/556RvIhM4AR4gWTBNPiecc4
s7TbBfGJvZ2bXRC5WR6ItlH9DvWbeyccP7186l2Zo6ciGfEy7nEInZ1/NmQkIUngQq+hMF0OO86G
YGeCRDs1RRifXh7syplH3kn7mbmROGm5N56dQfToPBe9IDPABt24I/SwjsqsDOgcYoAyK8X4atQ/
YRbwHrJdJNFBWJ6PN+Zi5BMGkRsuwDYbDW2pwi2Sjbe6sqOf2EoYOksdg/XH46RDWos8YRR7Nh9t
L58PUb50yP1znL88gfKBV4cciSzMbppHQMDXMFUsyPPSSB2qgnOjvQ29NoLFnmyF2lfA/qgtcYqj
3Uwzm5b2+bzVhTNZSOXrAWbFyq3iueFjm0WCrhTCF5mfmEp1cGsx3eA+Nv0sqmYOysmcbhoEBd7S
orHuPJt2qJXU1YJKS54jaKBleK8ksd878dLuAEXa76w8noPXThDNYcqZsubLx+esDrLOqKvOFq4e
ZBZF9lyE3123if7MIFL7AzFQdFHXPTStXooe7V09wM97ACJXtV/tqC5/f/lVLj8WbJJJ8xAjokhE
3/18EcwiylIk4Cgto7Dn04eJd0vXkSYAo0BcONly/ruS4pwPqJ8PqIwwvdPJdlBHULrbOW8qapdx
8XOssuQ2vo/h+mn9sCM9c9AG6cnEkikO0BEavxQ4XUEJd7zHtq3qg5NQ4ySHLI+tQGDv5Xm5/Nx4
TNpqsnxMQ2Xd8DOSpQa05zjBnGT1ru4JBMWo9j5YAGNjoa9QIhkL7QCKuJxXXCXnU4JvkQeGC/vt
JEIKEepZs9eqStspdToFYSmolKP6fKOKqt0j7TPvh8xUdnZZlxtnzOWHz4OgiS8ruSR0a2qf6ZGh
wfhwAhzJhtMYIkluzN5W8ehK0ZphYBLQDoAwc4FRisolb0Pa13QdIjj/kJVOURj3fu3WZFeWQC5k
RrIxx4XsToCGRiFS0zbW99qrShNK2W8ER7fGZVVpTNpDzz+II8fEczWudobam68+SQn0JcgY+AKp
xbrFqApXq6QhU5B0o7MP53E+paVTHl7eqzJEOz+vGQUSL5ozUmZxvX/Uvplg0eiS0uYAAnS16aQt
zs8xdki6dQ3G05gVtzoxwEboc+0jkerYssQrxV7kgz27aZGU7cK8NpnERTh3XWuFhzbMsQrXyq2h
rp1TnE6E3kBMkYRc1aWQ4jcUMbNeYz+V+yGlo6VpSYqrcselbpmvT2SeUjRaRCBoJQHn/NU0HEZa
ZRqdwNbn6kbvk9zPh9jdCB2uvhXnu/zq5QG8eqtBmyVwf6KyUDrujq6JIA1PylNSjB+Nqc7fvbxR
nihiFztFNuIo1RA+rj/whLpfDD6QLw9Q06Eq62kXer0OBnkOAz0yopvFGGghUYkAvJpMtzrekJA+
RH4qJvR4CRS7vaZ25o2aGqhGFEO+75TkB0xE/Q2dPA3Ir1WdtE4Tt102fFly6BWeBjZhCIv+bVk6
xgHSQ+QjCBLtNSxw9p0GDiVKwxKk/xIfX37ha/NLFY3gTFJ91HVf2qh7Q8wLFRWlyfUgz7MwoOzA
eHACaD8a2hamVC7YeoI51qS3Jn0AFOLPt01GA1ANY9cO5q4qkWfvvZ3DPO5jrBh2UWQIv4Uec0Jz
1z6NxF8BzBP05McmfpuYo3uq+8HwlWiZA2vBhyXvzXE3qzBJhrbQfCTYhzc9XjH3EfcjfRO3vfVC
dzq59jDu+0WCPcdovnEWr9kBAVMr30NN+CSaEH9kDCGMFtVau3J9RnHtasJ2K7WO+mykd9WEtsB/
CK3poqRpnCArIFAKZWlv85R7b6HJ+Pnlxbl2bD2fq9XmF1ods8doELWeXvtNVxifrM7S3tZhauxq
7IeO6JFZOw/Q1O7lka8c/uC5UB7zSHkpIsht8+zcmqLKM1sn4VgerPq+n9BW1/K2Pb08ypXTEXQc
VzoCmPKMXIVWoGSnzIbdHAx5h+1jbolTYlT3kzW1G8fIZXqFHdezkVa7rigMpM7ziGMkiqydoZcj
TgqAtJUFyJGjYJnbqErzZyYR7gQxsAxS14YYCnyOrm5Tbh2rnI6lJxR6BukWnvnaJFKNpz0mG0DW
ulAY13EkTEGhMGt6FGpUpURga9RvO8XawsxdHYrTQgJowPKujY5jpUkiS8sdgs2s3tee/gG2b3pq
K1AKL++MK+0PUp5nQ8kN+mwDVkXeg9m17UCxLeeN58QiaMMquzfhYAWTF4qvSpX/I3WnzreHOr5N
XGK9vmwcv87V5q4v7e85gP+NmOh/eSz6HwiLXaHudEPpJV1R8F0YpaoeHQ3TzP3sVrp+SCrV9l24
X8hSJOP8VhSL2fihVbd37miKdl/jPHay5wroGTpH9d+yTp22iqdXUkaq77LJCTwYC6K1aBAqVyz+
wBKZsY30RByIarpbPOer5i1vYwVUlaqRwJgw3+L0ndFPp0GP34wS8dxnybtZKDe2Vn6qrG43G+pD
6yi7cUGx9OXlfQoeV7eADKLhaXOvkz/LLtOz5aXU4SxtTpHXVZSQ/nY/zneeFQ2HLukQscKMJyj0
VpwifNN8sVTjCW+vek90lx/myRgPCsL3h6yY05OS5+aD16fLvT3aILi5JA6pvWif/wNSgQaW28J0
XGDdrJbOeACdYfrwfrbweVcAXkw8NWtUriQOdi3hPS/1HDmZaQdSn/v7LNrKRyVm2KeqiUJ5OHU7
xRj0o6IXy7vYK4EOegkpfFFYJ9rTm+zxawc4eDNoyAiDSLLB+QTjIjvNaerZQSwRGm1ToMWjR+bR
Ck2E1fIFnVNXSXaF1DZXc/tnM5QD9Ok884lPB39s1D5oIGNuHIlyXS/WnZIAgGiyJ47988fyFLAp
OVde0MbhPRd7+cHOovpDN6DhKlT1p5044lRAXA2MBWG+l3fdtTkh16BJhdoUfJPVdaOPQ5baaWgH
JDzzXkumBaeWZMvl+EpERXkfUK+klBHxr67OXgvHlhIu7aIKj1kr7Mf7cs4/mrANDmnnvR6PA8kL
iyxQhQ5ZxrrRLgkHfdI4dtDHoXMIJyPZ1zoCwi9P3ZV2FMPgvGBSUSV/WktXFW1saMpIm6TMst5H
DCjfUTj+vOi1t5/531/HGeGIprFujahCbtd94yrWPu6nTy8/yOXsYpSORD2CPvCs0LM830CN3mp2
lI96MM35F1IufWcp0HgjrOkBVpXdxn69vPEYDuaTtPK0KWOtCg+1NeDva5d6YC6K0vuUQXp/yIv4
Trcr89XtjPOx1tuTmwEBw4xyVqhO97Y9/HB0pPj/xPxhm4NIL18fzlXn85dXYWY1NvjCeYZp6fae
ejBmUR2cpiOzcuat/P7aBFpQiOUkAj83ZWD27KDHWHaWsFctmBzR+RWqa28JhspDa2nT4eVXuzYU
ZSiVNJ/KLDX086FKtUAXAYUqmuyleugTgFBq5+I75YTZxlDXdqEtX4tDBMLfuomHnCk0aMTwSZhM
861RCXGLuqk4RIDZ7kJR1hvb8DIRQHqf1B6ehaQYrpFqHNdzFicVr7aoFLZGilOHBN9L8pauOIRq
XewVuHX7Kfe2voDLQ5OhdSrd8EnpFq1N+IBNJ3ob5VqAXXtzrPDh8EtsWjYm9PoofM+I9aAhty5e
LJ0y15qbaHjSauau66mTwODfcke9tkPo5JHQIJ4DRWu1Q0TfCJQ4WTYphg5XaV7wLRRYoZh1s/FC
13YI0BJuXsJ/cBerjxkFYQ1+VK0FatrmfhpN9r6Je30fkb/6HVTYjQTnSvwByFXDHAwxKgvhJPnu
zz40iTVbRgV131zrkneKi+yNqUaWnyFFfyjYQLFvIKO8t71QP6m1utyYel3vmtJpd+Eoyo0de/n+
PA4RPGIoUpps3QAIW5ItWrNqQD3EPsyV24NFy7Amg/x4gDT07bXf/vlwq2uhVCsNep+J6VvrQuRR
6yQYuS8DuLK/vzzS5U4Fd8SHL3VPiMvWB1qLHkBRlIwkVSuOXh2Oh1wr6w3HjcudSkOMm4eqIXkQ
/Krz1XTbErXYyluQTGvLm8TKo6AExHhDAWmrUXrlhXCsQmaIqIzT5Qml+mzjtEABO72ylmCxEBzG
56bfqYg4byR0V/YDo9Atc2kBs0NXn54bqlaPMPASWG1cU5nP34RZ+KANrc1qIbvy2kWiMgR8BEIA
HPOLbqroQ6bMmPSg1406QNgjR1CmVT6+PMoTQv48mgWJht49+rHAgmhBna+SV9ZFRLapBn3fhsZu
VKfw61LqlrGvR5R//EFpw2w/5uFCPIur+l0K0FQEUVPF/S1/ZYwOVavHylEJMzEgTKg07+fJNb4M
ZmrUu6Vyln2MZ99DHY99iePGAha4s7sGldoycdtHXem/W+kgPuIVlmp+KPrlc7qEzeh3TQ8lMh4U
nQ5FOub529gdyaAKLa01RIAVNlTWAH2dnOqjmo8afDdjNL9abc/tNcl+y/7l2brcZzb5PFAU6gaS
ub7aAbg60TO1BzWY2qI7NlOikqPG8ZeXR7kim8VtJeuZdCwoiqzVD2LCeqhoiI6Hk0LfNxnjh7Jc
GgT0UEVI7y0xKyk8h9JK91iZ1VBM3aF756W9Qc01NOb7RLHGu6wPu7fdkoUwA8FZbX0M8vQ/3zjs
G0pesrGCP9AafLFAespxm+ioKE+Ikdsi3tH/cNEcHt1l2k+VqSy+peiueqyHHJv0MPSA9La5bY3U
QUaz23vgQu8oiYTfrLZJCmmO1eU3wg6N4uR4HdFV2tUG2IakPVitg0yoUYvkG43iwTtGicUAMSKy
i98aOEdCyXIhZlZgr0qfNLDUfCAIot6ZbRWejI4qIMxnXX+A5rPcJ07rPKrmhAOZWndluw8dHMN8
1MricofaZH/QdMRKdlpoeZOfVuoAu2vQ2/s5Ffkuha8KU7jIym+tVeIJ2qqK9iUhtHuTVFh0nOZi
pnqDJLl+cHHcqoCMgFTfhSl6xH4bN+a0z12rH+4Nr2jJVY0YvZSYdiSVYMryL2+oy9ALJA6hK6gF
EE3mGto4qlmiT2U2B8Zkl3eS07o3xrh4aDoFQEvhxZDB2/KtnU1bwrOXHwwjg8+ggkjKdcG0wKWe
NrBHa76x1OGkA0vdG245bOzFK6OQbxvYcRAzOKhWnJ9hhOemMqYczF2fjkjJLmjlm5P9aoAoLgfy
25fsS0Lm1X2mWbWDMF+3BFHVJXc2GLFdYhfun3iX56Osgq6shipuNM0Cuaju90U9V4FnwOd6eUdc
3s28C6APoiwmDAWJ8xkb3WxUUL5ixrKy9qsmMXwzK5ddxAm3kXY/WQ6uDgqAdGAFOTMNMt5Vulbn
jTHUsw6uw+wpy8RTkX9uyEeb21zRF04EJa/v20mNyjsla2BNx8aIMUmkzpXip4bi2oduMbtvQsTD
veeacXg0w7n+6FH3jneNUOC+CUiBaHnVnuJ7zdJj2leV+kMXwpndD7WWblWRr3xR7DZZg6E4wgG9
eqcsw1FopjoazG7m3s5jF9HGaSWxVtXLXem2ykEpZirycezsX166a5udQxPIDsLfDuCa86XLyzHF
QiVl6SJT3ecp9HhKyOqfGUUiBiXYzSXJPh8lAtfrJLM7B6SQ1FmtYtwrRriVmF1GVJIYQKb7L2TK
+SiN2hSQGE0oALMRf1qsoTuCU8yPFQJAu8JDeO7lubvCsaQ2SqNG1n/AC65D+nGx86anFxsUIJ/v
8k4fqp2WLJ8jI0R4m4/bnwR5hDdr1ifYUt47zMfF0QEr6RvuUD425dLeqFU04B2FgYMyqMi/JRWY
plGvT2ZTk7uI9IfZqfFH6EPlxhF0OV/y9OE0JSYEtrDuJNutcHq1NqegMbUxGJsyu4/nxP4QWpOO
sW9vb6QkV0ArsrMF5xBhSpQfTLkZnwXWBDdDiLLLhOaTB4I7TaLbJG7D20lXP9qTkQaIlEAgQfPw
RLZW7LTK7N8kwtiIUq89Bw0bma7ITj314PPnqOcwtdWpGwGsluJvwLZyyEF0/95VImr+oSiUswAJ
jEV5MOpxfl9qTuNgIOZ8K82x2JKquDw8yYql1hthoORCrkLmKU8stsaTmjc9RaNx+nsLobl9Mef6
q28D4EIUg7i1JaLcWt05ThrjMpQz1DCM0ddhVvp9C3xnI1O7Nr3U/amkERtIbvlqejFO8uzBzseA
1sDviOqEu3ygWzsvCMZM+f3SWbeTM5o7RR9urC79O4WaLSDcleSfJJt0lISU2BpQ9PkS67PlDPkc
s60zNJQsdhKmfHr0NjeN2qcqWtE+8YxgKvti141zexumeDlUSdTtimQwN04KubHPLy2ehlofGSUZ
HwWJ86fJBEWjQbGGoEhs41G0YtmPfRVtsAmv7CQ03lFTkz1P+hyra0SrXegRLaMotV4jxB+1H7oF
BxNfVYx2442eqifPX0lSFmWZUkqSkvSvq2DjCCWceLoOtFHVsW5LO0TNVD1OkDJOYkLmqFkqX+iD
0UHOKovTYFf9Xa7VX/Wi6M0DBOiUhK6uMhP0XrQUfh8Z46emHDTlFg+6tEEuIS+hdxAmP7RdPHxy
kPn5kQ8VpkAlrrjpoLJv8IuytzKm9X0s340SJmeU7BaB0D1fLlWUiol4GHY2IM4OpJ7ulwl95u89
tj2B3sXu+zy08q+ukkU3ZjU6b0yhCB8tZ3pvCVrXwhyau6Zw9NlPM9XjpTTnBAYXmHQMsfzlW2i9
t+TDUkWmwAXmSKIGzh+2EUKxw6mvg9EsnV28LA6hy7hshHjru4JR2FAomVDzR0Nq3bkPnUaqBKR1
AHIMqmhPopPHovLDZP5agiZ5+Z0uEJ9yOMrjsMsA4kso3PlL5ZFbYHANtGlsM+9Q9PO8783B3ivS
39ldrBZQZW28N6fYPKkqNphekSqn1qr/njYj16ketQe77Vtfz/TOz5amvhl72k3AVLfSoYsOOM+q
8x8J7UXOGxjA6lnB2cUDQWlQxXb84Mx1cm/ksfde7+zmRlMqumudETb4UTTVI6zM+TF1Ktk1mUGq
pGYq9N3SVsb7xTO3xNGv7A06YLRqULfAk2etjV7OuKJboqiDCbN2yHxGHGRVtOXucOVzIQpiFOgF
FOjWdQynVjGGCQV21HOTPyDS3r7BcmrY9UlpvRFhab9BjTY7xMjrbqSiF7BQ5h5DAcyUgJ2DCV8T
sMJCR4MPx5Mgt4pPhV15fmSoyLE0mdp/mGrDeQhbaLBmG34RmY1GczaNG9fd+tRFTpKmh+rSiYBZ
RKHlfPnx/rX00TGGYFgwI08au72tGypYCGpsiYxfHUp2+qRwkcRfnw+FEqqSdC5qa0vm/myz2biZ
q+SzXYgtOsTFvMqXsskJyLFIDFCIPR8JxfCqEE4xBHWIf6UaY87jZJnxwZ6b6FBnCLZMiOftwzFv
fs/UcjmYxqspBTwDubEM0DwiemN9w9gRs60NXh8sLtgLIyk6rotu6/i8MqcyA3dNytcq/rqrOU2t
xYM+GfYQXssMOGUb7kiU+ruCGsDGnXltKKhZOASDSqK0vJrUuAWU51R2DwIlV/eaGeW3VTXXt9O4
JYm3/iLl1IEM5bug24AnwmpPLpYxjXEEYCF21HIXKfSpetfKTg1uy76xGO0jpq9dAFZoy1zxwj5M
Do2sFKV6Lgv6jquXxLvNaEbR9EGUzD3WYYbmW6KHWu9Fja/FS0m9Ni7rD20sc3B1Odo9+LNea8Td
HHviFOrkuHxuVmAYRYa3vLn8XodlupH7XFsLadwta/yyyi9//iwVGegBhTGw0kAdgXTYCNUfm0gM
ByDD1sayrw9hICcSak00wREBDmKV/BLRzz2e5HXgdULdzSZhUT+GW1fmk5bq84CMYSzKY5RPJeoN
eu75G1H3BGASVSIwzB7tbyCr81dDZRf40ey4txM2O3BjsNl8yKe2xXE5jnFPKme90Xyq22mCyqYx
hgdR2vo+j02jAQvodPsGClHgzHneSwH1UBzFAKndJ383v2h9Sw9bLAkWx1HWVjOJ7IgZA3qI4nbW
O/z+1CTh2FBxG/Znb2yBYKVN0u5yu3R/8IvUn5bZdx+FaUTRPh3aoaRPDTXOX7qkOqb5UKLxHubi
W5haseuXZmkBFLKHIQ680ELTwy21/r01aFi0RkYmZXsQ5lfjYvm9yELAXmQ6fpOY5p5eXzUczFRV
IAwoiUuJxRbtu3FpMaJ/OXxZB0ssBVqqMh6QpM/LK8FLzdFMLRHk1TDtVSMTx9HzsWgSWuJsjCXP
p9WyE5RR2SePp69jr5Yd+ZAZ1HYhAtCvzb7w9HCPwm8GXom+v3CUcI8c6NaN/9TTOx8V9pqNjyd3
PiyBdULTC9ifoL4T3rBVQI4mZp7tC7uRJtbD4r216tzr6bSOKTDgkB8jftio3y0nxpd4maGsJPYc
fkWfZxkPs53MD3WfVdbRrLo2Dkwd8duwCe2Mbl++iMOEnP58Y3tN8jjD4R18JYbgfUjqLtT9EtuH
Q+jFyKgZpO7TTkmNCYsh8kJ9T+8b+r1TdBGE6cju+sAZoyRDQ0JTEaY3aqxI8Q2blkM99qLYF4YA
cJ0kSf4jRET00Rjz5WRK88tZxSuLwcz+d4XPHW/yZfAqbgwLGsrL++eiyGl5hGywlVHo4/Iltjz/
lsu6UwtFtBkFERY1VVJa0kXfL++SRWQFrJMq83W1MUq+pizuTl0njI6SWqd8XXJ0q27UZah+Gv2S
AB2klur3RYGQk5mo5FxpjUm43w5LTstkabtDKoRdHKJUXeoTunS4OozlXBXvXn6pi5ScY4mNIh1i
DHqRTP75S8Vxb3RZ3yRBh68ynKXB7Je9aSj1u3D2FAcLycQTu0yJuTdyyHTNfpiEl+/EBKfsULmm
RgE7rP4ZQv7n9+n/RT+rd//ctO1f/4s/f6/EDB437lZ//Ovb4WfT9c3PX958E+0vQV/++MbpUv6X
/CX//Y/Of8Vf3yTfm6qt/tGt/9bZP2KkP55k/637dvaHQwlyc37f/2zmx59kqd3TADyz/Jv/7g9/
+fn0W36fxc/ffv1e9egz8dsiHv7XP3508+O3X+Xn+5/Pf/0fP3v4VvDPdt/m4lv5y02bfyt/tOt/
9/Nb2/32q+J4fyERRtGSQJsCPzn/r7+MP59+5Gp/oRFETZ7jgDXmNPr1lxKl2/i3XzX+FSVfIklO
CW4lqVoFg/aPH8GDZDNAuiXTxrzh13894dmi/c8i/kIt5h3mNV37268X8FmJOgKMhv6WfAqy1PPN
VU7DWJYiRmYlybpjSlbwVi9if1qg/2jtFAWdoSVfUJf54Y569M5RJ+wtlnav1ho+J9kQcjpUHirM
c+VHzZwavkhc/SB9zt+15jDttCG96e3hS45V73d6UNqNPQEcfTbxf7zW2Wus26BP4CkaT1RzUZm8
8G2LURdPGoP++WKwMaPsoyNm4ev1iDy+PcX9wzzPx7ieO32nx4JYKhWTsauiajjR8kveVjoF5lyb
7PtamYxbVaWeJdxyAmCdD/2Hxs3E47SIz2q+pRrxxEs7uxIgc0kMCPvAkE2MVR1Cd7OkjkADBy3i
9/FBM5vfEZ2ZvlRmjRaNB6l9Z0+i+lbNZvko6vEjBpnqmzLCbSQpysLYmUaZvhvUQnxK6yWffb31
QrDsdk8E4xXjzxjV7Jsy7r4ACzRuCjUevoGd1QkB5qJ837l9tVPUmd4rclk3jYe2r+/FxHh+1QGo
NvNSBHOcfFbtPIz2AJRCrpHZitEMSyhCPi3kq06V//WEODtV/s2z5//gqSK/8xdOlf7vtAf+eTzJ
M0j+7X+dJeZf8Dmif/sk/QmA79lZYv4FsJtOM8xF1QbwFpXSP84S3fgL9SeqDNTt+f8p2z8/S4ir
AVCQJEo5FuM1R8k6XCcjgNOMNBGoOIaxVndvVXddhgXmcGwx1Q4aQ4v2SawvG0nBOv+Qo0hTNqkk
i+jXGnktlMoRo50PR0XAq5oog8KAjNN9ohhborVbQzHbz1MdMO8jHehiOPJE360ONajQDc0dejrq
RilElrGfHwG8FHJAUtCJ5gL1mNVIrjvmZq7r/bGqFKh6yEzcF8PYYv7YxeI4eJ44Fq3a0oLW2i+j
1xgbDaYrS0dBFnVxtHmlNNFq6YBYhFLZsien1G2q3nhq45RevX7pOKAloJbyCHt4VcxvRdxqoZT6
0YSi3C1pndxGha7ARns9aosJpa7LPqSTIs07zpdOGwsXzXdMdttpcI+OIfHssbfVgboybfTj2IzI
gnjWBcOzNHoRuU7YHXU19OiQdM4HSjJb+Mdro0jNd7a9pDGtDfJ6h8QwF2Z3FG5n3s3VFOKz0G5x
fteVD7Yg6wIfnfMBSOLaCw5reldyvbpjpJfNTa2ZpKfUJ2+AAjm3+Ic6O2QevD32yFvildfez8Xi
DlegpzBklYipqUKWUXbdse8JYKG6icNIknN4doheiRAuP2Z6WdQsKDbysLSTzneEs6hI4BW6OJah
Vu1QNcRfbErsHdIPzStLJOR1HLVIi7FmfNFrkZoQSojaikkca61wbhe9d26Kym4eascqb17/Vg4l
PrIDE+beGlLUlUNsLkVCb5yaFs72TbGrsHwOlEV/tasrb/V8qFWgaNRYfXZFzlBda5wqM7PupqjY
eqHLzXA+yuokGgalF5jDVceCDxxCramB5Iqy05+YNgm74Z0k8nZ1EiVFOhd1FPEuSzSfrFgfqWxY
yT5Vi2T/8lBXX+h/hlqfREMYdyEuxtUxpJh0A4ufwl2i/3x5kGubGy3Uf73P+lK0ewB5UNSqo0hB
QoEXdVCxUDSa1EPnvzyUXObzq0oS2qWeBCkpKc0qWkVDK5xD1aXE1FrNMeognSUqjhCJW3znNMw3
Vurq9GFyL9MTVDLWwlxxpCwpzIvqmDuJEigSFZgpTvbqRZKtfdq/BFAoAq51+epBcUqomOWRmsCn
fhqyg/DMMXh55i4WiWIpwRsFTeqaNHNkCvOsclp1qY5xrZofOxf3Sxtm+Q8D1xAYhQ22bS+PdTFt
T2M9dWGlvMiaBMFtFVZEijk1R3v6FkaE7CQhSbUxzEXRmtscfSR4JASe1GnXEPaKRncRl11+VN0s
flBsL4Gh1mJykGHGuDRl/1az4+kN5t31vTSAeptRVfrc9+WS7jTFpZpixMsbp1diAo4pveMGaD+U
0Ig2OA0Xu1Y+J5MuqScooq3pxiGaElbSJfmxj3rva9OF1oNmV/VRiUxnr6I4udFfuzL/VKLAFEgh
BEleOF9rE7W/so2c/KhryqdZRZk4p0D02l0L9QTuFXpo8NgQkFlFjdkCsj9T6/yYhXkTOEU9HJAv
7Tem7pIHLBku4NIRV5EsuDWBP0fXQVV6JTtiohh/E3lszHtbMUoKiKZLmaxNxbAT0Dx35VJMfzOM
2DvWqIX9zkmu+7Heig+uFun341w794XBRPi1MoyZXwztcqAqUQWjqLQKiexBvH/tdwCQBVSHRFtI
J235TT775nR4OehrmrRDcqzBix74SoMm98aXfRE7Iaglm8XAa8EigUg6H0WJPLV3qcMew0aEX2aB
NEc1zlEwD3Zy1/x/zt5rR25kCdd9oU2A3tySVWQbdas1I7NGN4TMiN57Pv3+ss/BRheLKKLnYhZm
lgBlZTIzMjLiN2Pbfgin5V8LkYm/b0/vGqIuRsYTh5NO2xHo7eXIWm2VADP7NLDiOJ1R70y1v411
MX5Udbsk3jRYFp4UpjZ/WlI5q05NvTQIgyP9tX6obcSQ3LDvnO8ZoIDvUWwus5cZ6DwfGWZcHz/e
FuR3wOipz15JOINbVKaZ6nEA8E+DxZB+N+ISw+u+WLxl1Y7KwHvfg5aOLDSHeG1s4XK5qEi18poG
YO81D/Fy1PrF08Mz+yQMzKzWv2Psbgb1YpZfbn+R64MP6sURqRi5Ongl7fKDxDjzLl08pMEcmtW5
j3vTw6kyC26PclUSlrFRAQ0I9RIQnlADvhwGDUlzSto8DZq0bUs3l9FqNcdiRqxr1h8sSmEPy6LE
X1bqOF6FFc391IyhfhrLfr5HJcp57zUtfo940xkiVtD7vvw9CaKSSlWbSdAVcsbmR4W0TYajbbSz
uGBaED2mVsF1vcVptesyrwMyJsEQS/M5onlzVlJgWrcX92iUzSdUknChTcMo02IV54z73FXL7FBo
/TodeAUdUSuh60sA34SmkPKePSx6HCxj8dEuZe3vOIlavItiekAuKv5D59XNoiNaIJnJ57yS6QpX
ahX7NiDM+wQ9vpJ/ddTfKofqTz1byZG97N5KQFagrkQABSOyiS59lUgKfqpxkCKqcFes9vqi51p6
vr3eewthIlIqNCTFk30zStasSpTi3BEkWTE9GE6Df4EzxGcy9/Hg04pjcZG8sk1pvCkAFyi0spMu
t2k85R3khz4OqK78mVPrY5foeIj11pe6Dv3UVn/ento1opPqACUVFM6p1cPhFCv85v6JbWVc27mM
A6lvsqDAGi5ykzDqTw1P+I+Ksk6B1Jr945wiH7QaUQnEQYtf+JTGt9s/5XqVBceY9gMMDRAGWy0B
hDJl1OWSmIwwXz+bdqqcYiF5okGeOAgG19H+cqhNcKpWrY/TkaFU0mofG4jszkBJL5gTJ/pgDmgk
3Z7a0XjiOnizyIrejXITMh5F7Mw3q1r7nWTZ7NGMQYAJ7N/BdS+St8tdxFcVuZ1p0zABT3Q5Xkqu
0ztyFQdaHCp3TSbruZtY9M+waxyVJ4kusjdZKLGHYW//k6eh8uf2hPe2FUsM+J+7Bo3SradJrGVS
0yns46hRm08tkNivFv0ubwhD7XHiK58bq8iDfNGzBydqwvNgx07m1uN7yw+EY7gkqEK/1qe2LOh4
riwnyts4mCeFOh7HzhvGoXUjE5zO7Tnv7V/qXwDGRKGUgtvloofz2CpRFcUBwhCZt6IU6WbLYnu5
Wh/JIO3tJwgXcNAwc6YntokSfZUiPJlbUdDIcfygxfN0Llpo5OmSSO4S5+nBfroOs5RcRReQbp/g
HG3Gy8YWdGaiRUG2xtVj2Y7KH9kqj0gL17GPUcgZqDKrTG0LLm/mtO47PNMCuQrHbzWkHwEcVnzV
GmNv5l12wpbqqOS7OzV2KMmBAYxyC0WLqDWSapZRQF+6/nuthulTrGjTQQDYSYfQUIJJAphX6Oa8
npc3EUCS7HnOpTQK1lwvPmVrtvyKCAsPtCPDZ3VqrAd8VeOzXqo19bG09MbSml8A/BeuVZVHNOhr
hRNOBcgSEOWiDE1l7nKvxs1KAEkLllpzqo8ZGdzXMl4lbtCuwWci0/6S7dJoXWPRmn+rVNHOcrHo
d1jVpU+1GkX3WpnFR3ff3qcwAQZzw8IEpN56+aMKWZmkRGqiAKyJ9i/Y39ErzBE48u1zeoWAFLBj
QpKJbysvX66by3GWSVs6s4+jYGA//KzUGqPwFpCaU6zGYz2Y1f3itPG9E0HOqou6/rTOy3yUKe7/
ChtIvyCIkL1sElL2gjOEloRM2pKu/yunVvfAKQ6nPs47FGZ7mxKwk516yM7PWLaVbpE41f9uL8XO
ilNyeIXDU0+HvnC5EqNFyAJEIvkFbmCfEFQwzraTtQebX/wtm9uIBp6AYhI6hCHg5Sji2MVmOUnY
pvZfpX7unpK48MvGmIlfzsGDc28wjhcwWl4gNpyYy8E0OEVrNvaSP6cZEEAee2fyCQPd59J+JOof
GWbsLaEAhKEfqEO80TZXLeg62Ln5wOQ0B+qHkk2elFjZgVb+7ih0TpFHEMTSrQ/xUKIuYQ6t5FtD
lbs1wk5+Gs5H5ZqdAAzam+cvADDOx1YAiCZHvLYNo4ytkb5Ei12cnU6cfdyG0eNspkdwM8nB1MTX
3+6Ot4NuzkGEqvgA+VzyU8ibT3099Y9NvzjB2FX6TwvY4l1n22MQ1uGRbtjOogofdjJtqFnQ5zcl
sKyUqOckkeQ7UawH8kjUX8d6DW6fsZ20gM0oiK1opnHcxZ+/ifyJwKYbSPL6SmHm3tyukWdUjuri
JnwE1NiZEPcYFVzonogObF9DY9gq+RS3jg8bz/5iT8362KLFepBSXZsNwN5g4cjVxVuIf72ckdpX
cruibOabLaSZGY/W4qyEKVo5ySz/0pSp9NdUTn6bqZ2v3gwH7hdsPwVLcTkLLDMbT3itRi/doEmR
izQxKFXQjJIHbq1+ikvDPmEaNB0ITr0aoW/2GXIc6MCjVCZecpscRuZRE1phgjt1ltfPej51YbAq
Wmsnrl0AortLpSFGOM6Sl7+SfNVH15Hj5FcmVdlfamaEL/FiqYnb4yKJFRSfvHZNVM9Kb5miITpA
1O1sGpE6i2oU5X56GZdL3GTOYErKgL3hWCpnp3YSVGGl/Gy14D/fvT/fDrVtO8oT2Mm2F36NXTJ/
5Jro7lV1np6aeQ0PvsHBrLZNjGWcwtCq8CCMMa36jCSHfGfRO/nQxMP0X2aFdxYEDvAKaO9eLuBQ
ZVHq0B32B7lth5NWp/HgZZgC/hXahXm+vYQ7504oXPClCM9CKvNyMLxsjRGDa1TzjX71pNhez86E
2sR/GQUOPgAm9AW28to5wy9py56gcj+4TtlJbh2XR7JRYmdtjwnl6P83ymbnZbaxynPe4Pg2Ns1X
HDDpeoeS/sGk+OqmhYTSC8qohicPmAy6pgmS9T9Mk/wPKrmIyducZLJyJdRlPDeltpBcGYUNF6V0
w/sPo6CxDW4fxXkMWy8/2bo6mZJkNbtewWqT/4pZ0SI6yHx2NwZ5gbDjfpW2uBzFXlIMZooSE0jZ
+RPPTYSyN57xt6eye6p4ZIvuB4+0LaFnoIDDW5OtnjSD/hzHUv4VbSwj6OrwqNx2NNTmrq5aPBdA
WuOHmvXFIxr3TtDr0+qlM/jq988KjIK4OF8J+Juh4AHE/5+V7ShHqKT0afcwL2Vycqbe+g/Hl84E
OQCoCJ5om+ZIR8ONuibHt4I5RfZWtWcyDvXg+O4kV0gK4PAK9Ype1ZYrEpYdEhpjymeaRuOhWZLk
IQepdgeHX3MT1W4fxzKuv91exd1BaXsCaYIIBVz3cgOOSBiUY4a9RjpO9Vl0v7C+1qfHqu/Xj5SM
e9oMWnIQ5ndScNgKWMVxrNDv2+b7detYo72w6+s0M5+LadJ81Zbqs5EP1pMVa0e2xzunTPhgk8ZR
2RcA9M0kM2Ot5Z6zjAhdeRqSvjoZ1XRkg7OzlNTA8UQEOQiwYKvfjfGYvMgjo8AuGM9TJNunkvfE
CQ9O5VFOGtVtnOHoct6ro9GroeqMIKlg7W32ZlXPMJlGPDjqioKl10hq90mNkrLyzaG0/xlyYqRe
a+VL1GFDVieimzahCvFYG6t6IGe/c/rBkMGIBIxJyryNmcIQY8EIAYnvKkwQMRhaT5bDxkf2+L98
UuQmAZED9oMBurlRdbCZbYbzg18Dff40ou3s6tFoH2SyexvHQFCWXFbQerZcDFOqJrmjFg1tge05
yGlxSobu3e6wzIAbBtwpClggJzefMBrWLg1TRqmBy/upNfxYESAObh/0valAtdJ5ydDMp9F1eQYy
fK3qvAARn3TpisopCrEtNhjvvzW5ysCLAUART2dxRt68ZWxnVZM8xwZDc1r8SFWsAyY7Hg4+y94+
A4QCoU74wtCuvhwF7d28NeMOJ4Buse8mKVIeQikuPkHSbU+3l21vKJ5+YIJE047TfTnUioYMGkLo
ybdWaZ7MyEzOEo8Pv4xl/eAL7Q0FVUKYBYLzYCNcDpXFymitM6r8ABXq05r3xV2tWMUJCudRDrcb
NSjWkHkQrEhNN8dHUVKoGqA7fKU17pNMglJUSWdq0/+zpB7768j6UjpoHzalTLjo1O9T3/x8/8ry
gkEkGFiDaDRfTjeckjDLaAH6KoEKWzqbYl6ml+e2caaDj7iTsor0BwKLJTjN+uaSM2a7zwoZl8mu
VqXHqDLUUx2psVeFivJkJCqM5qlsztBaxk920x0JkuwdPa5WXAl4dQutrMuZRk6fwU1D3j3HS9e1
8EHwRmLlQfpw/U2FxgixV9yoOsTzTWJe4cO8JGODSQB2FdC4krB04R5ZvyUkZR6NVcGfA8WXc1ul
1Zdh0kc/KYfuRU9X9f3eqCBVqACI5Fk4cIsVeRMG1kZRZyTgTL+35eJRN5P8Aa3Db7c30JUMCWAM
9ISQH8M6lCrDth841TMi8sDZfR15keW8NoPSwH0sQF3K4zD70EOX36GWkUg1iOrNFBHQP1yctbZc
S4vz1p30RJlP/VQVczD2sjMGo9GVf5D1yCCKzlZauG1Yj4/ykDfQKuEujn/PLYpFVke37jwqU4UZ
lKGMJX71cnYQ5kSwfPvSglBDJ0Dc7oLdCQLochUjOLO13YxjgFpc9dTxUPDK0k50dusq39Vj33yR
U1X69/aybsPQ66jUhnDcBuZCh+5y1NqIskJV4ECYbdOd0yyHMNOPslu2XXe+PZT4qzYTpIct9IiE
HTOXxuVQEC1Cw+auAwJSYPmjq/HLuuqWh1qP9BLXQlYW+bAf/WpnB2yF7dJSDCVdssg+CbfciuLP
32xQJ5ZiQy3XEViAvvyhHPt7lfERK9qouctMO7qb127+cXu224V9HZOCs2B3MvBWkCO2lrJVRz6n
nrfqaY1mxHniyvZA1S0H1/A2wabwhlqloOEjkoHq0yYUGHYqRVppNkHINYoGsrBIq2TOP0BHVzJL
52A5twFWjEcFn60qdM2p418up4pSZTGOQxPMpdYhi62u92OEl7g7JNl8VuIpdemcm/cz9/YjnXWM
4m6v7TbEvv4AaiuoydIapFx1+QMaPLft0MybYOk7C24vF5xbyHNxxO6+3jfcHvQjIPkKtNzWX8Ae
0OMh8taBYydR6dWlOv6azVEwDaoyubeVQTsVwEeD29O73joMS7ldkKC4trfkGqy2eTjSiQmyMf+O
jVPqtXXzGX7jETVpZx2pEsGzojImBOI2H1Kr7UlqlKUK4FQa90UDWXiJpOXu3dMxwEEL8WNeYyD/
L7/WGk2yWY9tFSCsMn2btFC6J/cuT3IpZUcc+esZwSZDspT5wJ4A1LYZS8kwBV/SMoglXF10q1Nc
MJD56faMrg8cUD3hOUF2TWF926uTq0VOqB8UQRMNkM2VHp1hUwsmXYm8TgqPdIf2JsXLh0IfTz5y
+c12n9O2zkoeeYFUjY4HVijy8+zQdX1nUrxZhYKaxskiSl8tXboWsVEFg5mhNLNqXprpd11fpO6E
ftvBEu7MiY8MvxizWpEBb9JfCNOWQWZWBe0sr5+0vlr8yZHfi6YVDyxNgFzJBNkQW/NdPUSJTWmU
KkDZQv8wQZf9qlXykUPB9XllFIoBQoOe5ETe3Nz5UqKG1OswDFY59CE+UZ1Hkj2YC+1QjoGP8PYO
FROitwjujJcQ0gNiWd/cZKlsNFkmyVUwIrziysD+aM8PRxJgex+H3Q1uRQW/Ym5TEYn6tZHPOeyM
aVI8tV57eAbSUb9tb8PhhQPGljTZAZt0ORdnhrdb1k4ZTFlj/y9eOuU8LI55zhw0RlqrCQ8SrL1Z
vdLRuDUoy28hqPmgFFmjrmUw4Ifm25YUewW2Xu++m/C8pHpAripcaF/T2DdfaB5qnH2mvAwqIEXn
ssuB65uVdTDKzpajDwRPAn4Al7Gz2XIa9gatgl9cEE8jmtd6WZxXlg2caf9u5S32HA9HIbwF6JFq
wiam1nmfFFLKLUFxtnft1AabrH2jRfuzjfM/RT4+xkP5d7U4j3XSHnSDd76ZuDoA6jK44GFe7pGp
DfOJ4kIVOEO0eKky1gBNy6Mp7q0mRTBIyDyO0VHaBFiVsNiFesUoVQcOuCfA4lzxKbHbo7B3nTpR
98cri/fSq13FZiRM7U0JDkQVgD6P/bAZDNfutCEI8y591tZI9SpgHXegPaO/mlw/Mh3cW05a+TQ6
4GbCzBZ//mZzwuS16mZAbseqnMVrJdXw6YG+V51XbBgKaEIxl9bUFQqXRKOQjRFyUtwb3Uu6SmC7
E2zXeMlkWuGWmTweHIfrRE24UyPhiDsTYX5bTM+UopQQAS2DvFuaR96HvP6iSn9qFXTTXZQxVRdc
QXNk5XYF2hEzRQ+bnJttw+Npsz2NOepKKYwJYTPu8eGQSF8ixHUf7FbVf6Fkn7jDEGsvfVK2DyqZ
4tcBcI97OxnZmTuCtQIFQrJI21GE2TffNNGLSRlkpwiU3pEe0jnNn3SZcndn9NBGU3V8AgjwXmgB
EweaJ24HVNsI35uYAM+9bydk44IWwNgdBj0OTpJRf5A57mxXgxxfcJKg6HMfbaZGtLaNQi0CGYO5
T2tco3xDZeF8ewG371IxFz4iqjJC4hk8wOUo2PGVQ5lPRRA2Pboaa61+hKaKjhlSpCfc8yY3bWLJ
rZohOt0eeSfuCPU0gbjWeBdvIaJ9Maip1jZFUNSo5so8lNxMQ7h9VeUj7cIriN/rLHk4cfqhmZAM
Xc6S/xfM0FQXgWSav5S6/GBI/VOfOKc0b1/Ufrwzp8Iho7Dvm6U5ZVJ6brTorq2rb7fnvPNNKUuT
M1OIpCC4LX+rZROVPZdWMAwtERA9ELfPsvX9OwfqL6998ZIC9byJs1oKYyiP1jxodAXpqkwz/Mjs
jiC+OxkMi8mLQ0CbKYBv1lSe20bpCnDLOu7Eblnm0r0E1AwlksjFYvC9rXA+oSDPsVPJLkhiNhm6
Fs7K0NcWKpdtjYJ7U7b/6OO0HrR1duKJeEFBVuHGFdYIlxulsKIp0ZQsCwwnm7/Hs9qdMUlu3WpO
nYe8GZWHdIyUI/7nlbaqmBwzQ8EMDQSywk0Yi1cnLWO4GgEw1GrCsSTLgwKWzp2Vm8j8pNF0DotF
/bQqhXKCh0CrGdtmf+p0erSGnXtRvWpYDjbWQQpyhdXll3GV0esVz27R57hckEVCAhh0axZUWjW6
qRRabhaX2AbozgdbT5/DMEl8VY4+WnHxIS2n56KxVTc15t/vPjngPCgSkl2SNW9xVmlb6liRwEmT
zF55GDqnQf5+GA+i4c75FI9Mk74ee4C79HK21BnnwSilNNCbqQMFbbYPYW/8uj2VncAHiVF8aqGW
CELtcpCuzO1aX8w0CEHYneY4Xj2ngxc1OMPBSDtHlH4OG5kWJYfntYz+5nbUZiC3a7qkgTmvKBcm
xLfOivh6ZP7rtzXKjh6DV4V5tgsUKTylhAMazLSruU1ZPiYw3ewV1XtDm9FuKiIp+RuzByOonTk/
SXPSnrrcdtx5WeLHdqlSbzWT4mDn7n1KlHIEh9gQDa3NSRaZ0qyERRoo8tie16qQPAlA5TvFI8R8
haw9iFca7mB0Lr+lbcVRHldyCtu2ivyhwJHSAUlzQvxJPghN1xN6rd5SNhDW3JzJy6HkJdYnKyyK
AN6VdK+H889u0uX7g70p3k6Xb2xGsYRlNvBd2DabCZVNqDlDGRdBXaLq4U1LnTSfdBK55Qy3LOy8
ckJn6pzFsx2501h3jct9qn4UKHpwseG0/qT2m49eB1pcpSBEN+wU63P7Se6ybiZ4VPVPo7Ki3xm6
2jBvpSLsH1dErJeTQ65qegUQ+98otiafp6Kdkf4tlvMoq+3HLJ1aHOAVrcN/J2/LIpisZY3gRCGW
ficRAb/KfTdVQWcsLRpZJgaloaJ9bzSAJqgQaMW5Nhv5R4Kc77/SosvLyeondMXs1pF/xo20KOc+
H8I7XTLW5oyOZrG6Y2aB2FRRHHV1TKaTg4Czk0Sz3ry7CAUCfrutsi5yk6a9qsEKT+v129g65j9N
amDnrWAJVhex8qQUus393aoPVokHkWJn7+3GksbyGygaAtcjk94+IHh/5ioS2lw55hr5szoKQw+j
c3vdOnqr7G1isbHoZjEgpgWXm3iY8OXrHJQO1AbxtGrBJY1Xxvtfeg5VeprmCBpA/Nr6sDi1ZpSN
0+ZBnIXanVFM43MOne7g7O/NhWQSKq1QYaJDfzkXPcpY0nWCuFVXn3G6ioIwLKSDdsP1ZYFYzJtB
NgsWq0sSZwuDZElKjzO1s6BOzNijcX5EbNodilekUArmfb69/MpoHSqrHfNgjOQOUhgWtCEgVXeY
l/5gVtcXE7MC0vta0KVDsYkyKyidBYE6PhDGnA+I66pwaKtC9nKcOmM3L+cjost1YseI3OlUc8R7
aps+pmGbOG3KiEbTaU8WJX/PWCbr1GLh7glBFn9MtfcXqhiU4qvgOoF12aZ1WZZSyHTiPDDHZHoY
Kw3JYEgZXMKHWrw7mxFSCRuex5zwa97UxOx5GteydLJgSYrpKS9U80fWWNL7S7C0oEUHTDhhQRTb
XEJWV4ALbDWGMdTpWe2q7p++jIqDW2jnY3GiyCJ4XECX3GKReFWQ/0MfCdIqj7y4bpR7RBSV2YNK
rTxNY2KextayD6B6u6NiAy8wIoD5t7k/TMjBXJolCyIYaX6jY8So9HP6bIaZ7FeRnn41V8cIbl+4
e9+NOdL9EYaV0Aovgwjiw6qoSmVBXyvjXeL0odtYyXtFyYjwCj0oKqZgQrjUN1GEpdSVruqzYFqb
6MNch3nhVsZYHUREcWw3ycPFMGKyb/LNpY9NfUZwLzB6O703yXMtd+6LX2jJZD5+hGaQpzjBe0sR
2w9aHx55Tu98QZT86QGDyuPxuwV+ddiLhXETpsFa6v3ziLCXN+sRrpYjBrxjp7f3UlFEX29/wZ0n
Ei1ECqeUg1AQI6G/nHXSLUVaNw36FcaYNGcuGuc5qVuLp3Cn/Zlsu/01trL1SFo1ImecznexJKmB
CbPxSUa9+2BH7YRxOoAgYzAOJDvdov0LYqc6S3UaQGefPHiW+blcFPnUxFp8cE53Ni86hELNhM0L
NHcTDQo7XNR85lFGVtG7adxk5zIdjnKkvQlZojilk5AK9ODl+qLm3Mp4xvJeymJY3Ota+6Wc2phv
TO8VAuKc0FfipAgNYFE8uRzKquRQaQyGihvne2Ta5YOcxEckr71dCioCEjF3IECtzWEc5hiii62m
gWaHCXDxZkaMfok+6PEieXFkmvfgPY9eZnufSnglkRQxLzpBlzNLw6IacEdPERQIJ1ex1emveaya
L7fPws69Ti+QS/a1QupsH13ImYW6WvDgtIxk+phhjvRSpiGaJkOJP3kfasZBxNmblgN7lVYaXGmg
hJtpLU3dj1FL4USp7MCQ9M6XFvlIjXAvS+cliaAZSwcUd1t9yCW5GPVsTAMnH6cHOZ7m+6lQMMCp
h+wliqBpk8jk9yDJkx9dt1JvQ5n//5fwRiZ3X/x55xywtOiqoYpFGWQrrtalOPTaa0ScsVf9qyNh
ZdDIiFW04XhEo9hZVg6bQbeGSSN0vDlywzRMs10sSVBWcvnDSXR2Z+eUp9u7ZW8UsjE6Zxo8d6y8
Nh9PncBuLxkCMZLyvSlAZWpYyrw/HALVEWLN7H2k6cSPeHMnUVamzlHGSTBnkeRR1hu9UjEXt1CR
kr89n70PBBQcrL9A31/xaIp1KrEGsOJAiaV/mmgOT8mkvkjYaXr/YSC2PUMI042rcraj1eNiIUZT
WWbkVUsnn7ECiF0lfDcfhIgIZee19EYz/EqDBU8wFTEFFd0bvaH+h7m0r0uRfb49oZ3EAcEpyq2Y
2QnxdREy336k1hgLFbxfQBMQqQhYE2HiW1gZdWe+6XyeFtNavBD0y+pOOeQOHuOSccAdugpevH2o
fIi2juDBbt+mAj/aRx3nC+HM6mMypp03gtx1yRStE9bv4XvL9GI8kPaitCq4V5uQjFVzi8xVmQZQ
GgrfkafBtfU+Otj/V4eMBJKkBC1VgR6ndHq5tLqJki4P7iRQnOlXIw3jSVba0L39/V5ZfReZnxhF
aCeIIj3QI9FmevMBaQZQQk6aJJCoJdTuknQAQiQk7vK40/6yEyd7NidsZVW9lQIrVYbELVq1eLJU
pAWjrsPtwVFGPJC6qHPzBqXXVpvm8wySEM8rSTq1SWx4cTOskmdpzfIi4eD59fYkro6vmAPOIvRn
eK/RlLqcQ4GaZKv2rJSOtUJ3apoS4fvKNvPEnUloD4KFetV5wzeelIlNz3tK5GuXw+mJnqXg3VFj
UVV0HaKlSc92SIn0QaZ2Ej50lkDc5u0MryCcm9/tukTPTjVVqNUIk187VOwHiNrl79jUpKBa1Llw
u8ionpLSGp/jTI/OwxAmT9U6WUBah9IdEQz0Sm3V7/s+tYNylNu7YtK1+yaUfgCpPuLQX+89poic
AxxKKFdE+cspJopcKsAiEHCqcuN5ybrUzfQ6OThHr2yjy82Huhp5h/BYYD235R4z1SIlT4c4CNXE
cYdV9eVa/StuelDvztduUB91K3xBfS939UL3eRXfOzqmymHZenG5vMzl+Dkc6WxM8iS77dT6TT5o
7oJET6XNB6WP6zURFSlBTCHBBHW4OSkwvh1Jp9Po6+W4jG5Z6QWeocMgHeyv62jGOOIBAHoEVuc2
ZYkyZDIQLbAx7V21vzGaLH9WlP0LGvV58ddKFfdgwL2JCU4HnU2gYPxz+bGzzprbgavBD51RundS
3l3aHOfvTfgAzQmog+DUidbxZksZTgIbkWYH/IZ2usdTKTkJdb3/MheAIiToohqw5YGbWtWvdcFc
0n6JnyK5mdy6yJKD59N1wCHJAkwsno1k3FtCYmyr1ZhN0EL6pm5OZhO7o139W4JOOZjOzl4Q2Rzo
PITNKFduXhy9FvVV3NmmX0bR8jg1OU9wzeLtMRrTl2Yxj879/njcNQJ8CPx7c7MlutEXDVmWX0Dt
+T4NiGvi3re4PWKb56lSjIPIvbP1BAsPNCr3NrzzzZlas7JX0PIyfVvt1ccwNtIzNaPZf+/98PoA
FXB2mGvIhV9ucAj7DpJlYlYa0KEYQMpdpy0zukDmEYl+bwG5iwicAuYGVulyKG2xkRvUVvgtVH8f
1rXRPo4z/Y71g9Gm9cE2vF49IRmI9A+ddYLoVtCqT4yq0sJE81t1Md24bflQk6QdpHjXm1204Wip
Ugzlsnu9Dt9kCBUOhDPDqL7dOD9XM1M8DMcdv4VvclDH25sP6Aed7JhHIRD5y8Xr8dMlIqiq3zpS
DkreGE5FlIfvDkTMB+QrPWk+E9fb5SiLFslTFGkqbeg0dZNsUL5InTJ8fu+eAwNEewbIGsVQSKCX
ozjITsZVOKk+/jihj/5M4qe1If/dqUZ4MNTOsnF3CnIt+ANccDd7btURQK7sWSXvbu67UTceh8I6
Ev/bHYSPA8IfJyP6GpfzmZtQRpaYQcy8XKj249iXTNJRl+m6JCeyDnY0qYeAVWyrquWYo+taFAqe
mmX7uY17MCkE+z7+hPvWmL4o4dR1bibXuDJbYVnLbg2nOrqv1m5FXGpF6vO8mgaudrc/5/X0yYJe
sYGgOQX54HL6clT0UwKxwtcjM/s3B3FJ/19uDjrF19GDsrlMJVtwX2n7bzJLp1iKLjdKmUWmv2bb
C9LyUf5hjJvaM4q8PTjZu8PB5aQzjZ4VmMDNpFKsosGtyD4HZr0va131ExM9pmgUzlQ4vB3E4atF
FAQcEgDRehcCIyLSvIkkY5jorV7qhq+PJq5GuKyd5VV/N7yJUcCIcivzNINquIkiWHYiOjfgz4lv
4m997C2v7RYd2YD+lyQZxcHbc29OFCl4CpiaKLtsDt9cJ2nXtLLhz7WeeyjP1+fI0fKDSH/1pcSe
447klU2z4QpA30BTTGpJ130nNqNgdugC6OM63Xe1BWZUj4+kN68E519ZtzilchZfxSQ2OzEZaNsM
aKT6aRPSSazXsQ/xDOnyFo9bHTiArtd1TGlaRdO9W3PVcJs2mr5iwGGkJ+TmqtrTRlUdPDueeuWc
V4qkcXE0VY+5aA8iO5/q5ajJJUL3xXuC1gEPF4DsVINpzm829JCSSaVKo/ttlM/fSkAX56WUzJNW
w2NDK8n+MAMbOHhCX8es11FRFqYCIpikmwtlmO1VtiLeJ9Ea58/VMjqPDiIfj3Zu43rWYBnhZmY1
nYyolkrWwLR9CoHVs16l4c9RM4e7d8Yqfg/XpwD4wl6St8j3CH0HLOFh6TtlrD8vKAe5cr50771G
GQWRUMRNqKsKa5TLw0y5rMdSpkcVo9eXD/pUm1SxLPX9xwuIBfeBItS3r2zzWk1NEP3IdH/BeMMz
RlSvB50ddnvF9vYNEgqAFHnaw4zaBCa1lDNLm2zNx8yhCr3CzueT4sCSclsMpe94Eun3VPSOiHo7
sYMvBGwDEy84Ult2+ZxZi5Jr5G8SjUQXMAJs3d5pD5ZwZ3K2Sg+bCE80JPBefqip1Ae5GWTV14Wa
t6MwzhmBNQVzbO5zNyEo4iVo9l9vr6kIs5uziPQBOwRUEhn1VuzPXHIdjc2FhEGZI3dY5vxzOs3W
WakXm5JWOOCYGcqfQnv5c3vgq3yVogy5o2gC8Q9KnJfzbRQLrXJiD1nx0J37sRieM/To75fBVA5O
2nX1jLEQBhAvGGIO0hWXY2XtkNTDsCh+mciQrNu4zj1U1zpmPddSdgopuf2Ksdo9Ade2zzSph7OZ
Wqnu4bLcn5GRax/AbqyndKlbfyHkPuRRjNWL1aPuK9Ewc4YqeWw4IG68qAWW9UrdHRSld7YhPVcA
usQMmvdbupmDIJfMp1F8x2jNO2nOUi+kZ3JwxnZHQT5EZQRBItksVVfoMgWUXvEls/3YdqH10oep
crDpxF+y2XTcjiLyMwLXwOburzpqmbM8KH4irQTcZPzp1IWKwth4v3Q802/vtN0pkQ5aNAQpBGxB
4WWixUPY1Yrf43viyr1m3WcrflS3R3l1hdtOiuo6lzFhkFL+ZlIlVkBtPteyL5dGaXgwo9t/8BGj
IkghxP4pZUX8tYrVNPFmDek2Sonz1Pn5SI3SjdJBhhJpK92fRpvD2m1R+fxXs7r1xxS2Y+bO2GLq
Z6gQbeJJrW7kXgvEOgnQ7uPeyrHArdHXdswfRlE7zknXFqTM+B9It5WmjAn5d4jNb5Lq5fdiCu3f
Dk29fxWev59H3Z6+zL2EubKxaPo/ODVkswu72/imRx3UAegvveLKsPUAtqo26LVcj+TZK1C2/cvO
RtlGKogE7gyvs/o7T6bsn6ht5sjT9EIdvVGu1tZTansuBVkm711++GKc/49dWVZsdyVmq2Gemq4Z
gQ925coufx58mqvtBoyU2Eq9iXsWVvXl8XfsvF7BPck+rzLrrM557eJOXOMHNR8JN10zIXhEUiYF
sS/EhXHbuBxLNoY269Zm9WPeQY3Hk2+958Vecu0WRdLez206SogDxulwyofI/IrXSP1TrabicUjK
cPCWfKJAqmdl9evdqyB0nf4ve+exHDeypu1bOdHrAQfeRMw5CwBVRS9SpOwGQVEUvM9MmKufB2yp
m6R6mke7+f+YVbdUqkIVkPnlZ17D7AWJIxbqi/U5z31XtFCWgGr2ZhRAhoyZHRqh2fWv9d5/ju0c
05vvx+btvQX45zeB2JcGg5Ot+yExph3iuPZe0/0JuKB67Yb/fGxyqa125xDbsMgvMmCpC034rbOg
tJlQchp90l0bq439rm2n2pUqHVx30sVCuurvb+fPUYWmhM7ImlkkbbiXUAZHOFWW2POyX6ZgPS3b
5FvgTPorScHPNxI8AaOSzT8FxPzLsiWtvckzRLNw+2Y3dAwt2+cCGed11F7TefiLS6H5ssFaNg0s
4BPPn5mL+5DyzYrfQzuWVFhINEdbf6S96LxGifz53m25+MbXx2+eWPnikJH0KCaj6JZ93qohSqUd
vMmmrPr690+ILcd3fh6SeUYM8hGDhtIC8OT5b+pWfK5nIxj3STuVwXEfiEXb1baxljsrWebPttOD
u9bb1GpDVwTue5X7hc4imlxQy/2YJHHWzpURK6cuzBCRYM0Oc2H1eWgYk5Ht5qBzzB1J02zvMmfu
b+dgbbNoSvK5ANuNmMUxNov0+vo6mPt9Wo2Q+B00m3dNlSzW8TplXRnNI23qkNMSGRn8FYo0yhMa
hpddXWMas6yVV0S1Y6Yf+0X5WtT5KvPjoOn8c+B7qX3spj0oXG9og7ArJ/NWl7JPQzXVGtlbUqRq
p9yhLndJWufXLujrmklV6ovoUQQ/TqSe6qFlzr4VotcyPHSDkVSxZSxuF5aJWX/s3aG6heJQXSs/
db/2idRuAPPpJdZVnXHj9YbxQVrS18J58CuJ81VLa6IfW8cFT21OF3ZlmACtnTl408ihTcKg9Aon
WpbWm/cjdtXoPnva2p7XqCsxjl5bOEAq12TKsNKnju07P8gvKVtrPK2VIa5o+Y9QZdZMf9crv8qj
srNUiVTIWtfhmjt1EuYW8iSH3u2yGuabmRQxY1TjrT0NubWbKnPsjutskO8tJ7PumCELRE02sHw+
uOrS1bSsCv2UiPMuybvxLM9Wc931djBlG5mutQ6i7Zom8vXSjQt/rv3QdlL7WzAkroNokLMAybOz
1MJQbTHeqInjKSzzSX+PbY097Mnf0mDHShmuq1ZTLfYDBk5TxmoK2kluFojQWwrteOwZ3IZoYGoJ
J+S6fCrHsuem+RoxLpPagvFYN1LGqqAj/uU5U7ggseS9nzj2F026AkGR2stPV979RaX9wpMZfHLd
aS3HcxpLq7XvRmXdKhVUkvxVzwQRM52CyDVn08WTTGbfGqu1z01nyq8YuaJ+oVV+flWRxb/1074i
nQ68RsWi9xl26IXR3Q/rhOWT9KqJn6aNSRsRDiZU2KWlTtusdL6UoCmYCdIz5ZfVwWrv0iJdvnVD
6dyYk3I9VOhNg+GdcJcpnjwKpAh/WZq1uAVlBPjWl+sx8KSxjhKR6lfK1eD2uyAdIkzb6fPMU5bM
Ye37M4ihIu++ma2TfEYiqf/U+NAyw5Fq8npkUGBFZkAJDhHCGC5G942n0vM+75Lbqeu1bxSaYxn1
So5NhEqt9zBBuPhUFNI0DkNQ2cveVFZdn1Wuzd2e8mK4h9XlNJj6ZX62N2VW5uHgq+KyAZlcRJ69
+Hdd36uHnM7UNXcngWbBIpojHa3YhzbIpBfBzNeacMJp9A6dfnm7LJPeHVrEpflbL1AitmrDaiOJ
6nUSrl1Z3NJ2zatIZy5ohA1qBF/GgB7RDnty04nlkrBCyspJPvK2HDycnNywTKcii3Kn93YAJl3q
GUfz3gptQWrPKUo/tIxRXFVWh6oZLqQey3LMNqH7POAZjI2XdaEFjPcsmMykP0mQbld7tlTwxk1t
H0e1eQFTYBvtkIajazKMzVEM9EJaitMteeQ6hDzCqSD5NKwzv3WXt1Zd6NFUWLCZJ32xT/s1MFi0
RuZPp6M5ddCBKR1FhBBtWof8wAljPc8dzzTHza8TV8xNXDaVg/mM0u2bJEvqazfrR5dH2Br4nrnC
OHYYlly1gQtjymPARG6K3k+/G218GbRANAAHZX6+Ihp729umse5dr3P60wZrvj4ac4Us8TIGaxDl
qszON6sb1oY9ufO+Zbup/TqLtjkoWXQNTcDGb47LblDAbfIarOzcjh8rph9jlDGNPfhJahNxuwbt
+3qcnHNfDvDYK7M3LnXQYW401YW8MPoRIbQak8gDtp+E0Qb3wfwU/+hUYMqSTcbBcRVBs4dhczuU
RXWfmdqUHpzcn9O9UEWTHyoUvygiKQqsQ+5MAQl+lxGbijTvPnOBmXZvRm4HZzcwbnALKZnkDxpp
1EAa24D41ZYyQrve/LDWeKseBjRD9WPMcM0sdHiKJQ8mh5s0B/XshJZM/DaEEyo+1n6uo+9Q6JCK
Gs9eP2LnjSPcWgvz2jfL6sSSACXCfOrbObQsZAt2hZfm43FCNNZjM5Wehgxd692kqKW7YWD0w8XA
pvNOPa/TdPTU7aoKzaKpHqpcDqibIa30CaTAcNaid5uAUTMG2r+dRxGzrN1ylQSrprDOaWqC+JA4
c+gVBXzzQrMbHjP63SfVnDhhSyl1kL2nR2sqzqFrjVdq0hwOIxLhIjQxRxv3TtcpbgEyGXikpZuf
J8N0eWXnc1qEoOTST6Oj1TJyBgVxgFFecapLp/va0pqk+nWkU4SFrVOeUERoXVwVDSVEsiy9Eaad
2+bxsnjauazRRKUZ5WSfLFu4F+vST/mBSGnNcaeZHGiZUWihFxQYSsra7gmYfTFfObIYP9VtUrWR
1Xr5QjB1Skhmk9El8Qq+pQzbaXJUzIapgl1aK3G3MrY5IMG9+KdTlpfH/cDZERceGf5d6ZTuusvL
KTVOskbLPnu6srvYyhyziIWRYtU218ZBzHm7H/MOzpptlb0RNUtXn3MvC4rYvB3bKF+1tItMBP4u
1wqa7hd7mWlMy1K4t93gWA9Z4MIMdsdq0neV8NHPb/ixMiwMzutQ9wfCg2jd8U05DP2D6DnpDigw
gnSzxmShMibsjg/pJH2OJZ1+dpPoywfDmusHtRom6UE/LPZtqbTpXgxfs2pvFPX6FdNq/9NcrQ0Z
XUfXfE4EqBYT+IUfaspz+5jn5jA2xkTzupe+uBeyUh9aNMCrsIfr/D6fPfWV4o70rnONbgoXcyS9
s5FWrG62/OQ6k4uWHVSVoZsZ4BSmQpgQ8FgGR8gpQjlkzqJ1XuEm6UGubofB9D50viM+ln4+ykt0
EZp7GNOlG/mj4Q1hnWjDpTeP+TdHNOZH07I7Mmw7Sb4R2DibR9OmZ4XjbJ2GfE7zVtqN8a7Ua+9G
9YsOgKjWUK8HMVH18UyY02J2YxWckEa5865sjfnEXVlOoI+31VNCr0CiJYNp66fCu8ZprKzCOesy
WKcoi13rbWWl8aSJ5lOXlM5DCY+RJLpQwTvNMTML6QOnfhiTQHvTDEtzUUzGvMuVUS67xhjqzegh
l3d13fb3Sy+gstVJ0q23E0w+lkQ+ZzftFJC0e2lpeJg7QrAMVYIKI7+hXCBSN235jhtWqlOFnMz7
rNXyCiJIq3WXaz8YWqx0GruxR7zvQvp9HEhFmTveoTMM+r2IUaROXKXCzKnyxrp4o0/u0r4bc4JG
NA6WvcblrAMRJRKIa4TXhy5qAm8RYc1SvWyGQb9eKs3FhUOfCG+kXs0SdnSQ69DI8JMNfVkES1gG
qCWGDC+d9NgMsMDDGm8e8pBBeCd3pfDT95jrBl9bZnOgDb05W0MBZvCm7F0cg4Sra59r3FpWUukq
ezuZnKJhntPGmwc7WUMzA10Uzm3atqGW8DjZjk3anDrCmDM8NZR1WVOFmofRlfm3WTSStoRZJnFQ
zLUHNW7eao/CMkSEo0YnowEhUu10wqsrR8nCz24Lr1I28W/R5ve4HS/qOPBXsexqSmisI3W3Z5CP
HyvHTGBqDp1fV3Z7N1nz5riHB3FuDkIscWkVtNnXKij3SW62I+p7lvNtc6QmF50a3zlpZTt/BaDq
dae1baVDOGpeQl/LTOuohJ7x0bJadlIpPA6SdpDz+MbE37g+TgdZBdEwOXkZG/M6v28sIe8SoJtp
VEqVjZE5ie4uD/IhjUB2evdNsWIRK5tmdUO/4vlFOZbfTmhrYvggdIaKQMxq/65qJRqFcHBp1tW1
k54jU99rO124RrGzxi7DBI+T2Qpn4PRpXLmFnsbamipuz5pvooZpudYHZdYwPUxPFTkeLuifHFyv
QsNjciXd6rRorekSsY1mulKj577TPPR2ImMSRG1dz71jJSw5hnri0/JDcBeVP3g1CzhbmoiRk6pe
P+7HyjI/VRiryEttHDs/QtupuciWtG9PgnLJLmvyBDeUZWM3IXWo+IRWkbgaDOzaw3ltnSIKNJLR
iJ0NzW91TJlEDXVGS8LCAD70+6UgbS+q8gaZqsoKpWoCDERHOU6hizp1w+wmGKeD4HH7hzzAFSTy
00xlZ2ZjBcsZmRGuE15n+CdV3+mg+BqEaKOq8Iabyijlt6YkIsZTufRvJyZr17UsSfqLlPrwrEjG
itgBGwM7s64V2bnWacMc+svQKbw06xIp8Xxmx83Z1A4hkkX2HRT6MYtL1+mu5hk/lmONNOBQlkxe
d63Sk89LyZ2OB1K7MvJFr193sidptCa9LXZKKm3Ybo0nr2net0EsSinG0F+D3gqLxuLGCctMO/JJ
vZXkMDMLiQYZ8AFAg45xVuYEntNMDaIlA0m7D56mi/ykhPD0yddRZ4jXNR3WuA4azMuraUEckgxK
HISkdYzacoIRqVi8+aFG4+F0VA7Vq1rxFwvh1KFYpHd9nRCu/FqFSAKkFyNc1ys/69xrU/MJ2Uaf
1vpu8fvEDJVL9kwPuig9GiV5FnAtWXZRkPlBF5rrpN/7akCTzuxm8bUvmNcdw6xL9u28BknsNmNz
L0dr0OP/sDLVdlitTftyq4jb0iR57LVZd6L/6Fxq9r4GwMBswyNlF5N163W07VIHJboI+V2syJCh
CLKQDn5q89ys6obvHPyy6KdHd4iBvQ+Gm77ty+mbkaultZZm3g/KvkCy0+U0HmlO/3LT0POA7SGp
7ML9pxv7vCFVLFJTnaFPex3mKjhjCFaNvrwm5P/zeAUrZCwbYeoxlWXBPb8KMXfMUvTm8ZqSxUVd
ZPXVUAfVqZE41r5vfesVKYi/GK1vvAJgt5tMAzpuL5qwa95bq+Ok036y8RB02Mf1oDjdrPm9hsxK
6De9HfVoRYfOSvJeF9eFSxY9/Kq/ogNFydpYgtY2KANI+PyHD0JxoqemQOOomI6nDkeoBj2FX36I
XAVhHhDR/GLjpYRDaULfSa1J7KGDwt4evJH0AH+av+9e/tSPRZST+RiIf33DSryEyNIYq/I2VciZ
J5O6KCpMamhlO1s6XUV/f6mf2rHIPoJbZQz1KM7y8lJiFl26qqre98IboyFr8qtxzqfX2rHc/OfN
WHg7QLIQ26MjixTD84fDl7frkefCw6kYISlSPbe4nxNFw037BK8NFPlr0PWfbqLnATvbOHn00Gmg
vthvlcRJUugOj6opysioCy32QN1FWAH8MgGQNj3rglSELUBC82IPmOvorIkjlr2NF06YU6ocVlTA
X1kVPz2qx6tAKIEGwtj8pftTVdTNJO2ecUenrTvy5zVcjfa7dNh/PqPCjf/6L/5833bLgBmvePHH
f71RD4OQw8M/Lu668R972Xy9E3nb/Nf2IX+86flH/Osiv8eUr/0mXv6rZ2/iSt+/SXwn7p79YYct
r1iu5cOwvH2AECQeLwB9b/uX/+6L/3h4/JTbpXv452/3UB/F9mkpX/637y+dfP3nbxst9D+ffvz3
1y7vat4Wt3Xe5Pd3L9/xcDeKf/6mucYRDeYNIAdPkECwIQqmhx8vITCFWN6m3LVpdxGEmpZq85+/
Gc4RwxXWBpOcTdRiQ86Orfz+0ob9gEbOyHDTowx++/Hdrn7fRL8/n79mMj7Omp/uNTheqEcDmmUk
BsfwpRopJ0yRidzoY1NsDfPCh6hd2aYWJhp84qiWFgNor0MWNbRRNgxCZHbG2DESN+7L2uvCSej+
Q9kUp7ZatJ7ubndlNLN5kKPrYlZHi5VeqobxAGo8cxfqUtgkJIMo4t6Y0vPc1ZY+ygDknA/+JM8L
Xy0fOuzazV1mq/q9Kw3zXdPX8oB52noa9Pl8lsxd24dDNzDi7jEihpy0XnaG6OX+8Un+0ur+H1fq
s9X9b+6B/42rm0j4+upu/vH2oZNfqvz+2TrnvT/WuX8E1h7xUlY44Q1myB/r3DOP2ABQdZmsbwLI
2xb4sc6Do40ICtwMvQxwJFs29WOde0dg3swNxmJveFZYLL+wzn9nVjxd6Mg3oHODGgGpBxj7l9is
TqvMYrGqacc81vfOCtqmy74V6HHty7Iqbk3mTNMOBRyaoGsyFmo/gtnpQzn21dlo6K0ZW1qZtqej
Uy38w0BXB2nQuo1ymeV3qzQZ4KxVa31lNITvWAnSog67zpbvmoL4HHkT8JjQFKlW0MnIh+aEmXDr
xpU3+O/yxmhpxyPYRAkmLLGEeePbZTh6RY8Bg7fQBoSD6ZcXTVWPaTioKWBLSS8pIqAaS3oY28LT
QFqU1mVpCue94RaiizBrRI7eqGdUhod19Lpd0nrqIZCORxtRa+bbgWKwPi59f+sJ2q6tLvusRmIy
UWPXR1qQIcgUBMnXTRZPhhDyTDtW1L43AJkr96Ixxi6ISmqViylQgTzFL9VcwqUbfdoaw1zXHBir
CUtoItKgQIZGQ2TQIxn2wvDz+pJoLKa4qZUlQ/BS/bCjYaFAEzP+u1IOsu3xhNvwnTE3ZRN6Lu+M
AB3P4w59R2SrLDfRzGjS82aK21nI7HMmGv0NfQu9C/PVb+mTk2uqSyohezqM+TR8GGtHMSoMIKuo
nZbDgzjuu668pZlS2pHKg/rcyjM1h0xn64vEU/rd5PnFGww6vC9ooNtjmFCjECox5p5DIy1sA+bY
Uryp7EC87/qg9COr8/U8bGZop3GWaNaX1ZvTJRznYn2XggCYGM0kMzNkF9DZvoddQGddW7U8WtoR
NMzQoXiNf2/veNeFRxcqxIlUOYdVa3vr1LazzKSunRIVtZBb67B3jPEtGhNev0dOMbnoHCXMmKae
97DBWqpLmo3mW6HwpT8vbGW6x520zDJe7dXHXXtOyjr267lC1T2BBnvWIhs0nTQajdJImYs50YRI
RhGPYu7SqBIpyjmFgVZpZKg+sPeIo2ZaLGunKuOutKrkoPW+fWG7dSGiVIxAewYMAK3DbDAX3Jf5
AgA0a0f5djQyj1I38aZ7o55mFboaihohrftMnTeCGRzAdtRAM4rhOQqYBXShZw6+E2mlWk+kPY4o
B7mTjoiQaymDlnKDngPziT6I/aFsbxBDS5gLNVoaROg6GvBiK0COn6SjJT5jS6T6Q2cutQ9iREw6
HJ1Zez/kaprivPac9/406R8CxuRJSFnaeDzxze+FnjKrNWc0aflzfx+0PYJ+dqFz2DVFvjAuGdQX
rynVlTbPM2rsarGY20KH+Ea7Eg39pQTkhb7TNj0R9cOSAO09zO66zNGal4kRqsBHNi/HRIcAOtRR
Vc1OGZVZOt4L0FQimqrVP+9SMDphW/RsGy/L59tMls6lDXCBNnIT9EYM4q3ee4j50GpNF4/hVdul
J3XFr40NIeAJS/QW67jtSq2PSX67NjadIQDJagjK+ZogjUGTPeDxA2GTAV2Af9iyo9/rXTB/MrpI
8xzGZsFMAz5qVD7PQLjqyTozUwfFk1rX72szkXfNYDMKcCZsFOFYV7YdLu4qjcMML/KdXRQNjTW8
bW4cFmEHUznLGTKljvygu7SDw1SgqQOibZlRqEItoYtzxdINJzsDduHbEy2+nEdgAM5O0y9pktkX
uiidicTDtDTiZhnUUTq7eh/6rYZSoK0wDNv70iqLV3B+LzNwZFgAOSO9gZs7glcv1VJcuH7r6ggE
Q9fO2CVmEoS0qV8zz3jkkDw/2KyNVUot4QEnc18qfZiDnslxHkBPIYElGMANmhvpgs0g5VpcZIU+
MJ4vks9TmTlnxso8O7YhVf6eKz0rBP7RyPqqzRsx/vO3lwWUy6+EUQNFE7QuDYsXVU02Wv3Uu1a/
c9vaOKVRrT45XTG+6/PGJqn4IwX5nsQ+vdSGRH/+i1G5BWcNowhGFqD15/Vh0ySBMVZ5BwlB5nWk
7NkZd6Ux8ZQD0fnG+dBXQBuz2gQhCoRIl9FYtPl3web/yw6f1D6bov8fj2YrrZ7VPofhobn7+qz0
2d7wIyU0jlATwdUadCPZHajxP1JCqiJGCHQsyMQ8oJYbT/RHSmgeIfplI/6wPWRyP6qiHymhcQSm
GftW6BDA6RBT+JWU8OWCpQsFyYHW19aQgp61vf6EvLTgg9V0Xl/EVqEV0Wj37k4z1HjszMKLn9yV
v1iwPykMbNfi65q/61Lxi59fywDkZMxo68e9E2gXWGdSXyW2Gwfj8tkst2FCWWW7jY2HbXd3VdG8
xMaTeaS/cByCFiqiUvSHSa40vum2bwDaEfydJg9T3e5r1RacuUPA1JBpcOOXY4inFXYwFZNEN+s4
OYJ2JXcU1vXf/7StF/N0L/LL6C5QpMKV2awRX7BGPMxGgzLh8qtmVHtB9h8Z89juOD360ILhFFYy
cMOVvOCVgPMyvP5+ZdqI2xKjFt5ef/L8SNzhViDagQpzk+6QLaHzrdvLK22UR4W7Fz8Q+ity7NQi
VPAv2QeMDI1cBkEeT06hhnhw9G5XykzGegAfiSPeGmKz8JMKR5w0uQcDn35aEBDtp2LxIqPU3Bvw
aqceZ/0BmB4jVYci4Vs2+fk1GEDRhAY4M8k51qagCaQszmbfKD4Xw+zFsPyYOwBms84sgF0ncnLm
D48P8P+i2NMoRln5N1FM3n194KjoHp7WtlsH8M9AhhUnyF0IWPqjhMvzQLZx6+lTsj7Af/0ZyNwj
lgt9Pro08EkASP8ZyJwjn7bORgul6WgQzX4lkPHFnm/BzeOFFJ/SlgsFL+kELlVbsFhKxmAoPiSD
uYYt3j/xNFPiAOp5ZUM87qtnG4LLgVzHNRYBw5+J0NRezMwpMeOBCAZ2xPHFjrgwfU7x3j1dpxGJ
BsCxOB86qZd9xSSxa467wTJO9HIVeugauZ6FuSfNT4NZMWBvEu1twTRUD4PB2q+G04aDFBPToqKJ
2mCwEZtsKveglXZ1AvFgODBe1KlSeh+2Uw9ecWE4XVWmeZtBauiiGfOZPFBwEudaP2FyWZ6aQdlE
Ta8dJqZMl4iQaJcLiLomFrlW3ddMmomdiSqvpyzzAYMEqnglUD6qQr+8by4tevoQGHahNvQ8XmkJ
uvlUwoJxsjZ/SVSx+jHoHud+RMYzMntOo9CdlYf5WaN95v/sdG/aFbAVjRqI8r/IgNGuhRVDh9Up
hUuXyWYwtum7oquZzWI5OUao5qAasDarEbqMxsDQFUqCkAUKuzNa1/g6KlUUe0lQZiBfLIxNC6cP
ReMez7oA7+u5hY9xNJDXabG08xa61X711u2TrLF9AIV3y9AvxU2UQeaaIAn4ymH5KDn74kbRQYJI
B8jcJIUmAXga2Nd1qDrIWSMg3NUPlaqM0AExUmMQiwE6nlZFd452rHYwACUKQzqcLulOZIjWmrlh
njXGPN+ISXcOzJ5BN49Ao/VSfw+vJj3U41ztnkSLvzjdf5JaZxYC3worGyrigEznxRlYpd7UlWYl
YjJTxvOrnxyrOfiYD0BKgbePwPEZsluznsVNvop9vYmXVuWgXpmu/XQibt+DlAo0oLcNnV6sMFE5
VI1OKuJVCGtHaWshsDa+lsz8NMN7/Lmb/D8NapK7l/IyRdH3flUWIkZVcKuVhzn2gUsz2rLHaBTW
fBwwctxtTO4QL6HkFLUhM3JaBNKMKmlfu/s/hz8LeQroYZg2WDhOEWafLhfw241ntvD3Qdf252Zb
dSeg9M0pyrYeS5JN9bVuJYDvmxrARmGupwulzJksh+aNZ4qDpfy12Rd8ehZOqkkuJjn0r+kgbGv2
+ZqGh4qcFfoU1Nokvc+/5CxArQyJPsbr5JpxFeQXq9GcCnoWp9J/I1Zh/n5bfulY/zeb0s8b2d1D
cyOGhwfBNOf/geEMh9GT3fpThXJ6V9+9GM48vuP7ye65R9AjTbYtAuHfj+/v0xmPhjYlCyQwzAiZ
i2xh6keJ4lOiwNpnvXlseCL6nye7d/Q47d3KlE3ywf+l6QxszRfrhuRWN5BNpwMOXxA6+vN1YwrY
NUFnFByLOqp/iKnkd5jx0gmZbBtfJwxAu20PBsbb1tBLQGhj06sYVzS1hJUODi6Cpomyfl2PHdgO
zbDxRwVOQi2QeedMPK0aqMiGBZst+knSrbRjL6+QKJukWvDjDtYkTKAzm4CYVfmhE9hW7PBpO82S
rH67VIXVRUyD0XF0U7+Cy4Jln41whw2qvgLS3YQmMsrpbvVA5Id56ljva1T+OcUgsJxXidl+7CtO
X2ahLl/QtJI3ftU2IHlKlE8wGZFBceid0bgaJ70OjjOrnt+7vgY2FebD2kN40GUd1f1kAwgeF496
SfMvW5COM41qY35IjYDBE+ya+Z3BfOt4NsqqjvTVKE/4I8ebiSrvByw4zC9giNEzoF7N76TpDlPY
m2WKPk7qmPlOSHMudsYq9fegM+wP5ZjX+THciOCLl/f9mQ0k1tsh9qV1Ebb3vQ2Sp6iKWK6+dms4
UGEiBLLKj4Hn2jRW4XqAxZcZD2e0/OJj540aWOMNUB0C/hlNcOxJsoSeYGwb0SPUPoP1UwZNafga
e+bw/o7iw7trNdNHKkXLxUcwYdn9Vln6Yet2yRsTiac8RBt4sGKsbcRnoL+WRWfOhPvecaat55Dx
i48aHL1odJWv4twoC0lfVjgzNYmWfx5srStDrXZGG/B/YD2oXjIZRIZkbmHeDMV+HJ38ozITq9q5
Kc14zQYDHc6JOSFRCU0HPLgWTEmkkmzzWpLKvnZHILUYs2XTqb3YWJJwAZi20ZO9/hcns/PT7tk0
Z+gSsVPpGbwkMhbtCNQR0Nye8Xezy3mIIRvb3IsAZNrfX+plT4oxPhJyTGpRqiBuvAS2VDKvUnBv
xR7o/5XmrQVznQnzCGfQdrAgFggvuTrv+N8ro9Cn30/+X4v2fxe5n8f4f29gv139j/n9/45RPEL0
Tx7LT9H+4m7Awy7v5cPTSu7xTT9KOf0IjeytiqOeZ+bokE38OY6niQE/1KOMYvS4Qa5+BHz7aMtH
mR7qCIWSZPwZ7+0jwD28xCR+UwPmNPqFKeWjx8jzNGEbwdM028S/gA1suc6TnkY1SkCCbdbEWdOD
1A08LzkuAJvJ0F2W9bZWmQ31ofT282StcZbK6YO7jvZD7WbJXad5xxiLYxlndkWAoMxs9kDXtUOD
fRr81lm7sQWSKWsxBLd5gai+NxXVQZpTEM9l13zu5ajftsgiPYydc52mXu+Gi6WrGFnG/qxQZvaG
yVlyCg4xi9x28KzQXEb70t94el4NFQbMqm98dWvpfGSTDFeLsjJaUfN4k3bmCNpb1A5GiLklbgqt
MSkRu+obs0KoJf1iCIepp62/N8ze+roWcGPCiZ16zRRRhqnVCRgbs223kQnsE/i7A4SsEspp95Ya
AYC2xrJLrHT96LoJ9H2OkYu219XnpO49assJjgkeEN5eLh6DuBLs20kblObXqlXpoS+DPQDJqy6Z
jHfgEruvFrn6e8pKQwepbKBpCVj+dLUIYlHVATdUc9GfuEycKqrgpf4I2RJ62zLLKcygcb3S9P45
uae7sK1a0BqbifD2+pOlAY7VsJsU5WfHHYMY1Ll+oi/adz72rwWSfy88PI0O/3rzd8Hnf2Ug4az4
n1tCFy0zjodhuBPPAwlv+hFIzCMQd1unGoQObp9bTPgRSMwj06K4eSyRsKbfVIt+BBL3iOEIRYqO
8ANM8CewHveIFg4pHn9Js5ER6K8Ekp/knkhnURAEPmoB7zTBPTxfLcqfRnc2yYCka43vCjhYn7Jy
Pki70oFU25NxOmmTdb15rT+Abnev0NeYTxta4afwV+QnNy1NoMalPDORcDhZcrN66xpBVfzeTfql
9fb/O8IGVdG/W2tXYNhE+4+3+X37dLE9vuvHYnOOTMC5zlYJOPzn6anlHfGcN3V4jq3vvckfi40y
BdQNQtBgQh1yvierzTvijIEDgj4rRxqx+FdW28sZAHDJx2MRBj3fBdzh88Vm1VygmddsV+GV9d/s
nUdy3Gq6prdyht0DKODN8CaQhmSSIkUjShMEKYnw3mNHvY7eWD9ISVeZYB5m8dzJ7e6KqBpUqJI/
gN995jVL3RDuuqDibtDDly4oZXrZKJzKohKciLl2rc396xIAMdggsn6QQzQBXokLBq2HvmCVwF3X
hSXSHZ2jVjCYoUUgFY3LR+wUgO/OB9m4NcUGHlWULnMl9KkWjiIKyHpAskOjwq9NKk2hYG712H8e
IIKc+35BSJwWF1KDyEkgtNZHj6vgvIiHerk330fC1HlxgKIA9hMc7/hwIY8/l8nscsxBXSlI6Ge6
2KUNTeUkbnCtJWJlo9wN1SeUup8bj0P5OPCPk+ugIEFMTLBC1QTQFoXruXoP1F14VgONEzcXI0ex
4hdc0L9aYvJeAd/5QLPKR2P1Y0B3xFuSEH4tQ3g3ZmLdvf0Bp7tvfx1MY/A24tQLIs6ft4LqRglS
UIzeEv6GuSi7CqxKXeYnpulVnY9hyG+w6BXZMwjUz16FPhoCNXmCBLrZWA7wp4sssT67gYYtePnY
ls19iXm8EaGJFI7STWL212+/57zUtXsA2p/kFzAPkHc/3Gh61kpWHkK0s6JsG0MWvKRwVCyiFiEA
wCqnxDdeQQt243GBcCuB+5bnKHkYWAoqnJO2RVMMNqC1Zx/0DHpE5rhwY+NjalHcLDX1BsLoS6sX
t2+/LvjY1xNroQOPxoiCJM9UTTkIepS0F9RRdYNlYOXnZFZXsTDKS5WDxWvy8QYWzg2s0nSdtLmy
KI34GU2MF1wIt7lchws/ySsnGlAiz8TRX0GGVq8b1bwqAnhARrI1Bf1qDKMXkRg2DUwYNgMUpKET
oII1MNCkiGA3gd1xHUlAhsAofm9j8FmlOIG0XOVmVCJlkY7BrSYVXyNXv6tM9SYrtRtTZGTVoDKv
dLGNguKzQXq/KMaSqjajdTXM/OkxTEsH1JIadx3Kv7BgpRu18Z5d1PNA2IhfzCG0Fu30T1oka7ei
29dLXUb8I/bNcqNXvQx0lqHiKs1tFV6ug+fKeKOWmelg8lQt8jbZBqF8E1aUCHZvJofq5QCB80It
pjMvEHAKEjqk7o0iugyi6hE9Id4KkiP94jGxu74zHQF5qiU2GFeF0iXwuPQvglGln2uyegcyvGVn
6N6RwkPl1KJW4Y0qay3TFl4A3X3WY+OKxOBKC+tsE1U0ouOosVaDZt7pU9GHM3y8NHO1tQ3fRxhV
8QL01xCJ4Ma7krR0SjMscgsBbczRUG7yKHmOBuVBDmTZsYzq0U38eJkYPIIUpMP9NK+ukW7D2jAX
cR/7HxvLXcIJk+wmNytK0YnotLkqLFW/VBZqBTe/nz7y7jP2KuL4oYnUkQ/G7d5AWRjhFz7CAF1r
lUqptR580bLNwLjCUc5aa+UwrNHuNpElC57VFNkGJarzlQggdeEhdrCsBBSOukoZN1mm3WSxroGu
YykQeWkXHZ/Bp5+/KpEeWYajNVy6Hp2DQlAiR6MqZbsJ/9NNueKKIn4xu/xR9o2z3bPTe0jXYmqc
pckIELBHBayVX4BE3iExmq/AVWfoJ/CSbeG/6IMH2NXrZHweBjQ7JJCgTdDWSzMcik3UxjeJHmRr
M+vlZaDw3JEVjCvLrR7h0ImOFuoR5SGrX8RIbzoSvLCF5QfeSgnTYU3GxKpJ68dRYwEIWvAieGqK
GUL5WPdGtOxNSHCdEOc2mWKKtF7P9WoFOcgE6caSUAEAb0ftKCz4tZtup00jtvzhDkk+mwokkjNs
dwQySoB04OhaLIbAo7r86YZOw5BEL1rLJovH5Blhliu/ky5lt/tYiNZdQlt9ESHNcVkA4p08aK11
4MrVounUm9EFildUvYlAr36VpghRpXFg0BOzrqRBuUFxrCKY8Z4Viw8zZBJjuOWjJmdbSmOPgsCX
GozgM/U7UAEdEyaNvKZs+cJdiHXrpW/4w0KNgCRq7bRFjfFbi3mZ3ZvmnTiOqAomwh05Ro8KgXmn
eNAmqvg59diyaNXdVT5R1XT41rUROUVVPoaJfFMGOZsWFiQCCSx80UVjAzsRqBEChGa502BjIwqi
qBwZo1H253lQ9+d9giVuogvUAD2xXkiG6l9BbB1dGwW3EMEOpkareEgRs5xLEcgqLi8mWzSPn7Va
5w0SCNzgar2VUBQwe9ssoX3qn0WqGdhWzo6vwvKxNHyEUJvHMikf6bxPZhOYOxp6yaFssE5Mn+fO
TP8lDhBA2+1TITfuklgc101IbdKDymeXWZltclwGliEMcgdCnGybrXDXDxGLS7DOrSjOVybGRZ/Q
R40fWsOFMii64bCOLfeHSGnWkXtFWAoqv3JF+SaOEmXBlek+VSEKDtoU9rnWdDQWvbRVDBjf0No1
aa1UHb6zmtF9lGrmcvSa/tpUOAQhnUdLgJHK2ZSNL7qSpe0WdTUsmBRh4wWIHsSl8DT0nn+tmImM
tH+WbRqZAz/SskedCgfbhtxxqyI1uJK8Uf4kjQHw1FYYyovWGDhplUjAj94XROS1fI1fSo2wSVQe
GYmdYe3BBFyWQ8tJnyg3pU8hZeyb1gaqGenUh8Pqcxn7/sdISOOlVmpPUOAiR5WSyumsynQg04uP
VFK0C3TtcjQfxPyLJJj92kzd4VKIaWMhzeM/V54QfQpE4UkqILUCNJ/mLxQRK4ZYLyzlTpKXbVeo
3wFPo18lKa0deWyWNqY8gsNBvOyRMXCQdjNXRtGKj9Sbnvue63k6nJAU7s8VLmy6hyE3Vfm4uxaJ
W2+GrqRfV4W5XYnTvRi55QXccAjepnaFGn8AJJ5tkHNgKNTBHTnRygtVqgW7qrqPWlsHX7OUE3x3
RkSBfiVWeXorpOGzF+cuKS6qN3UmByuO+OlOie8wLo4XoW4gQMB53APnt6MseGly+TpXmssyM76p
fvwlNaKLCB0G4FVECVWPAEiWJlSOWlFGo4INJ3PErZqAAlMmxiixoXCyUKJkuOgLMdoOvUGi4pql
k4m0Q9h0Z3LU3oZVm6zkWGycutf6a+y4QKR1FRk5Qs02EeWjmU6vSVuAQdmPcVSMX5vAgtrkPwco
NC6iMniZyHm2VEybdgowduEC0giPgx49g6bIubMqGsNme8oQbceeOIjAdehLKki+ySKXdGwWqNHm
qRoUyyDNGe1HPzCcuvbPFbW9cSMUfHIJBSUPSdWFWMYOccGlXgsPklE8hlhnGVFK+0LlXh1VhdAJ
uVKxLOBlF6uwHG89GhQLjwTK9qvqzK3FbyBOBOjmwmdwg7daXl4Ukpmvil6jMundS1XzPZTjjeQZ
oLFZXm3svuQlIHQ/Cc5RQCNcitv+ShPq6DwZ2FOpywFKq++sm2Lojg7OYpp7LVSvlJTdHyqTGFzM
SVXV0cfBzPV4UcILtwH2EL3RzbWDrhrtzhySRZJHvT1ZYC8bQT7hWPMqUdxBIihck+sC9537XmS5
ketVYAqOLhMMwMMkWJL0s9HwXsKcU4wL7uXtEHxn2DGbWPhnQIspQJDcz8EYcqOkdeHGgpNOX4rJ
UXHsIcRUfMtbVtX4pTGNsyLkdE9idd265tUU1skjB2sCBMeGuE8gDU7EnmIXsSMUmWa55FIelOgZ
W6nISdjL6B5RZWqdCub+WSbHL0VePio5EUczkl+Eyg025xZUa9DoQZATjXD9yn4QL9tavZFVQrgp
7BNGbvCEYLgS2SWIgkXLKmYv+q1YEz2RPOxiq7aEtDLK5p1ZUawQuCeiqBQ2UsdsV6l2lY/8P0lo
HvtQqu4ybPMCFMAmuI03MSZcrtOfNxS5j9dxQHeDKCz73oehbVWlhThEzgGHjBFCB5zOljUIU4BF
/5+XhqoQgQGQbpSgeEQZp14SxLrnHsYcX3fT967y2l2W8J95K/+gevuvVeDWP7KJ8ljN/9R/w/Iu
icHeOn/VJ7p9AsP+10VQ19VfT+n3v65+tEF1WHzj97+LbwCSJ+gG3R+yMeShDyq9uEBKk3Lp5O4A
/P5PpRf6mgTGGZQzphdwasjlf8OYwQgAEzLRYJGm8pX4LoyA/KoowOgSVTxUa2m763Pr1zAPBikw
PdFBvD281DM1+qSkijiwrTz5OkRkB//ZzD/XskDyloqWtdUirFwEjnEvSwESCHXPhd5J3zKIbCuR
9vhDMAxpBkFCG65kzPFY3/JYcLZpiXCBcvFX02v7ZwSbdcDGeM3aUJDLH5gqNM7etBypjL3CGiF8
QBd6EuHHfAfYzPTye10PSwcUm3b96HgItj2hOSO99JIubEPQmMHCEoCPQeOSzgQsdW4tKksS2khj
8DgW7ZmKfnr9s+T4rg31Zq/jYF/9iwCc/44baNIq+Pv+yN2kTbzbOjbwmqz666yK2UiHe2j6E7/2
kCF9wCkME7SpekaHfQLT/MbZyB+gAehsFABryDJMS+BXAVsG7w+fhaYsEHO20NRI+bWH+Cc06AG8
kkRPxGWc5t7Td52VmTRwrLgRANphvZnEL4erbBAGwfVrchq5i+qHIYHrJFGQcfR4omDWwUuL19OD
ImVPex/tyPKeF2F34wIrFlVQ9JPiweG442CkHWp0eHKpIlJ/6KB8ConI7UBMm3frAfCOUL0nwd7p
Y88dufmUTdu2+H/FpocwTULejsjiKTbS9MT74cL0RnSlCQEIVRBSmFUoq0o1El2aXMZMI1nWVdKt
DFeKNqRbKbpwfbIVMncpq+uy6t7tVQ9wRqTRAdnKolZpzGZRQ2tjNGPG7tE6WRo+jHJhvES8KFjJ
ZSAty5zW8bsnkKYH5xIdEHjFcyaSgkE16khQJju3CGw3FRU+b4ivRaH5J+w5jnxZGmzIlsBWAY9m
zorPluXnZScIJLNVHlzLMEcda0yDM1cjJRHgkWiReGEizrGJa8A8b7/nzt1qNq/swKn9jI4RqDjl
cKXqQhUxtkbu0mam7efGuAZcpixAJJgYV0qlo8ijgXzL0KyCcKRiV7eCI5kdCFAQT7QobV8MTnlO
H9k/OoVhoEas68ky6/CpgIr7FXU76nhqbK30YoyxFaZS66H0uXr/F6BXNjXguI/Iz6cm2N5NJBVh
F8Rq4K9az8oustbVnv3MjL8CjdDuyW1bx9I7OxfD9KyJtgKMRxtBy3AZIAO7gqpCtVpypfFEG+fV
7c9us8jeJdhSdKJBgR0+Fj2i3KurCSreK1zpZWwkOD0NZuYEuSVlC6C65h0RsHSltKOCkl83+DbC
eAMGpkp33smd8LnRe36FdYnvVLAzbS9Nc5C0DWykVDFcp048Bz0odRt4wnMSAVjzfZ8kSUBgZhPq
nXZLXZqb98QXn2c7tNBRZCGigdIJ5uaVeo6R+ZAOmd2SJGGltWNzgVJlQgacidA/3cwXX3o3Q20N
GbneQeFyYgcPrbyA+Zsbi5Jw/BLmO0FA3ubWZyCQ+uAUnucjYqcMp4DIO5j34R7h8hLRE4LZQcY0
l63BUU0bsl5zKS+6mVOXYVPYWZqi8gZ19wIhaOlTFftSxuGbNpcjiOPrUG46vJwHF01HBOlB36tK
jQpaj0zAoosq0JsdnC1KVhbaGr2MSi0kV+8W75zuOihE/6YknwkWQtYb6E5H2jVpafwpiDXbi9OV
h4pqjWp3ra4Lv5LP6W9pnwLdNXtbqnoqFBK84Q6ywH0EAvU+BNr6rVbrZiU15SmA3LxHh3U15QEu
aiRPKBSos72qtFqreYrqgtAJ2vs4H8R1ahbaiYDx+CgmIC1a2yb49MPtkI9+6AqW6C4tz6TYJQ8/
slw3T5yG83737lUg8XEWgvzStOlY2jsK4N8HY6F17lLq9Jqy+Gg8lrKSLDwvjcFMUnZo8q60hzKV
z97eE0dGnoyTIEbQkpMoRx+OHFa1BRSjspatpoQRCtyR7XcRqNGySheecQ/92X8QzNQ48cY7J7fD
tT2dMSxvIgjkz+Y45NLXA8EPFWupZCIS+Epvug9KW1ZPqJRGcMJLTXASSRSg9XcJNVi6UJuMYrNm
N6GcVxS2jXzrR+LwndRjW3RUImUIMfUC9eXyzpVD4aL1DeVu0ndNUOJM/U9ClCbfgCOrH5XcCq/7
JnLXb3/N11fqz4MT8hYZGovz8Gv2OfbVeS5aSz+32pXamdYtPcZPVVRzwGM5t4LAdUU50l9bmOj8
o0/KhtMpmUFCnTAd+6soAiGN/XBpLbMob9Z1qfq2K+CDDHzYWIdR0X6MkURb5AM9NiHMuGElLVqN
sahcw6QflkVqPkSGmyFO6I6OKo+QTUQDqlWm6ks0Ews7KTvZycX8h6doMPyT8gnStHtVT0T4t7/k
q9Y4W4LdwFmtqGBfsVY8fBmv76XWbw1jWXiy8WnkOFm4qhVc+Ekt1TQeQYFQZrLOgtpVnVgrrLM+
KbNrt6y8h3/wKDiqyCgaAahAzuvwUfoUcGAQZeyREv3GXGzKp7ZBR1pXmurMHCXho+ED/ihUFMFp
pkyazsZWUsr604kHmU602Z6ZQuDJ90OniT5fXhazSZ/M50GKcps28hlqAOIZROlgS4SGYR6lARvJ
2+1QCepGyWmZSmEWO3kgaycW25GVrrDCWWzUCiYhnMNv4uNpkAgEdkucFpR7z4/MS52diq5NWsCb
8QwoddKTheLWBY3d4oQ3yZFDWWFGOC3J4YDrzGKUrEC+PywYvbdc99KtLHOlJGr5cw2+KzX/1wpZ
/xen5RM26O/T8p91rYcg/Yaw2S49r/0ff/1k6Qfpj+qgxDX9qd8lLtJzkGIASqaFitUiJ+FvMKP0
gWUI9gNg4i4FZ3J/48uUD0CegSoDeZcxYuZffle4KJmByJoA0/ieg+x6n3bTfP2AigJfJuGbjW4e
djCz1AfB59IUxgoh3jalu9QlqR4sdKtFEDy3kGeinBXJ92qkKA8hQAF/IeMMed3WcXUv1sVCROCY
TkAmuytVK4sQYIIW0kM1RNR5+mxLAa32MWCQvTtTR90d1ZLmdqizZFg2iMRswko+4YssT2nw/tHA
GyEGQM5NOoKSmzi98V4EEVgCAvRhGjkA5SrHwx3+Ws2RnwxDxcfeoEJfqKro/Fo4jYhDFl8qZaXe
NGYerWkto2Ks1C2eLNJ1GKvdeTyV3xsfcW7d01AbqYZNnZbVZm8pHSlWzMNxnhmgIZxfkE9Qc8RZ
ao90uqih5x+Bg0DUqe7Gful1yQPhY2sHCUZAtVt1J84t6ciHotOBwCXNBwWU2uySZJIsBSGi0IGQ
K99H4fCQo5SzkBpUYDJDRay51FchloU2oKlglTepdeLw2iHhZnPFnUZ/aVqEU/XqcK6MgpTJaHmE
PC1xLlN8hHxUKX3sJaWxY803LsWKfp6Pbs9aEkJhGQ3ylIfUQCH1wb/w6YsulDz6liedsAgVQTzx
kY6oSwDu5GildkXpg77Q4ROOMI6SJjX4SMpD0F42tPdKupOgwhYt6shFidxy+JHOkT2K/bmc6NtY
+Q4mFLkpVLBdzRnkteAla+INe2xMRzFSEIFfBjNE8udz3hvck8IqsG7LRj0ROEzzN/u4YB+R2qCo
QA17/uiFH6ZpAlDUqQTkr8a+RIMIoxDIzGNHQ3w85bD+qpAxKXGwfOmgEb5PyOjDb2VqrWo1lhQS
MAnDqjPjC3HIw3WGuNMyTiL3ko7Xc1OH2I4AsFua0YjWVIdkW0ULfmEiariu3fa9dsC7p4IqT4XO
xGB8nlGAXylp/vJUVtm39qj6sp3ldbnhjM2cQQAQutvL77or/78oY0/R39/flzax37enQ9j19Ivf
16I5qXBOZBww1HQgpvrs72vR+kAZlWhKQZ4WztAkC/L7WpShBLGY0YTgfGdTcmD8vhd3AjbYi04k
YIrgjPWOqvWu6La/eXREhdEVJRvkJpni7sO1PGBRCrAMPjHNW+E7LQ//KipRpb9o81Kk3YjwHNJw
6QoRQtSjR/HLyEl60Va9YQGbKFD693CmoFYkWcsAX6ebQNBRHpMoNC7UrsLMQs2r8taTWmwGEV0C
ohJmxkbyrSrepEjvvbStGJxxAbga5q8Z8L0kWLYhueslnhoXEeAYYGzB+MVUC1DWmtVVxlKsRscw
fWWjYt2l2VxgEGhQvI8TB1On0reHtqSGW7vNie75/KxhsmDGw9Yl04D6NafHjwbcJaRpgAzG2pk/
KhcoZBA1GBzWSfLLiv1dO+z/9WhUoe3IR/77/fUzHv3Jyvvrf6zKJwLT/7kfhP76C7/3m/yBLUHZ
hpOZyp85FTN/7zflA6W+afroAsHmnO7A3/vNpLcEG3vHj95p7P7Zb+YHdu0kEERPggQfdMM79tu8
2kybaYoD0LKSNX3KpQ63G3YlSB9i9OgMOMFsMIlQbV8ZxaWSBv2Ja/FVgDiNBfCZnAkqLmCPWcqk
aBhZ9aGlODjzdBujwrOJ+BepKBVHnt72aN0u0hZZqFKHEpbXlIL6eGWCSqEIoKjr+iVANW9TRyMK
iCoRkxj4jlqmWyPC2n5vTo8Ehq/OIR6WfBvDUA0I/tQGOfwwsokYeMvkOVVmPGBOgQktRntb0/Qv
M6tb9DlVyyI37/WYKpFRbER0TtdhD+QtqUzIdQK4sbyJpEWhmM9RUNwZZWDYOWiuxCjERa9hYSCb
YeGEo+BEoJNX2M0g3JDIAIPwlmuSBEXBFLchutUYr6VevvRMZCs7mCcgFjMcMuTwHHeEi5JQQwmC
70i0egseDkhU4Z5rbqYt/33DHhPHlg2ut7dOgOen/Q2/+7//3u7Kh6lmRHEfYuPPLHFvu9OhhOr4
i6Q71SN/b3fjA5uc+5WdgUs9zIA/251/QgpRxLwZXtN7WU0SR8pBbMqyxnOUNubUliZenO1BZGZ0
Y3RNGTkVS1gPkbFRCgSwzaZ7kUdcmbs7PceFDYj/twpjK3TCEBsaczBjielgDrSN01a+RAd+FQuK
eqnVX/69xI4vMWb/jSU2YXmWTVWjOt9Uh4uNH/5ebNwtVOKgCBGbwdacVLL+3C2c2iJYZ5nGsEFC
vr/YkPHQqG7sFhZ8uf3FNunBweT8JfTxvhrHPDgBeDDhUShycMWxtFnV+xWBJCC1DlNJcvLCNezB
AJDdP3m9V29SC2RvpYVOcD4oZfA57qaoCVk5WfMcnBIA/mC7ZKN/8QjONly5owHKlXSujKtrqRMX
dZMJjmlktyg0iGsl7G6ybrTrMBzsfy/IYwsSGMWbC3KHLlugReD/7/8V/0iG/TW5++2fNUnOhzcA
lyalhR1B8/ealFEcALxEu3+3WqeK3J8DcNeGn3hRU2ltOht/5xfQOicBKH6KlAHtU+098Y7CH5od
gBCS+fsUPShH0WU/XJM4pZa4ydNDkEdNttsQo7LJ/d1pw3tOwrXoyWuUX35YoXunB0mMi1lAsxZs
pNGgwIYN2p27NUvTwrTHAvotG05qKWfpgAx62NQPNa1rO0qyS+LxhSEAm8WxOrXb1m246UETYLnW
ro3eKJBT7stlqmVfBrHQ1iWUTr3Vkn8v3/rY8uW6he976kS9fGIB/zgwwvj1w9+rV/nA2cdNOwXm
u4W4f6Ii20b5ly4MWS6h4Z/VS0iuE8SLNDFpnU2l4f9cvfwTBVFSWYk/jG/Dexav9HrxEkFb9H+o
G0KGn7dK6yzz6avjNdElqJSV0mRGoRUPWkAlOH9AhT9auFl616Q4BufYT9hRjF2OIfbtKpDaM9Sb
Ec9u/ORn5eVvebe7YvV+0r4LliFwKlQIcEmYVzS7uEC8T2sV9FqRJ6urNt1opXjRxMOzX+T4wMXu
V6GmdOfH43Wel9dRaqC7H2cPA4aUZ0a8NqYwuiSelqRSXHR5twDifGl5Y7w1vBh/7gYbUmKQ6xG9
dsfoDDggUVvYZamEK8dDRdHGbY+yFqQcGwrDWoa9optYCgJbH8DSiBf00eN/l5yO7q4Jv/j3wcp/
EKdMbdaDoHj6yc9NhSjEh6khQFj7n8piP28EzuEP5MUkun9QyL8uBIHfAKmceMFsNhSx9ySTBVX5
AC+D9FgjnQY7QOL8jhT4MCQG4yyiTUWRGayRSoNnavnsRylekhm15XfyFu4vDB9kPHu7e8xAAUfL
vc9yJKkk5tq7e16PNG3vvQ4JsoFUZqDLbSNTWiDd7UHdiBcjRNOrsrgQ0Mh6e7zD+Ov1eNO/743X
S/DhYoXxauMjoKmzNnbc/pfaxd9u/mOD0MSimQakiUh0dqHmqhpqAkI3WxFF/zD+KiffSilcYxF/
4m0OD7+fbzNd21NBGXj6vFQBoSLoh9aTtym6OLiT2+Ti+N6fOMuOjGIo+qT4gHQJBZZZ3yFusbjK
Etzevb7t7mpMw+0YNxEniitl8/b0TAvrz6m5eyGGQhcFhXmRpTwbyoAhlnpxqQIdAUpoGPHo9HA/
TwhoHpkfRCTIPFHuJ7+cKrf7i6DN5Jw+qaJuU7xKHSBLd43X+csxN3M409Wp5scMVfPzrTDEgVwD
vE0l1JuNZ3pYZNBh3YL/hXAmQEq/z5BsQ0QUJ2i4I8i7xBihlsiHml0rnkeRVz41ZdJH1FqsSqMD
p7kdXRo0U+0WjvlTE3a5t5K0euKo+WF4l/X1aAeKGL74RdkFTpDK7RcvMOTmuh06axPmUaQtI8xo
T0lMzEAhP1+PCHIS+kQYjVPt8PUaBPtUb2xUzFREf1lLxZUaBZ7jC6a6gVpqY235MVGbr7lbj+dx
JUCQL03lRK911kLcPQWhNecpqRroh90k7O1sZPAKvW75yMBeJPig4gKPlsvQxL6kGsKVIBZLjQJa
aolnfjme2vLHPgJVBLYIATkubHMlHjUzRLfG9HCrRjl22l4+3KTSp6rEcVut6xh2Pi1eUyyAj4Zn
kVAqHzWj10+Uvo88BV0KCqvcBNRbXmEpawr/ROeNtoURVTzqTepuqJZ+QQs42gSy3C2HWIwum2Fs
cG2pc0x+A2mDVK5w9s59jFomVxg1SBY9TprcfPs7LMfHXukw3rjQo0FfD5bR344g6U4cTK/nnGEo
93I0ga4C2zXLphVVqpRKboQLDHQNdzzvjfy7FSGvqAC58UMf2zKJ7mZRBpfe7fvfkCSPS5JjhHL2
dLHtLbc+k6Ku9EbhwpTOS4nOhv6T0/WvXyLTu/0ZQJ1dIgPurmIEbPdClm+S4bwt7cY6E7UTR+F0
9BwcuOgMAdrBtGvqu3PwHr5GFhtSY1WWdVFDVbelQLtVhXKFmk9IucGNNmh9+ieu/Fen72zI2dqg
iV4mVWRYF8bHuPgiyfdmdF8p929Pz6s7azbIbGXggeK1baZbF574tUufNOmsi2/eHuLIexC8wceC
4MXHM2YTRNESsDxI8a0gjDgNm7YlN3bv3bRKu3p7pFe3IuWq/ZFmk9RVVIzk0fe3jYSjrmaum+CX
PcDfrrYj62CKRCmmEvfBG5md4QXs+z4pQn/b5Q3u82NxZkZetcT24SJy8+Gy8mH1vv+tuOyB2E8l
OXhfh0uvjYemLnLcmEGzoqvRfSl14/q/NsRsqdFgHIqsYIiShiPUXwyNcu1USPkqhGV20GeAkzfp
/1OsOXwPSK9NmbuNv2Wjul57blJE5jqvWQagVMzitjaVEwffsaWHLhGUQ8qZMKNmh08DJwNtRIb0
5EvKM9OqE7qbAMO4f/D9/owzX+ISgFyjxcRpq0flGjW5lv5TcqoJ9irZmL4fcaUlkfNgBjNt5b2T
lES4DLSWQaSPerrM1EUzxB+pQq2RfRRQ1337lY7O1t5os4WeRJExBtngbxNKp3KTnJNcf08Q7sjo
wk3OfWUF27ozThx6OxbD7KA9eMtZDCgNeitELuOW/iexqNeV1ThecZ6jtCDLjwj1ILOuLUj1F0HT
2El04cc/PH+TVK4dCF+78jIJvnWtip5HfelBJuiyJTotq8SK1pWirfsMWXoTPhvaFOXwD066/Rma
ZnBvhmo0g0w0O/xt3vkrPNc2fEKnR1xES57enp1jx9D+SLOF3aE90mgDa8FvbkoxvypG/7tXfvYC
X14Aj/lZCfzbQ29HHHo1KQAqqKECfoSEcvhi+BgKnTEq/ralXjSaG5xsreqrNOJ4MDRfUIy/80hI
++JRCJ1EQwvrJszThV8O9H3w3UrPw/ZGp74Oe2ZhGitPi0+s1iPXGAy3Pw84+/Ju2PgilVVO/gzm
k0iAedXgL2Cr43DqWj52yVBJRsyc1IuccrYxArHXpRz9UwTH4tJpAPguGlU9Rd47dnLtjzL74kOL
gm2t9WyD4KlqystO+FoP6nkiJye+3NHXAQICihE2AzXKw6kN40qLSI79bSTe+djctfilvL1Wj80N
Kp+/RqBmcjhCIIZjV7a8Si3Ei8gqF2Z580/iGCr9UwsUdBI9ytmsNFk9jGUw+ltXuvEGZZOJmHUq
+Ym0++irUOEFnQc3CAj54atkQZ4qee1yBLP0hfYhH792+Ync5OgY4KyoiUCv27XY9g8RWc9EPQh1
fxuml+6o2FG1DrXixMX4OgHiMgE38p+jzL6Xooy8YeEH215ORToVquxUuuefjS5gARTSLnUlf8yD
zq487YtW1cnSUzC2eHtlHDvF9h9itsh7CFC4l/OqKCILiwKzUGfoA2URDEgTm4I36YydKtIcHRMy
GpwdSg30cw6n0A1omUQNU3iWDC1acoh4jKqtyh+HT2+/3NEdvDeQfDiQ1utN2RrTkdQ2C0F50qgL
cUmN1Nf/awPNQvhwylra3vS3mXVbt/miNxs0487N/JTg49GVSf9A3OWqpIaHb8TdZikdhZRtKtx7
oYHi0r0QnAoAjn42yBHgl8BVW3MD7gat664UwgBJgxfDG7H5ubLMGIdG/8SlNoO+UgiZtgC9ZTJj
qgDUkg9fp29SwSirINi2qPMXQ43b67roLtPnyKf8kW56WwwX4IXEdIUw20I4MW1HviZoCqBMQLzw
Pddnw0ddHAZGP72odV8r9z7516mj5FjefzDGbGnghVmnvcYYuiqsiYLpEw7BMl/VQ7wZimotxN8F
85fVyt9GCyrfbRYs4OHFWSxRYqHqMDta4Ah0BKpesDXd7iaE0giHzl+8veaPfjzCYIYBxkAp63Du
XDqqQpUmwdZtNMBM92gDLku3OLFEjr7J3iizs6LRhbDugbNtfTdeNPRdLap0b7/IsSGmDh+0ef7L
3XX4Ihkg1V606mA7mpdNWq68Vj8xwpENRaJKdZ3+OAQwfbYGLFTYvTqtgm0pPgTyZddnn/wJhhOf
KCwemxKOhoniBT2BHXz4JoHiVn5caKxn/YeafBK6+zo+FeYdSUpotvwZY7ZnsoruBxSPYKv6Y3Pu
RWj2N5marynpnye58TlED+lGNIubLkSk+O2ZOvV+s+9Yj2IhYNURbOHSWO1DqH2prZe3h5CmvzHf
OvvvN1sNoxng1VVBiBOgoulrbYONzNguXC9cKAArioUhrVX09Em9DAAGb49+bKHsDz59gP3sRVa6
xu+UYBs1MZ5ry0L7HCSY0EXf/sE4hM+oYmBrNoFQD8ZR88aMRF8jiHrUe/Q5l2pxJ4qf/sEgNHqw
HyPCADJ6OEjWI4qrTpeiYmzUaI0pt4FSzz/5YnuDzL6YnkoCiFeDC3GwuqVWBZ/0ErP3CuVSO+jV
UzzroxOEOgpwFrIwacLA7E8Q/WkhKWQOVmPy5PZyR6/P4yJ1EKM/8WJHgiQ6BBakcVryFJ1mxytS
iEVTGtwbpeQviKjlsLP1AJ/kHvfN5hSj6NgZuD/a7OSQBtctmpDRxtIxPif46JXxDdIQNJj86qIJ
JyHg+y7j+DWWXuQthkG1314tR88VumjihMCQYfEdftm0R1FRMjgje496AZx93W6GDulssVWdUrLc
RVxgMFIOUbfO3Lw6sViPHi17w8+OFquQpRqvHLa99X9I+9LeuHWk618kQPvyVerd7U7sxM7yRXAS
RxJFidq3X/8eep657mbzbeJ6gAFmMAFcTapYLFadOmcOe1CtxtqTsgz7ls+IwQU8NLxdDcYSaO9e
LnIpUl/D9C8P0NBQ1D7VA3j6pntSfM9wvQXNN+/JYHtkRSv00xSPGn6mr2wbQLdw7iJoGQuu2+su
imJpnx2fZ9aGacZCOqQRy++8ydpY3gfeaWAZezfHT9JZKGMEvOq0gTl9oqHjPdDmdSHPt31G9tHO
bQiPl8TWJs+cYKMaDoy9ZP3D7Ch2TXYMz00IkdLXQLpfD9wExrPuS3Ndazt/fm0NhftL80QQPuHr
YEQVg43CfsWxMVj+DP9vU2iDZ1nIkscEpIKk1/70aXXUSzDilsO+y/PT7V2UmwZXPbyCZ0Gi6Wqk
4JHiV3pRJdbeXQrQmI09tLaMyt96Oh3CJK4b6FTGIKQFS9LWLYpEsc/SexfvGnQCMRoBvKCw0UQD
7y6oHrB+84G5M9vkfb1aButPkTX34JE5Wtqy52VDq9LXVNsO4z4rdUWLSepQZz9CqMToXdMkmT1l
x9q4D5om1NsHZbNMeg4xtgpIJH/5iIVq32nButgxJFCNkUeYYXL3jgsBu54uzh68C3YI8u473alU
GvVSVwbXFgDuaKFB9fHyRLqjXbCBwnBXUf1gDPaWGMYS+aU7rCBfC3r2epr3Ct/icfMq6nDNDx0A
UK5IfGm0r+aB0L5GWHe0+75+yoedaa1Z120MaAagHtn7z3FurzODrlFVWg8/bv8A2cX2prOGphfS
+7dB1bMwNHZ+3LsDf6WQ+N7D7DLaU4qjK3UaLuX2fyYEp/FBqO02I54oOnteqhoTrfeWWyvSAanX
vBsRy15NmmIAIYURrajA2Hwk+ZcJILyizR6G7Delv29vmyzPgXNCbQHcKpxD6PKzLRDsa+agwpqK
wzJDt5EeUG2GuuJtM1KXBO8apqGBL0JP79LMYCyYdXHhkpM/h4BxRZ7zkzrlysjU5066JA5rxhwT
rxsKnmhQ0sx0gi0y+eBrBQ8s+1uZM8Z0VKFM6hAensQmPhhCunDQAlC2dlWLUM4oaGbiP+m8McHc
4twtNI72gV9FaLZlkCbDDGSMDMsth804/7m9taofwf/9zPHLzsNlYuDgEfKSNlnUQZQ6+3XbhtQp
USXiRQAA8N4Ar2c2Cr9KdUA4smOA9Mzxdxj/j9L6c5JuPFB4Lwpr8hW9WxOcJYnzxamhtneEXlvd
NKuiNSBv8HB7SdJ4cbYkMaUobZpnFN8OlOyRG/9Mqg+d5DMLwkXnWYA3sRabVvZR5z4mRbxOocUA
/ucoeG6WRBGdBNTxW40NkkTv2yaEp37ySDPFA2psJI7M6VOe12Cn+MSyPW8F9dmhmlgOgdFH4hRb
x+pXENoME3hkroL8KPZWDCq5a4wkK7DyFKKsxHuI4zy8/fWkLgI+BMBsALBCXerS6cGADjE9OiNK
Zv3ftveW/eI638vJYoqcSRpMzgwJp6sea2eiLjZ1yl8MsEtRsNamBThrh1axJJUlweuNuLGBkYOl
cnF2tckOaN0A5rAqVcyf0q9ztiTB8/2y7CurGxEwFuDMM/c15zJU/9v3EXx/tosRQlawsXhPRWqB
T/+XkRfr/82I4PDACHtWCorNo4+Pksd/gThQJnHyr8KpUmzkFZiSunQ0ndhtYU9wtMKg27FcIDTz
d9anY5cpHE3u0e+GhM9vJSXUdxPsmFe7d4X16s/+Gtwziu8ivYfBMmsDOgti6bfk/CyQV93osdlE
8j0ljgcUF7iygPwG+YvhrBuaGXd+YqjY9+Qre7cpnFVGa8BHHdjshxcdMpnwuEoptyu9obheE1BP
SDHEgFDpSYqX/YJXBfubg1LfHXZ29jroGFLeTKW+//eeB/3FN+i7C6ovwSvKjvQkmALU+tNS30Ls
xF5VMRm3bc5U9ByCnOJ/wjq6J3y2FF1XAPQvPbCFWHxvAxMJSNKya0F16ePSyimUfdmWVdug2/BH
JAgb1/kwr7zlwfH6L11vH1q9i3JNz8Olm7e31y87FeAixaQXUh9wKwrH2/SHJWAQlTlm2bRCKmeU
f6H9Ek79+rYdWahygPF+G6cBnlE4FCOZq27yKTnS5HFO/qIJdvvvy7zm/O8LoZCkMSpPWkGOrASy
xw0tIw/z5Fs1Q10GFyRIkm7bk77Age0GPBOaYugUCAbBkmnXS8cXFIz1pqlze7PkrhWSCeQW0KkF
5TMNkqh28yCskqn4PgfA6N7+EbLzyPFtgIah7AjO6UuHsiDpwRwXizaSZzPRI7TCNPf5tg3Zh4OY
KNg2AsdCmOH/fhZn8nLpu8Vk5FjS4qnFaz8EPKz6QDBDSAYjA+c8Abb40kid1fPM5pIc67a0o15P
h0gHGmg1VNXvthpwWQfgFLm9MJnHoCXrcvFHTMOIDTfUhZtZZzM5zvp90j4NDoVWyw8jhgp8cT8H
TLFE/i3EV7XHkduYYwPDgTi1kdEAPYq0J0efeM8QLzL7H8TcTeUum+LPRvUZ70+Fd0gtgtEYLGGA
kOKpdrmpzNIzqlGXHId2jZyH+SXeLXMXMTtBydQLk3r6Xjv+5va2CgPvPMqBoB2TD5g4QC8TTa1L
s61TFVUK3aKj8dvb2NDOLO4MGvW/4ldUaCYjCqZjPW/tMcIkwpAfFreNUsBbEmU5/tpz8UPwpgs4
Nybq/0JoGwEmpFVSp8dgPvb6yigVDiQpDcMAxmNAmwUVcECcL1cK/bbawgQEQEAjnhxdtlp2WhN/
ducaSOqncXqdISEygkHC0uLT3LsKj7p2YJhHZxKsZmgfgl/g0nxdeSAGW9r0iLsmTPImHNGRH4wm
6tad/QN9RYW964wDI2DIIwKMmqAc7QjLpR6oy8q+SI+110Jm7WdbTdEw/qbuJi2I4lqS2eJj7Jij
B6kDsAaXa6MVVAAh2oBG1FCtzeLL8hV6Z4BCQ+HnX9cPobABElzkLdhGIJQvLQU9dNXA84n3h/03
B2FXQA9GrtKYvT6KYPtG9ARgAmRhiNWXRgpoSmVLgVJQl6E9UjzVE4mCl9l90cpX81swKl7EEs+A
OQy/cqw17ytfmmsKc3LaGT0LNlJ0RbSVFX+z442Z730WIKH6ozjyJv7eZWzjy3u3x//97I7QgEjJ
SigcHA2XbqrYiIbK2dPU2/rG8GwBN5xMf5fup7anWReqKhqSMvSldWFzm9SHuOSMsomWajsPgj1s
iTexVx3a7EDAxRb0zrqt/F08dhtTZ6tqcCK8ARSnQ5IQ4GfwBhFmlXQbX/lyEzCgA6UTXllxg2lv
dmZk6z9n8jzTbNvSNrKsH3OfhIOlujuvkwAcSowoozLN28Li+Fdc6Aa45CnCnJuHfjCEaOGgz61y
YUlRAjB6Tt2MgQTUF0UfRi01c2YKtPsy/9G3qb6q0jnKwTec2gZ0E8MnZ+9ul2FXaiFrFc1OSThA
mEXx3QOGGw4thHIeIOo5yVC18n4bE5QTydemAWXAZ0J+K3yZRxbBly9MCTmV70HbVRthqh5fCIi/
nVMG/mQ3eYRYge0eYn/D2DeFTcn5ObcpVlnsxTMqNFNwXnPw0p9SZ5exOxJvp19d85g6doj/2AEq
aFuFYdli0UJC1QVFTzyyhX1N4gbbPeHopPRoD696/ZK/troVJXkf+d1X2082haZ67POIKu4whHSQ
dPEJSU5fdxEtYmY0/TzhfQw2Bl7YjX2u/LpEZqkIgxKsGnCQZ5aE3NXP28VMeB2tWPoIU4xa+62E
JCCeXKCob4yIaTSa9bu0Sj+bZrFNg8d4nv41wAe/geOUMImCc/oWNs5i49TGC9H5agdNM8CoOVZh
7AEg4lpEpSMiPaJ4kyADA7wCHiXs7By3S1oYc4ZRWhZBA2BHq0/gp3a8XW1Dg8b2nw0b07UQY/Ds
AhwBQ2jS/JiSZd2Y8dNt35JceVj3+28R9t41B2L1DH25EiXDCoxHcfCSe00IqaZw6YuQpCASVd0F
slh4blRIiQKMZfHnPGKwkT8FECkdS2/jj68fWBoouTGXBRgdXi2XDtxWroMhkgDHdTF2jb+1oOPd
dS4o0ppX4q+gTBeRXt/dNirJZvE0QnsHk19INcWOLyuH3tVTA7UXijEJrjscFZbVK24x2dk8tyJc
YibTEr8G4dkRApTbLjV3ff1gjSg8qHAAUkMGAjcmk9E95wyA5ylDMTlDH/ca3AOFtDXgfNWWOd5f
GwdwY0AaXJHlSXcPyTJYqDEDhHrPpblucfyxZjamqGYgZJaHmalExqQL4sOOSI/BYy8WkvK+BZJS
QwwvavBiOveGztZaclBWF2V5BpSC3g0JO9fPWrlM3JCROkevSNc1eF7JNOzRJYCc8uBCV3fa6AH5
jbLDj9tOqFqk4B6T5SRNx+9hd9mRZVPTz1yr14A04m070s+FdxVKUmjSgh3m8nP5FWYFYweTM8in
IgzrWMWyvm1BkiJjtgKTiPzx5OJRc2nBos1IMSqCyQezXKFJGiNTdo3vtAP9M9rN3qS4amWRCbMc
IJoDhh7mhMhk0TrH/43JAdKtZxeQWLAqKjZNZUJwjBkEiARjnNlx7h7JMK1aMNaYs2oUXeoCZwsR
Po3llLoJ9S3MVf5lWILnPWCcY6lebn8e/lfEHOF8u4TEpEKyC8YBrGUymzCn9bqe7vLpNJE+qojC
FVQrElwBOuJoCANWfuyr9h4i5geWvk71N5M0j7cXJTUEHhVUWYEZ0kXofJ9rg9HpOD01dBXt+hmy
4PetvpqSJrptSOoJZ4aECwowrsZJ+HOzNSrk5gZ/AQbOz7isHcWtJP1OmE8FDAo8RFfdu6aojKDM
8Z3ACxDN1gGqu+RrR9BWs1n69/aqpEf2zJZwhAwAR6eFABfi2e3yaSxjfVvM/qfOM16b1su2ZTH/
cvWFKU6u9KuB9QbM6EhYMXJwGSmM1izstAcIwdM7tvYSzIqwMv5S2g5G/1MyKU6xNPRx0jVQT3LM
j7DKFvRMdg2VzSP1UGt1WI7LHiN8Cp+XeQgq1z7equB+w/+4XNTSxJVXVfQ/UD+c4c56UEdxlRHh
YGW5Xww+R9nkxqFzGszAQlhUxQ8i2y8+OIFKH0o4SIwuVxJXNbD5AWodrWfVX4yhBkM0hG4UD1BJ
7waKgGdmhM9Ckt7u5nLCrRsEbFeS2gLWjv6kDSk2lAYEqGJjXiXN0kOfpHfXsZnrqyHW0lUJ/u/1
sIAYa6SuBd7rLEDyuyQHUMcoR1d4HiPGzfOfKTjrlEDK4A0EBKkc5o5ADXTrKQFRheXsfPvQx3dW
ALUneuyUNS751+aiWSARx4iYsEMQHqNBkKGj1a4xaO3Pm/Lp9vmXxRpU6v4xIKzNckBkky2oMiHh
uQPE0F83drn2nKFAeSf9ZC+Z4uRLUy2en4JNH9yeyEYufWuc0bJLZmTDTlUF66rXGGQ9dBZq5Ziv
c7MBL3mfgCnYx6Ou6lj1o3GYqsos3VZEAmR8UL5BVLj8DZSMbp/GJm4n4ydmJwPShGn+6/bOyiIr
54iE+CEXPHOEM1QmYAIx4xxNQG+lm4faalcaXv7lTyAWklbRHn+rPl756Jk1YVeNgLl6aSH2ZKYO
XU/IfM3IlOcHNIHWQ1dttOZnYc1Iyvq1b7b720uVhgsIAYNskHMb+MJSQa9bpaWNmFQO28aPpo+E
b3yrf/6+sLh4mHE2NPz9KS7AqM/CJVMlxzxsXu3fmQnBI7Rp0WZvxA1h1+MmN6FLaty1c78j+ldm
PUNfXZm8Sk/emUX+72c1jM4ZiWZBJvRI7N900vwwSHMwD4I+ak5fibG5/YmkHn9mTbibCl0z/XGB
NxKAl5e6+cQvjT5pPlCYwZ0OPQYDVRkcrctFxYY/6ORteiF/qckvQg4fmQjBrYGiMHR5MSEBPo1L
G7gY8r6ZEbKWdIUW3Fewi9ft10nFOiE9UngpARDOy8BIHC7t9IBR0FRHoYuS/g6klREpvi4uALud
G1LPDn1rBJ1CihJF1m9nLij/7z8ZCnno3oIBGf0/4ZMZbm1nbMRr3jH/UiCd0ETpYfq2EUmUwl/H
p0LWgr6aGI0tq4CiMYORBjSUltWGELyjBKTuICZmKQvHUhErJAeNEzoHeM6DuBm1l8tdBWwEDMoG
utKAwEUkJp9sHTeqCRrBOXh2nOzQ64fOU7Vt+fEVjjeQrpjK5zIBoKoTIlSjuU3duzU5NgFqd66r
fW2z/L7T6nhV6h79918OwQqQdgBCwVsi0pND532i9pS/4TIoWpSVcT/6ijqsJHxc2DCFfYQ6j5/E
hBw7NChnOz7k0B1Ip/uxf24yf/UBL+F9CrCloRkidinjEamilQzkaC9vffyiC2vHTjdmrNMN08cX
rU6gMTK5r7ftSqIW8LTvdoXP1tk+XXytIkcNcqvJve6/tCpCEZkJLMtFKEHh4uolwvDG0gM6kmMw
+vdJ3N2hYj5MCig0/52i+4EgFAMHaKpgYk5YR+sOvR4kMOKZQOm8Msgo3d4omX9juAADrwHHj4tx
dzJaBwOSHjnyLBEUDdnGBQKzjB9vm5E53bkZ4ZZsrTLGww3oh4yCvoZuTH9v7jIoQ9nk+21Lsrh0
bkm4HVF2q61mxoK8eaMNTRlSXf8+OTWafUZY+mtq/fuRRhvsbe9bKASm0kYXAfIF5GgFL45370Iu
p05DDNr8bwvj8fHs2g+8uWuRLZIjdAnsEcxJGmTuUOzJn/O6CaEgp4i3Uv9+X5bYKiGD5XRebMG/
F3RpvbiNWs7x2Bd/b69Ldl1i/9BIxOASynEiEG/JnSAvtRjImBIILa/4AfWGvT42J8K63/WwGfTX
5tVJURJcmK4idpG6C5ANXCUR/RFRQKiJhyZuLQ1INR8gv7YqV65RYgyf0LDyMKy2gMPp9+0Fq0xa
lx8SRFvxMhYwORrGJ9ojFylBzkjA5NG2e5tW6zRhH4j5HL/x31UKYQR8nWU1mHl+zF0SVambbJoC
kr9sNLSwSSnU3odcYVLqPsjm+EMdXDZiX7FaQBjbcBCxSdc92uwE5cnWVTQSpEYwg82HozDjK3Kj
TVpbYVAFbRi7fwFmM+2flG1L6dfCs5MPJ4EwSdSIp1VKQIqLF182mlE+Y7hM/xVXeHUC1mjuzFgR
j+Wn4cyecMxzjaVlWcNelZGHpB7DpTr4y72RbQazXeuxGRbWPqc/KtX7WrqX74bFsTqIkesgcrBQ
sDb2pY0ZRddfo/n/+bbzy60AWsivTJw3IVj6XRG32eQCe4N6uMcODW1APbW9bUR2a4KqUeeTSrg6
xcF50Pd5WVfACHGMY97Qu8GOX26bkK2DA+pQbAXtCRi0Lw+xa6Yjqi4wkQMjP5cvdvAEVr4P2ACB
EmYK8IuvmtUlVI56J8uQ8XYHDZN+xdyEBNX321ZkGQDwxv9YMS5X4icDuGrcBHG+eSitZT1Bpt4o
Do7mKC4UQdPyDYvIkc3/WBIyT3eiMdjGO1yUadLsNeoU4QQg2a7r02ndZFWzSqzOe9A1MCrWduF+
JiZ9aMfxB/ju01BLlmnLjCQLK9tnq3TO6lBf+gVa2TpolRv/m+8mGLNnmKxvrSTY1yTDfF9G0603
dT30mW0b1J14CA1Jq2JZkboD8lsOk0e/X8SMxJUFKhrUn48LIZFHuzUy98xTXVZv6CExHcSjLsD7
lesRikRnVrzgPZYA5uzQDeDOh8CaI98u+ByIu55N8mTSL6bNUc9AeTUPqUueDVJHg/vZKn/1JF0t
I9u34wm8yIX/AFD9RjefEs2MnHLd0ZMGnrMQTr257WGycq3Fk1iQFKNVjpzi0sUKwjXVUmTjbnVH
xuIhG4DuXdjeSQmkcJfjTNL7rgBGvKzTIBxS0Cizflu3bci8bGV61mHOzHVczyqZVelnO/thwinO
LZdUrQPItttP0N6twuzQ2vHu9vJVRvi/nyduXPONWsBstzSLtOd6ei19RfVEGvAwmQy0NqcrEgcm
63qu4S8NcsPpkQQk0nVFuJMGiTMDwhrStm5nLYOBka5AfQr3Ms0vefJ8e6dkrwTzzAr/FWc7xcjA
ypbgsT35+3I4jNMBnA70RDqFQ8ru9HM7whuhMfwAzoRAZDonT1tBDDcBIWijBegb/IEH3l6VrHAN
PDCIAQA7wgEQv06/+JA9qOFlSIUsc4lGD/OzkHdi2iOUoklj3OGRP2iqBwPPFK6CxZlZ4ZuxWDPY
MqJg0qRrHzSWNhLasFqmyEi9sLWCyJ2MsDeg8nx7vdKveGZX+IrZmPkUwooI8/EnHcgnLMzAQJwT
rBtk1B+whQlrPsTDyRmFy2tuMWkyO/iSg3egXR6HuYGpfDrs2jhDwVdF/8u37GpLz8wJNxjxnGyw
ITd+DJIX9JVANPDECsWtL80AMQgBakNgO6H1IGSAQVPYDpswm2DGkxsZVXpY/MhYXmJMXBdgcUm6
bVVokEXflg15+sh+/mNbvMfKpS6GaYTtkX6O53bX2W0EJFBY+a8BpHRuG5Pv5rsx4eOlg9awysPM
h4ZXEJ4llG17wGYfynwpPoDLhUYHuJS4gBA6rcIVZBspa9iIQtRd5dSRWYFxWJ8UvRSp45/ZEG6T
pQe7YDEaCPR6H3adH83Fi9uQFRTcQrT7PrB5Z8b45p7FShyHmYFImxwLr/pmaNk6drw/UIla3TYj
D16YfganClgGdFFzye3rpEsbjKRVVhPODv1Uxc5dVRwGxvZavpyq8lAFUfFLYZZ/+6uTBl1YaOch
YwSc4XJ5U6+XXrHAbA29I0a8qKiewLHVDV+niobWwEILLcDtUqswd9KrFF0CFJjxrsQ42aVhqDq6
ECpDJmcahRd52TTtx1hvt7fXp7IiLC82MOfcmNwK+GojzavmVZwjfN22Ij1gQIJwmlRoF4idRKA+
ewr5ddTCwFnbrwNONr0oevE8ml99qDMbgh/aNaYbigmPFIukJq/NO9FCdVxycxpNmEn6H5ckXC4d
6myu22JJVnzwxxdjleeVIizJVwQiLXSaUd3lumrnJyvvJye1ZpjQIWdi/XVAVNZ9JWXxARfghXjg
6dDTflMbPzczQ088G0fcJbRbAFXYz6m9/vef/9yC4GRmQqzcNFu8FrzfrAXiIf5U18rsRubKQIwC
RcXlWRFdL7dLyyaNaiOu+6Y9YBJ5SlY+yVdo7a5svMbmaKL3RrHT9GZTJo9FeSrjRuETsriLETc0
h0BDCqIc/gvPQuGcLwNUXvDBbDg4GOzBP9bb6951VmXmrhYnf/rAvp7ZE12eBl3QFbCnFf4es+uR
1Vf3GpsV7wbZKA1G9ywbU8rgHELP63JddQL1umLCw6EfqlXj3QfjHFb1AUU1MAEOIFJM/bDA+80q
V9oEevKv0FT+yErff4EQDDOiV0M54xf45XPfOJulCCKfqDh5pR50tk7BT1me5ZPXwYrrbEAc5+uK
e5l/DzFEne+jcPdb1dIAZsD3sTlh+h935KiVCh+UrwGYNNBmOChyCD44mIPm5B2euH5s/UoT14/S
ylg+9DnejQiOR8DKUMZ8MBcFoaw2D77zu4tLhdvJd+vdiBBhc6ctrXHhOW5W7eLEX1WTsVMizqVW
3lBioGcEHwJ/op2dWX+oCfN15H7MrcH60YNCrx1AbrloWrG57cTS8IChei7cAfi6LxyjymDVnBCY
Sg137X2HKG84sZ0zJmv7Q3sHwBWcmcvziZS+NGUOyloL71HrkCz/yWHnbaEoesvuJ47q+q8R4VBa
dufg8kLmF5iZGxrLCLW5cfY2ll2U4AazVIhc6f45XKYQ5Rs+IXD5qTLPbyAHpsO1XQ0qr7QjESZo
0o1m5A3UX220TLLx/4Rb/78EzLLBZQuT0v9YFa4VOy2qpYO65XFpm4PZLpFr6NvZALUVK9fLEOy9
eViZL/YQQDk++IPpkJPnJEeXfF5ycrC0B45W4owyt51J6reYgUW/AfhTQ6xfAwpQm0vgI+1G9S33
to2dRD46pv+bFWHxDm3b2akD3Gg63nrolAZP7qyqkkv9CDiDN21KjMEKRsak1AtkuvmRmdA2Zy+x
Duq1YI6WQeGw8j37ryGIll06UMwwJDRrGnmrleeDfdC9LoTI4Eei4z/rASzl0gwekTppB6ynCqaV
mQQ7185XVEkxzN396jY5MyPcVnZLNA58ATtCbG7QkP2MsfmAZFHf3fOBQcx8fOD6Aq0k+B7AVoBR
VuH6KuKc6FqO857qp+nRKLCmD7jbuQXh8qrGMa0XHWErHb+ky+s83PeZqnYtcwJMj3DBPIzjoN17
+XVMVuU+yK6RjJZklzJ7hzlr4qQKH5B9HGAzMf2MxJ2TO1xa0TSvTfqc5McM+rfgoV7nQACgm2FA
hFqrl5AQxceRBUeHq1jyWVwP0smXBi1M+1pL3OWY/+mzsOzn+E+yZF7k14MfVQGkBczY+EhEBq4L
eiR8HAdc5ZdG44kG/jAW+dG2v1flBpfpVnt20ihrqu3tQCTdzzNLgmc4Y9lMZdLkx3gYN3wGNY03
jT+AvgIxL6jHZKdbKm+U28TzC5NoGNAXSXCGejSZtYz5sa+BmUZjlm2rzqL7JcihSZVP+hqP93WW
E1dRRZfWOkBb849lISLOLJ6qEvSix7mZMeJrJEAUz/d9b0BaMAI6LA1NKDk15BeQ3YpHp+x4IDnh
NUwQQ2Fw/fKTlhSjsSZzcqgc5N+mcp739px/z2Y3UQRj6SIxd8dVtCFJDCzkpaW5Tn1GM2Sq1lit
WYyUO42GnG2cX63l3g3VczEGq9b/c9uRZOfkzKpIIWHOsT8UNlJXZtyn3V1ZaUAaf5mSA4Caiq2U
3WvnpoR7oBhNkGHyLkIByEgLSFvd3LdZgqbg0+01vYmdilfBuSXhKtCwJj3n6KyGhWVG13UGgNFU
vALglseoUHnDJtdpaM/oQ8bj977YkunAxpeFDadRdVT5Ubz6McDRgPYA/CqAPVx+195LCi9lKN26
TbWCvtVUVJvb65X5KJRG/rEgbGyG1hjIZGABnKOrPvfW2Fjlw0Dun5gDRJsQuebVEJMee8gpswk5
dOpsKSbSmY5hIuSccbwalyFk1mSGXd/faVQ1si110jPTwiH0GyNj8YKXQkM3BuJ3MoVB0YA8votG
V0nNwz/I9Qd7X6hwV/le4SCVR16dBk/Ar0Zukm26Nod2oalvW3s7TiC0DPRPHdEU973UVTBsic6p
BQWZK4BwTDwzcTi0K3nx479JojgY0hN49veFEFNlUKXJGyDioH9TNc0nr9w6KVuDHVqxELkhLmUJ
tCc678JFSOY8mOiMirttsvVEFwjWGdul3GjA49/2falrIAMDYxRnixPxHo5NkFly9F1X6BFv5EJ9
e521/rq2nFWjGgGRnrQza4Ijplabo0GJDdSC+9gH8gNc+u7P2yu64icAiTV4UbBraIr4eK4K/hf4
mZUYfu2ftHrndtlOq9du/EjnRwwRZ8EWuiQl+RtbUQOGj1e7j+ZcEaivClziL+CbflYEqJGgUWtu
/FNKfzJv07b9fsiMUHM2nhMO48PinPrltaJ5WLD9pGKGfFO5Oz+AMI/BTzwUwNrEp/iFXfZ7Omhs
6PyTmZmh1Zibvli+YFISUIgvxPpkxvdmsk7I767461hfybiffy9JGzp01ZIfeobSZhUaVhs26DPW
I1J/80/3owCt9FrxpUQ3f/uhKAGisBSgGeII56lHC3VI6tY/xcF3NOPAeLsagJ31y+bemQsgQPIw
IHdFF6WfraCMqng3Q+ihG0EDrUh3xcjx9kvw+sWsNgYVr8gWhsQosgo6y6dxWUKvPFAl+wq/RK4+
CuI+JoKQ2V5JE6aJxSq3dfxTB+lbbxXstO7BcO5JG+X1Q+XaYd3eZY2iiSGet/8s692o4Ihjn7V1
XNr+KSi/OsGv0Y0h6bpRfEUejK5WhgTPQg8SDxSb7+2Zt8NLhspnmn9KdFKv3CJYQruw643bsKey
i70IvAtkMyEpxhz3RHZ+2zT3Oun9B9fTUOipAhVqSQxqb8uG/3M9W882xMpOa9YlyLDwNTvt3qi3
8WfNuaPgS1CxlIsZPbeDejkI+1GkQX4tbG/b1cQGJaN/yos2BBBoZeZ3fbsDDUmyJGE6fr2907Kv
eW6O/5yzjZ4NBu6VxvJPfnbfmS9Vdu9kqvF+1ZKEIxloEBpYZiwJM/AdKIn8amM04BGs196RDKvb
C5Kdf5DzoAsAvCGmkQXP8c2O5r3NglMxaEA4fLX4aIj2HTpzqojMM1bRR88tCSHRHivMOJdlcGrN
6ht1HrOZhmVjb9t4443tHfjKvPql7UMoooKX9PYqr9LpNzdx+Kg1QOCAgwv5pcEsCOVmdXAyt/ay
zfPP1Hss4z6yzE+5Ad7Oeu/0j11wqKyvWgLJ8icrz8N+d/tXyPaaBzi85oGlQtf70nns2bay1mmD
0zDmUdcn0eKUUPvE88FXdPBlp88Fms/h6QveYYKlkplZR0C4feKkFyhdzgVQA2QP6n5/fL69KNmJ
eDd1VZcuSUemYEjiU6EfgIwJgYT0Wl/1/a7PBOKaibo3ZqVcaOYJx5zFGZk1AufJ6BdI5pU0cvrv
RotR8wwyxnvqh0a2H4ufngbWpXodxLu43zLsMojiFOna9VeEEguKtDr+CxeJCLmiIzCYg4sTQyv9
BzO4qC/YeTRv3FCrVYmbXz1ZcCMjhKJAh5QakHeR9E2vjayDYja+pOFEHUBWzXbxdo4Hx8mqaAbK
MrRVTbPrTwqbeDzob/Nwpii9OOYYW5s6Ep+6rg6TbtObaTR+uu028oWdGRHy67YzZz3z0/jU0r+E
PAabsgzn7eLum+W3ZumrEu+x2yYlPgSJCV76AWbhmj8PbC2zHkMM7ZRaj8SMf7DMPTWJvR3SP7Q8
tpoi4Ml2kX81CE1g/hhdm8vTPthVCjwiCU46PUB99wCu0JookgvpLp4bEYJqa3mL31hpcLKdfm1Y
ULXYtV4QgpVwW5KHKfjmxn9mrVKc+SscGfdKE/eFy8mIUZ4UPh7GE/0WKNvgNJYnZpJDHNQra8jC
Zt/3LGy8zZhi6jrJgE9SXMCSp8WlaWFbA6C8A19rglOTs3DKnx7wZDd20yrtw5hsy5X/J+ho6A8b
D7RMjsr6dQrJrWO+1wHgGNm9EIc8O0Nqn/L9Nso+LMdX0m/ae8vclQtusyUy9MjCm7eFZu5t57Wu
r88AeRSIQmyM7uOm5v9+lnm4TtU14N4MTl0WPn5NIyNk0W8vwqTvSovQ3AyHnbZOwp+gu4+mKIu2
zeNqvgtWY1hG8y7KVTUG2Wk6/z2CC5C6sIaE/x73yRkBiUgiE+wXY4Gnyg+bKW5OU7p6FKWhEoSJ
OOS5l6tPsrZnrt/hMPnjOs7wIMqcba1/H+Ng0zRp5Deb2EawMvyoiQFSn8PJuvemBc87p43mbKX3
fwAT8agGiD4QK1sv+3z7A3G/u0xv8H1wFPGQ4jLhIs8ZWqp54qZLcAINyOdUS5MQelWPt21cX+uw
gXoEhjYwzn7FacAM2rXjjMsgoHrY1hoW+tiyIazxtlVVja+6pPyMY/oJeANU/HwQ9F5uOVSBmJ8k
Dg5aC5VtDO40uGk7FM1Z2JplSPoqtLRPOsQjtSnUzCnyXZDbLw/plK9b3wMJ4dcE6kS3d0By+aK2
DDY+dEUwgy6S4/0/zq5sR1Jd2X6RJUYDr0DOlZk1dnfVC+oRg5kx49ffReneczKd3ETd0u6XXVIG
tsN2OGLFWkZSMWCbAlyH+pqah6ANPFXbRbVY2G5LdqR93mhVPZYKAijSGMjwZluHaXsDT7elIs+S
oWmbXWzrqGKmGgMefhr6lem4AuSUzEsXrolZ37yYNSkcjNQ8LRzgmU+05d9txiO3F/Xb/ZWZvYou
lkZOwxt4svCxwEighRd0nmNsQvjN208r9sPmESCC+/a06YC52XD2hLmFR0xNetczZ1qxkqhDGpy4
S14Uz3HZK2qzXu2+7npXuIZrbcCJ4D5Y+1N7evl13/rcTkQzBHYjBXoKZM/XxtFJb4SlCeMWBI8y
xH6o0OnZV6XWXPa3Ne5pI17akk5aUYPXq00zhGPdxjI+yvSpNBcqN3OHOcK9ifQKBxiKN9fDieog
CYA7C06sf7E0aL8Bvd8fAn2n6nu6tHKTt8kLZwLti8ZmJMmADrg2RstMZcVYgyk9VR4QnKCpyfJB
6fybRmiPtbUHrftZLQl/LRiVkToiElFBhyI4NQOqtiXbUudQKXj5OZkrRpS9B8vxmMaWgs5Zu9Bo
A9we1WmwHF4PFrpYRc6rKjhBo3IvCmxwdxy8QPXrvbn0vpyLOAFr+Y8t6ZKcOnHTWMHEhtmfgr/a
xq+SLJwks7v80sZ0nl2cV2ixDIkRYzwmrd10r+2qlaG7/fAR8yPoZfNwqS/ihnz/0/0vRiUdxTr6
9pxcg0Ua9OdWHA1wtytogYc2a5g/F8gpKwfIVz30XboG7nkh8phJJGP3AbANfBKE2CHmcj3gPKXF
OKQwb8fx1MG2GtIfhfpdD5+c4gXoU0forqK7Cd/zQfezf7jxL6x/LsfFdI9jnAxdIYJTB3xUCciX
2Vtbq/PTI97JC3fe3C0BqgH8pwN2gKa665HGINniaohnX8L82PLZ5v6RObsToPNjThIj0FORiogD
DgKzMXGMRYjmPEvUfh+Zlpe3waZtV/03gX4eU10wOpP4wfJNP/0pDIGo6XpQdVdC0y9V4T0RBDHS
DbK8nGz70U8AjjfKb8JeF0A3hB8grKdrMDWX5dcG0gr3x35DUP3pxBefITmxouQWh8YvLqtGBz7J
bejLWKzC1bA2N71f5h5quqpGkIH2e7LgQ3OHOzqYKJIVhj1FctIU2BFYoiMc7kMMLtJ3EIO5Ojh1
0B0NpdwcnbILY527mEFUCAqzKRYGsc21vZhZWdwBTXoyFer1NH1rjR2oco2Aenn2IMAfCXo39Lrz
VYFajGLssuYfrjO88REiom9/oiq6/oKsGABrGnHYU1Px1HjtFJuCHoLS17QHe4mKb+7UvTQm3Z02
OiE6U52MjW9dh97YowjZ0pxq+GL5zrw0Mv394hwA5cwQpgRHO8KNAPqKXPtI9OZUqV8j6NioAMuk
rFDcphvX4JnI+mRpH80tKpwH84n2HwBepWMwaPQ6YakVnGLkLhPDG8PSN/G8ysGIF6QH0a6b5Idd
HLPI2YKpzCJf7nvV3OlxYV++v2PkIVQrocGJVKukxmOzT55LcLqvC7N9UfD4j5Zg17N71jZsbB2w
PDt4dl7P+aDEMWk1B/umo5uUn0zt51h9rYKDkiebALo2eWv5PPFU8aMM4xXEn4/UWcxcT1bklUeM
i9ABogjIAEgHmCYUUSh9SnBs9itneGHNzgbabLCh/CwKL+9b16rR1K7HpzxXX+7P+mdDoGQdNQGA
UUEfqoNQW7oTwM9W1jjTyQn0Ot/Hdb8GOwXSLViA0nNOfGPvohV0A7RunXnldundMhdtgK8N7EHo
lwKYQJOWgDVdXXHNIJPb04T7LFqnxnO74meHuy24Nxce8f+PQQM3INIsEL+RzsoejP0JTzRyqi3F
EyVZqa0LnFaL4pIdbKzij+J0nr64u2YWGeP8r1npFaimoOvH6pFTnrz06qPW8DVHJy+pXBWqO6T3
ELfWfsWipXNlOglv1hckEOC9AeD4JpkNjlL0zxcN7nwtQk7FTTsXDNzCdoFkF4fG0Fy6BL+eHPbW
JHguQccHhID8dIqw1Xq7gsmBlK4DBn00QemheWhytrvvvTMXHwhi0Ow08Vuh61U6NEXedDQmuHTb
3N7ZyFLY0SFN7S0ETjxV/2p1i2WKmVMKFtEFqgKyiaS9tI5F3NfAVmg4pgnKICgsDd2KBW5Pd5Gd
emPwpKmtN5BkpaLNvbEqzwLlvoEMDqJqP9a+ZeGLFr7pSxHAXAw9UZsiCw3mt4mV+vooY6EZaXoW
k1ObsHd4tZnh30Os4+DCm0/NXNBKbsJ6o6XdqsyXlEWnTSOv+KV1aR1MNQybumHkZAVjCiaizO3M
Ey3csjVB5reE1Z5ddXRXIhmHFk/6Cc24uCqjpNI6uyxgrV/HLIZbp8120COEGaDmBemOi6z80rNo
JnYGG+/UbwcuHyTMpKdXJhrSYD0J8B5DBAIDCBGeIfOYB+csAI1040ACEnkzkATX+UErz1l6yPuF
K3J24OAvRFiFThRLLtvovEugs5CRU083dinWVhn5FkrG2M2V/ktDyej+9poJfNDFaANIO8F80JVy
7VQ1HUnSI+NzKjhVfKdAASci6KJorXyR93LunIJwDQUWC/sYaaZrW6JXgpCHNWwhV+HBl7eEKf0O
wClgVZL8GDqgAuBJbu67HGpFaMdZuohnZ3eCZ+ENgS0up0PJwJKhYQo5BfBcJ0HWgKFkdWicAfxT
7yz5en9yZ28iWANjtwaCHpQ9r0c8oiMPzLJYzTo9BOh6rP9AkdwU5jlDd57JXTy/laVq49xGvbQp
rSgH7VGjq7AJZCIdQXW8alq3T34sMVHNzSVor3AOIQDHikpj66q2FcR0yKmiwXtW5usiMWK/Gt3k
o449Q4QLJds5eyiGo/KOt+ekbXU9lzlXtSblWLvG8mIRbci53qiN5inla59u7y/c3ElwaUs6ankU
KUE++UnXj27UlEg2Ley7uQv00oJ0nJaQj89EMZDTFya0FfXqiKxIvIRCmbvKAJbAbYEEJzJ10o6j
FXjOUwehFy3psbe3Yf9qB7ui5K6qlrhAVkvq7rPDAgrNUKEXNdUcrhfJNHJwmAO0cMpGx4+J44mg
PSW6slHY+v4SzR1cKKijaw9pDvQXS+5XNmqhZSmCvML80tGHzPrGgj/3TczeuJc2pK1UJvDGConb
UwAN6mBVfwFs2uIepjBzLT/Sfzu/7aWS3MK4ZJq13hZJMLaw6YCct/ljO+eifV8Y19xBfDEu+Rik
OkEihcK9dZxBSnJQwUSln5Rgi3xx9Tv8OlZ/y5qA1AkgpGgpmPCUEKOUQnJ0goiosZXwbCWd4o+6
Obgj9NC9hYHNTR6StKAyQMIACPHp7xdhQxoFWliB/f3U+qXLPFQY3ci1VsXq/a3w+FrZLlmc8/dL
g9PfLwyWdQABRR2QljJzNimkkZwfbaV6QnWe/mFok4ynYiHrDkyQNIN2wYRtRxSlWrSYcMrX0fi9
3OfWKesiBER7Xh2Zsx5xyaAJEgSV6HR8T8fnha+Yu1wuv0LadWbOnJEwCxCs9HcTHoO9+FY5b3h+
eHHeu+D2V9aE+n1+6iMv0B7wJaR5GNEKcP875qYdyH/w6k4yluDLvp72RDEpRRtHcAJRsltwwEDj
YzmCGoyLhXN6LnU8NRn8nyn52qHhaKeJPQLiMoQr23Aj4BL2GY23cWmeOwc9ptozzxS3t9WjaTxX
zQLGZu4qolN1DGtP6Q1YoZ4IyLIM759aOQ6EgYl54TSYWVJszAllNmHMcMFez2VLrdyyxyw81yAG
06IQBwLuPP7BSjzp6sUgcGbp0AIPIjKQxQAIID/OkwJ6YY2esHP6x9iPPjknO3ufrvixf84jN3gJ
d7Yfu4W2vu8xk0dcPV8o4p4JEQX1MgfhveQx4QDu8bK12DlB3VT3J9SBUbuGcE0w11jrsluIVhbs
fUaGlwfDMGadAB3zWY2yY+V8MAgmk+Hs1F/QPOxX2b6KH++P8GYdMUIIbhoT/R/EbwxpazaqCPMu
MMJzW6PTKDO2VbdJ+FPpGG8B8e/bulnEyRZwQ0BFAekN7r5rn0nL4n9tAYUFqMymzAFNtMhmETOy
ZEg60O0+bcIYjaHnJngswYof4AEmUs0t+es/jAjPLTjkhEOWBeFsZKgqvBjCc9/qPnRoAZp/jEdn
l2s/7hu6PVCmucMWQA8f6hl4b17PXRIrIcs6xs40PVVdPDH7+khy+Eaa73s9OiQJsG2a21LiwUeU
/GNxrHO+efkF0qQqyNHlTc/ZGfiLPuA70u5rGu1AFOnzmnttAi2M8Pf9Yc8tJFi1oEUN2BOKClL0
bulFnehOys4KHpci+2Z0pUeD3WJtc96ONYn64ol5o1TY1gE4UftJYCbZKuFvgZxfzl+hFXp/OHOb
Dc/z/5iRDs24DFtGBcy04bAqwCNqctPtODiwS2UFg/et3b4j4TN4tk4JbND+o6x37TNFWZgpXmEw
JwZPxRn2HkedG7BTaLcr820g33is+gtGb/KZk1HTBPQR+TcAV7Vro+gxLUUy4KTOV8aGbNGO/cB2
rD7pG7pUWpvOJvl0BgUVUvS4FKYM+bWpshBtz9SOnYmBJpWHEBvhGERvRNuwJUf8bIe/sTX5BgjL
JkiutHQhMe12EC07H759gOdwdT6r7tlxf63X5916nbrn9dl9Xj3vQtd9fo799e/XECg9hJP+6+/V
4+vH4+nrb+G27sNpcPcn7/20ehy9E1v9+vP0xdk9HQZva7mNu39Qvffty9OvrbV78l6evNV+YYFm
ffBiINKBn+QFHkfTQMKT8SjcamuAHWUh/Jkm/t5kSdcm18cIXGo9bIQxYh/aUAR64VJQ8BlE3ZrB
1Yy4HQBxmQy8huhxxcMGtyVk2mj+vTUidHIDfTf8JMp+NCJPS/sNxOWRlyu7rRgrdEMOnsJfK/qc
NYXXkRwNYboPzNfm/jaYDsN7nya5JlpggLciFQ6uvepn3xdyjrPzC04gPJeNT6boa8enpE+iWB3Z
mWcHyhOXFQsH1ZwBtCSi5XcK8HBjXxtoOm60Xe5gZyUmjvYSRxUbqr9VQUEUgMadqQABQWDEqNLp
TnMOeHtgI6h7dh9NT1vwwjn/uPp9OR8TRMjnien3rdiDarJrZ+rKEmcUDFxr+7uwXm0VLDNfSJqc
wCPfG34xuLzYKeofliSIGv4BKioNWTodW9GYpT1gYlv0rZ/twlR3etAt9WDevNQnK8iDKxifMRXD
r5ePtVkbociFqxp9vxqYkPQtg2ij/qRzFzq/Hli/77v7LURZsihlcDpQqCVqAIvjT8CR3Vfbf/1x
fuQe92rvG3FDF888V+y/Pryvem/1y/b27vetviTAett7KX2GtO06exSc6QE76/xBsXs8TDR3RCJz
qjeVCQU2/GgMsZ9YjWs19kHV2aYXQLgeiP1LqLlnDj8K7Z2Fr12PRs1NG/uNmXzKWOOUwAm0EHzP
XGBX6yRtszjtujakBA5aHuxC8WNACRulQo75a56UUNPOV/fXaebwvzI4xUEX7wuehrWSGpgflPge
mRP4tXJwAuaTfMEFZ4JFGDJAJ4J2YOBPpBtA72otYg2PzoPyXraAZGa+rg7YUn6qU88y383x2/2h
3dbsp7WHv4N/F2K/ULW5HptBqyyuwEFx1qtvqo2TXRUtKozaBlK2HgmcHQF+3CH9jkZvBiFg1nkc
NQCDum57/0tmDk+0eUF5TpmKQrZcOK+jSqnzEGPvLZX5AKoGrpkWS2ROs0t5YUXyHZEpQybqMDq3
8QfIic1Nw76IbFVXL/dHM7eSECXE5KKPBWLoUrwQNXiTiGaIz2JEl9cpD/dBm0F0o/2RpQxEBs7o
4d1z3+bcvri0KXlPQIOIpAQ2HcSPaHpdGauwOebM9BK60Ho8ZwoIW/TmqTYw73KTFS1B+N+BRv0M
NoZ2WINjH0jN0ngMxJEspoVmj0kw06FOiLIOMAbSwNq2VZ2gEbCWKitiMLeNp9pg90qKTRCC3B+q
Z2XrVvSJsHUJjAV4hgYneu1jTHnXncr2d0f0n+kP4wHKU1X/XbPdMvraoNDYI/iJwU1Gt5b6EIld
rH3ExpIQ65zTASSI+Zool1BtvN5jEYUyAgEJyhkanRsUwgBko+lDqpaeWKrgz+0iqKaCYc1BHz2Q
R9emAhHxhDhJfNaiX0gwx0tp+jm/pijZAiH4mSaTfr8uowEKQVgKB4EpacddPB7LBLqjtgtMYic6
dFItEUtMe1KKCtEgAr0cZEGmpJx0L0OJsAnysY3PGUXLkN6COGqPxOjC7pmduQsr0l1s4EWEmlCH
maOx46bC/oVMPV+4SWan78KIdNNi0jLIrjcxuNj/9OnRdHw1+6LYW0a5a+fv8VL39cwLHToEUP9F
OhOwf5muTO30AeEcpk4NfZCxJZCUsIwWKq1LjGJzLn5pSBqY6M1aMTUY0qwXxaxXqoX7/xxZ9Toz
/PvH3KwplKEmNnakUGWsIrqE+4iMNXaTqHytfXYaFHqJ51RfYvL7vqnbtj1k3FBYw8SpwPsg/X29
nRTuWDnleCuBouUxHbKtXSkukkhPAR9WPBh93XTN0bPJWxQt4bhn1g62oeaIdn1sNzlLZiRGlxAN
tlv9uSi2mekaONLp5v4QZ2bzyop0NtGwJw4y+ezc2GruFkCeQhhO7xO3H+kzN3b3rd02I05kFRiO
gVo2mtNkyfBBi4wEmfXo3EAt8hBAv95XEmvw8iJrVqGSJCuz68ZNr5aFW0Ho7AAZ0vjIqBWs0VqV
ocyZ51+GDi9PYTXRgmfN7E4IfiP5jzN6el9JB01NQzVAKIzwywk3NYgukFb/JQwo46RoBdcDX63F
h1Gr3+9Pysz5BibQqdUBSTvkm+QlILFVGKAWPnd98cp5+pJZiqvrS1HsXGILtPuTHv0E7QJJ87Uz
m1oditjiyRkE0gO0Tp3Sbca4cs3wRAAi0ESIgA/kWVA6QuRZkIWzb2aYIC/GHgImBR4g34Ktrukp
FA2ScxVnLu89+j6CE+z+VN5WkcE1eGlkcvfLUH20LCKcJjmDnrkc3NQ1iJud0tKNv+d+/VVbs4VR
zewfGESPK3otDQNFgWuDsZJFQYB+mHNV2XwFZ1GONUi7AJnL2DdLrcvH0EithWHKRpGeBPoQHbVg
n0KIKdfjGVWCNALtxbnTWuB4N1Z4MgFCK6m1ifWFrMlNDn0yhhYZivMWog2All6PUCeMjkKHsVB5
L5p+DXCrq4H3fwC7jX12LL9V35vK71LFDSzV43ShKCf7zWTfpA5eBBPGFMmba/s9DZw+q4LkrAcg
f8++9YCJcPNfjEzsK1hGE5UdaRlTFD8cDsT4uTJrl5pf+0q4JIoX1m12KBdWpFsyBGW3pfAoPQ+o
33SYv3zi7hiW1FBvHnXTlOEfoOfT4wPLJ02Z0dVxJ9TkzLm6ru2euCx7Q4MT5JTUvaVuFDPbqam9
NohwmVOfbDw1lxRvbtphPz8C0jPAFUIIC+Tp1x+hqhVpGxtTCgSj7YvA71e6Jzyg312yf/n16096
7oDsuH8AzO0MBxsC4elEOSFXkFFWDVM7gbPkgj0r4x6JTvhnsFaTVa4sIX5mtwbIRsFxCqJxNPxK
W8PiGlP0ahrieK6bwm8RXiHpNxXJEyQlat7vIqd3S7xJxjLZFuxPOi4VzWdHDIF67FAotyM/dT3N
ZpIFZRWw9KzgDvHsDtdqiPBoBSF04QZFDZGavI+296f5pksIizvR+2Oz4EpBHlnyZDBBjEFnw6oJ
NhYSfOTjVuvz90TznA7cHnSfdH6lPuvOD8VMfRf6TmhaxKVmLmRMbkY/ldEBfkKdCyEFqgzXo1ea
PEgYsKpPtk4UKDIqHm3C3huHMUSCymzRJpT+rV4IwDWTLPqnCPDE/CqdFcRkpOe6Ez3lYmB+zTQV
uHptXLhYbp1rMqOCwADrCtoPGcZjVBMhlwEzIG4R3W9RQNp7UNeZgCxwAZqC7mspDixqT058isqT
SMTCmXiTCf4c6MUXyCcvEG1mJ+zoiSZgqkl8Mhxa/mAaxTuqYU2ruigvJtDOqrWfPZoa0Ne7bwqQ
nVFXaEcSbNFeoy990zS5l4/BSVENnKzTtIMxEV3t1wtejKS10gYL3qVqvovyuNvwRFX3eoAG7TKs
dHeMaxWgVlW4vDPpkRe58EUdaWulitNHg9lTr64Q3X4U6ug6PEg8UtSo/uLy9otUfGGm8YM0ReqW
ThSvGEMy7P7ukSP7iaAG3z+RJE4tX/LKTpqiyUATcWzUoFllhkL9FjcQCEnj0Icy82LUPWsQgDAc
w2hFgt9cT5o5MkaIKMWRoXyVpc+2eNYQHbXVc1v1rtV+VJ26I1m3Cb7Wu44dGvMHjq+RWd79gX/m
hS5Xbxo5eEBAxgEyeTRNSh8SOm1md3ktjhpVdqG6F91XPfMqvymZF4bRyihB6RccnNZyS6iFj+1j
yFbBY9L8CM12XYTHzKDbvHpH7yHD/wjRx9PW5+ELyPA33bBwl9w0zH9+LbTf8TF4qYBL6Hra+gg5
O5H04oiUzr7PXacxdolmuUPSeOBfDnnjqfVviqYTpIf3ejauamH6huandNcV+7SqPDM9sdr0svGE
9o4Xc+jRhbsE1v188cqzil6FT4AWAntZtFmpKqFoVtIcEwtE/W7VmcVTpta14mkja4ChCpXI8JOK
Jo7bhBY7aEMSBW7Z242rRKh022iZBW2hUWnRa1kARu3SxrD3cRn02apJK/UU8wY9nmUQZ0BFETv9
OcYh4OtF2MQ/yxL6Da5qV8Wxx4Pig/FKQfIWEoi9b2TCHteZznUgBMZ0iYxtOoFuRo58F2579OSg
h/J6hQwjAu2UiaxjbRhuAZk5s/2TqR8CsjNV9QBl0vv+K982k0NAORN9RyqUjM3PI/vidaGOQ0ND
C+YA1wpKeKq/drHW943cjGkiDEZ61oaoAR5rMsEcVftRKCwnxzAKjmkSwPuqvWWOB06OBhd4OwXq
1/smb84HmERFUUX0CVoIPEavp5GNoV6hokuONN6j1rvrxLHHEzEy3u7bmaKCq+WCHSzINDLQs6PB
/9qO2oRty+E5J+65f8s0PV2WgDRMEmU4VPGCv/7tpndKiw54CZERCux2ta3KvZnaq7ZY0gKSo3jZ
khTYpgWI2OuEhqfRHj2NjIpLOvGLCPvx/mzdeJs0Iun4SeqyDVEpgh2jgd6A7hdZeDDDFK3A8c+k
WiofTDfn9eJMnAHohIH2uwbCvelzLpx7KAxuhQUmsHhAMHPsAx/cKuYb3gatur4/slsXvzYlBRat
nusNA0k2uGaDffesl6ugOfL0AxEeoocF514yJkUMEN7EnsZD5DRm0d4eEaWD57KANBpmNG/q0QWJ
6f3hzSzc5UzKGUoaNiPI2GDRSF8ijgqJHfgj6A/QfMvCP/dt3W7dq6mUX1ktbYjBCyc8KQBmRJ1n
tA8ZXhrDkvbgjNNfjUlyxj6qrdZIYGfM34EO8HiurdUlUvOb9A221pUV6SBCLN2DUwFWOvI1ovbX
Nki/ZIF20F6Tp9LwSRg9axl64Myx8Tu6wAF5ezpdG5/+frEBxrxw9EoN4JXWm9P9HtK/fKt8Dm4C
/qK1D5Hr54P54vdpHgRdOpLwBM2y3OtVM3ppqNZ5oVoV67Ys8lPZ9EtZ5Ll1A6kAUA2AW4JNVDoW
25SMQxcJduoSpXNjINv3qTVkuJKVJVNzBwjSJ1NwhwwKwvTr+aO0ivAoqNlJGGVMVuCmQDQLrTvg
fvGYekzqNKzAL1nm/aaEVuQqUMJ2iUNwZjtMryULsCbkPtB6f/0NKbSd9XCI+CnsuuibHjnA6zdB
t1J7QbyhqOqFQuhNUhWLCsFbB/A9dP2g9iANOrcSZ+wdwU99m3maFoD7EanNqvfCqlvxkW/iIPAa
Gp00kK7d3/rztgGqQ5cHIgWgjq4HW9aDYY6myk/gN06+xA7I+Qe9zA74Tg6pv0IFV4RKVqVDvgm1
6/yyzMPt/W+YOVwRxiMbiay5BWi7NHxhFbFGep2fcqct03U/juZL3VbAAdkOy8s1o4aSeHpWZpEf
RJwtdfDM2cc1Cd0kfAY6K6X1FlaQEZqN8UkZdLD0x2WyMZu6fVO0EE0oeJ8fFEbExqKpttRmM+Nq
aH5BTXeKuEGoJe0siPQMKm+a9CRqNTznYHDbOKIK/Cy3121V/q1CFBxtSjZgc4HbQEEu9nqxh7jR
aqsqs1M4ZmAjw3M2TxuvxFGM/iJ1wbXksQGEgsepPrX/4aUGpv1rY6PmZHXbW+Dyj1+E4uv6Rxzt
l/SN5fPi2giKAtdGpo5cVhDId0H5gFRHHdx3YESM+99QqN4SPXYTcLrfd9ebzOinTRC7oSPCQP1J
bsCIg4xVnR5AfrB/7cxHole+U1UuAClrfYxdULz2LqusYmXmuuUx4aVZuSrsrN4X6d821nx+CyJu
Z8phYf9K2zcgscpFjW+JENKJMTrmn8oaQFbhXXZ/3PLVJpua1vvi6imGruENh4ZZrLBNDaxUrS4R
B8lBz6cJqLApqFeqYCmT/dMpWEd7FJn1+qgxG5zqSKDQ0QPmEvnAL/fHM2sMuw5pOB35hM9lvhiP
YzctASKcQ+eUfenpXhjVmoTNhvCdXTRL+A35Dv0cGqpzYJBEXIwS1vXsoT7cCu7AGkmfAvQkoqMk
GfWFLTe7RLg7URYFIwI42q+NVF1Rc9OK+EMqyIcZW8OjYgHCf3/e5vY12o9wkoBhFxTfkh8wFpUm
1wvA/HCIxOkRvQMI70OGqt9SL9XcpFkIqCaUKu4fOclVO2NQxDHUqoy9GnjZx5I4wZwLXP7+dDNc
uEAHcBiJu5I/WKqvjPomAwmXnQz7ApxfXRKv70/c/Gig0WGjQItRSavjlElrZg3Oql6hEMBAC2fs
eG22SAU1nXmXj7DJ1RAZ/seO5GqAp4WEqxAbSZIHntcuU4Rn1V/LEKwMQbpGksXti981XzoYZx0D
BKEo/aJ8ioDmejbbJEkLwXAWZehP6WqPlV9Z+isZY//+PM55ufVfO3I4WrUkF2aIgyhDqS0610vl
2Nl1Qi0dGWKAo1F9uh6HzZGeAWKAP5TqseDVykn2zFnqyJp1vQsj098vXK9lUMnVSmxVnkEp/Bdz
kheVg16gIftOKAvUXJ9qYzcucWFNcnRQGnRdM0xn3bDOoJXLUKHkoae+F/WG5trDMNrnRHmhyeiF
3RMThlfX5a5wViPTfPC0pdVT2uxAjuOoEMt5VnKAZS3h9qX5fH9t5+7zqR6E1ndEg4otTUuExkla
G5h7kM075EOjoExBXqSzXEJ2tf4W8qf7BmcX+8KgNDN2VxvokuA4zRB2CafwY+DRs2HhWTi72hdW
pK0BYWerjxRYEc3vLESTLd8qzqsJPHTR/cvumFoH0DAD0RU5D6ezAdTAA47n1gp+Onzb1v3Pf5my
/1qY9ueF68ZBj8d7CVW9rshXBeTofT0oQPFgRqv7hmYPFIo0JgAfU7FmWrsLQyyt7ajWoMXoxB8B
FDl5t+8gHxEv7A51dnUu7EgbXsmjLjQJrhlowPZt52XtoY8OYOHaFFW7GhIvSH4w7a1pQOrdH5yu
OFpx+CQKKJ4gGd/n9cIEL32PtAmq0tRUQTHBvW+xeNuZ1ktOapSAQRck0PB7f5ZndwBaQPC4B2j6
5vXJ2yqgpM2x5ZzEhRx51Y4uKg/3jchvrM87aQKhAd4ykWhLGyDTC6cbwQwO6fruW8mMJ4hyrHNo
2+Wo24AC0gJR5H2LN3mgySRo1EDjgpQ0AOHSzh45UuO0hcnQ1tFvtG3TfQDdCAuS8uWB5rlvQAPL
rhG1eNR6v298znMRhk0qXJ+MiNJw884ZUpJksE0eydjunFxAzqzxMqVZyBPet3TzAKIGqUmlYPXU
sdyzjKzt6qlzzEe8XBb8ZMmSFL5AglGA7xKWnEQcdGc4JyGQ2ng/KpB7X1i8OZ/87/whN3C98x0g
2CJGEsi+guG/Ix+V/dhn3/9hjQDQQ3frxGR9Y0OFumKaYpeB4dkw2CGsjzwvvWSsF07kzwSCfPtO
jE3/Z0m/Ho1ZERIqGsre/WB7kEJ03NyCWopPoPml1vRX2A3HpK82Tpo+DrHmpVb2ZCX5IwO3rzoq
2xoKPckbj1GsDNHKoVob3r2zbtwOSu24oMXeIT8xonoGHcVRWQrr5jcS8hOmBSqL24pLl4VJ2kT4
/Kwb32JTd5tog0Y/1YYCgOnVBNpPpnFCneTAQuGim2HhfJ51PFTMUDdDQAac3PX0NXlTdCjcYTNB
OnmjxjbdtXmqf9FHtTxVpPhbJZbPgwM4cWDjkEhGc/61PZXSPkaTLZwPst2+oTR0LTJkILui1Lb3
ffAm/fZpCxSbU+fMxDklOXpLB+i7I/v+kAePLVoRRsvOvTwpXqDGs1fs4c0OK6j4tWs9rR/v254L
o1HM/49pySsFE30xlCoQ3aqTozGotby+1ZZUTGd3MqCiyBt/Au+kxUPxOEasBx1csyinndyIo7Ko
MDznIcgYAGANqMvEvXG9YmOgIB7JA4S3mdiNVrZD+XiLvBr4I1VrgShibtqgZqWCtxG0ZFSXop+c
63VpZQQPeY2/WJAz1fL6bzF+k1dc2pA8UBMko6ybxhPWHii3xQh62aWYdHbSptAK3TcKuoskI3aZ
aqmZODiVRL9Owo8CEr4satYxqL7/3tPAPv0fS9LyDA6WwgxsWNL/2Kj4K+2f+wbmnOzSgORkRWmg
3TLEfEXKBuk4l0eKtxjCLM2XFE80zIoDy8IoBDnqCZJE1XFo15qSrf9hMCihU3BkTfGLZMfsciGU
AoNxqqccavfV8LYoyjvrxBc2pPgkCG0OogA4cUbe2jpCD9ESpHB2tixqYllQDrZk2bW2Fkllpxxt
PTxfVbXYCP2p5GIV0qVXwk0/AHYL3jpoVkIWFITj8nsdTDwh2JwaHDE1SBY0hoCOEA6xTLN1ANPS
Qn6AVJrisaQivhGIb2hoOTZJXB3Mlkd+roBL1zI7t7IJ/XvHvPo0yTEt0vfxUOOVr7SV1/V7gU7Y
zl54ws5PAKDV4GqETCLOv+vjD2KiadM3JH5QUC0Lc2Mbh28daM11ECEEXyB9Tvs9sVrgcwsvosgv
HOJOcZm21MAzsw3R9oxnBCIN4Gdlvb/IUlvFypFlACfnWpCVwzVPz9/+entcGZFuzCEL7U/t3ocB
qa1IH1aRjZZaS1m4mWf810D1AtztJjrgEF5cz2nC+gjqlymOebDyNxnQz71P4Mp6ujRrc5YcaJVN
DbSIb2SsTgCtpIoSWMJ3rErCIKoF7UnrYILk+/7UTd8sxaEo26F3A6XV/yHtSnsbV47tLyLAffnK
TZQoS5b3mS/E2OPh3tyX5q/PoZN3r9QiRHhekFwgCOJSdxerq6vqnIMZSDayhBhab7kW72lUxGNb
bOWdRvoCJBTNDxTDCquPy9C5bXLJJc5NMoHGKNW8VQRUIyhEiMuAPsyck+Eq98niHqqYYMakqTQD
ni5PK62FkEwCxWkN4gAUYdR5Ve9F3VFRQJv+F0uCAg4wzwBsoDpxaSugILqFYAOK0vS59TLlaa2n
tRCcZ+UZABUx54h3GmNAIH3WKW2Y7bNIJSYB4Ys1GvXa+3jhZC6sMA7OZ2UFap84Q87kjt1opgib
7VisPE8XreBU0FWdhwvZZoFS1ZUgTEm2DwSUFacHKMzrbbWSyc43IuPXCtrH/xhhliJmUZwDJIC7
ptAGZxrSR36oFTuaSXhjuciclutAUjYlKy/I5cWh1g0qHCDSZCaDTqKum3oDVXZeGCF2VjVO0aJF
rq0pKyx4N9b3rx0mvgOMG8Zqj00kZeIZ5CXSBtMoRkvrV4LeQoCAIXD6IPRhCI4FSQ/oOE9xXWd7
KLp6Qd4iSMgHMRO9nhMEsJOvIY0XN1CaJ7HBUzBrll9+SpLR1ZFWkwwi7KKLh7HNdX+abI3rYam+
B/QqOIxVILuQsTMZFdinJzFrsKxhDBHEhdBsARLUUv4uElKTghV90N+HRHsL28Bqp12k9m6aZGb6
ZAgO15TPOllb+eKRnv0kZuWKESkB6ifZfqwdyOvwKfHme6zv/kLn/nzt7EijUPQ6pWCY2/fB8xjI
ntAMKHcVFhndvFtTDFwqFYC7FrOtELKZE34mdEVi02Jry2xfUK596fIs2VaDEFk9AD4Wl+fkpJd6
90CksHdAfZnYuiD+kgc5OVU9Md6+HagxVC1CLAzSdegXMZ+NmgtZkUzwLlERnzjogJqlBonTNLRv
27kCsiABxWNQ4wEVAroMow6XbqyDzGIyOOxxMGXDDEvsEHgUUkMk9lRjnIdPGkhXdJtelqyA38jp
nxxN4PQxzU5jtBILlz6ps9/Czg1KU59mI/Sl90mDVx3GEqKxcIp8JeVcChTnVoTLFYNoQSwowTnz
6Sv4PjA43csbSfmx1jVfmrU431p22L8Y8wi1ebADQBgag1/15rOEsqRoSsAOPmql2QX2n2AlrC99
m+eLY8K6LDV5I+kIF3wpOTm6ADnE6iso6mAiacVz5ryEvbm+yILm8SsMmzH72CaqEXI8TquvTlpj
o2eKgDQpOyHZio0dcY+c5qSClfSPK4YXesT/ZSn6n2EmYSqlAfdpPGBfx8AFn+DQORM0kkZXbb8a
gsDMm32VrXwpi845cyP9zyqzs2VXZ2EELdd9kahgfmjMIAC5xtp7aNEKpC5AbKViipAdZw2bnDY9
sHL7bCrsELLYxvDMDX/zBaDRjRknaFJjAOfyC+ibmqvVFN98J/yMpHqT4qXTgJWDA3X7GqnbFYXA
HGCg3AFEOSaqBHT1Lo0BwpVzPUA3e13unFYUtpiS8cLJbdVHg98GQ++EYAevfibtXxyYCv5ikF/O
UCOWey9G/h5qcZPvg/IwhGi9Qb0jWzOyFExmC/PE/TxQwqRvSi3kaqMZ+b7W1N/dwD81Ze+OufhU
Yn5rjNdS0qtsEYF6luUEkYoA6swr+oARlWYuCUdfg545hHR4wY2Q/zaCH2L8L2zGlT1csoel4ZIB
DwRKbfLl4el5myXjMA6+2BnFB9FiIHoEHlwa6O25PVF+oX2le+Bhn6yVj3yOHhfRBSvFYCceRMBs
gRqAuY35CuJ9NT8MftupyX2uROnDmKqvsTwZHknTIy9VvzvAfvZQKen3Ebibt4ZE1sjgro4XvwKx
DRzf8+eCN/Xl+gcCmZOWi0YfkDvUY38SsFBkRrUxSp9Ho//2mq9i9ywEokOrGexruPJZ5ce6V9Iy
TDUc7niQ+sRJZeUOAzFeTNSVl831rT8PQWFWAWNqeHRe1ekyEkYp1WCqfZN3wx1naVb8HD6ndyCi
PXC7+rl4b97pw7fXB6MzXxLUEQGzmOP6WUtc4qYxrzV99Cnm/ehQWAYYA0QOisvR2oTKwlYi6Mz0
r184Q/adS6dG74q8pf6Y9qZR7bI2MkvhjqQvt5c0+z/jpcrMcTWTy6CGZTBL0vJCFTCZSn0xeQ2r
t2Stzn0dPXFQGJFEyQM1Vf4qehporeVSqlO/qGOX014SgViYXwMxJtnrGbEjcBNypWZN4tug6pvv
r25WEkMCigoPHvXMgfHdlBUAcPt47ItWG+YYB82q0bxtZeGsVIx/okMGRuRrfud2FOIak8qj3/CK
o7b8qY75u6KpE7NG6eq2rYV4Bj571MXgGoKE+u7lioBSJlPVhNhOtezttlcruy+HGjPLYv4eazG/
L3AcHpIo3rlt+epiB38TiuJ4WGB8DnDm+ZedOX80aTGluTL6ZdabEcC5cEfoZPyFEQ1dJCDocLuz
hT9e4qD4LUbU59MAct+KBSOi+N0Uc17JLPs7UwPh5JiVUKHlpbSLqd9lnynIzgQ8TqBxpq9s2ELo
RVFs5ir9mkJgK0mFGMp1V/HUz9QPjXMVdMWybAc8uKX3a2MksyMznzE+rfmZBY5xjJHMh3d2OIrE
tQH0ficfjYVNXoZP/ZTvqPQn4UVLFC2hfu7UcSUJW3IIScEYKlqLmIlh0TDjQLgKPwUhWE3MQD4R
PbNRK1lx+KVdRLgFWRmaZMoVdZyBmaOoiDXqlxiQSTmnbKTPjJaHrtT8ISMrZ7YQDue2IpicQWCI
sMWEw4KX6zqtp8kncVd/QssAJJqYy9O/f5HMzNRAos4oeFxhl8fVjJlaJLJC/ThqwL4KGpBTDXjE
sU8R7QF8F1eAS0tRA6BxA/9BhwAtgkt7UisPRqBJky+Q3ONLX4q4j742ay11m2pyGyVeyX4W/BG5
wFyVAys2VsmEqSbpDC2VI96flNaJhMkhKUaopBe12eSiA8ZZdKdWTC5EYZjUMFMOQn+EKMZk2yUN
lycwGVWR2xq5A/U7Un1K1cpeLjgkQMRgRZnJt3GpMZ8anTQUsdQO3FeNACoUmsg/C0gXuKUa6Rsu
k8HONAXVykW2cIBzGwRjyxirmhUZLg+QqkrcEE2c/Hg86U3nBpkPcgzTCBQ8GyMzJ97tOLy0mef2
GIcp8QaXFQKHUSCQ6EyB026StatsaSPPbYjMmigwvkEhT36vbLXsBOpBxxA3anZXtmtqkwuh6ktD
TeNn4DJKY5emCFgcSEFz6mOOasM1mCrOe6ceghUs2cKu4QmFaDiPvc3jy5dm2rFqCZVL6tNRSMw4
qE8j7yRd77flWm9zydSsb4h6H4IV5oIuTeVpWsckJ7jDZpRU+syBt8pUGtHWlTV2gqXNOzfFfFiF
RkWpE2AqUx6EVDBxswTTSkBc8AXM66ENp4A9DQOKjA3w1PB8m4zUVzsQ2MpH+aPrMQ+hgZ9g5UG4
EOER2tEwQKAA643MeF2OFUSQH6B+UEomhwlTcfq8/e1cjxXhyYjkTEXNGyOIyGUuz4ZrI1EYZQGL
CctTEd8HoQeyiZLf1kPs9FVkxtou5Z9uW106JYCiEPvgdwi4TKoLn5zyPBJxpSgcBfPV5ElSGpvQ
oTz9hSEQ3WEaTYeaHfstJVIihYOG1cEdQghMJzVe8kbi3LayvIkKTMyP11l08XITdXWoqcrhnMoi
sSn3Jw1+DW58JFa37bkDXZuSWQiwaLkgv4VnzLcyY64NUZDTuGzyMeFghzyGVXOTS8HGJu5qSneR
tEamt/ABwyBeDTrYFIBBZAwGfDFFWVNOvgzmTbcoiuc4wsBEgBkLt5zEj5XtnN/5TII4g2p1kJMi
74DNy+00xDDSurGZ/KqSh500i7CO6BpaWgoe6BKQKZPKSWXGdaT7aTxKnsTH5KhCf7o2Y2q0fppP
ZOXGXvgU0XpHEoSxZ6g8s6gsUZg4KrYtki2oTCJHhaISQNTfJZ9FEgcr8CAoWs+NY+ZrRPmYhGHV
Tf6w40/0d2De3tmFTMdACieDTWSW8GOLdC2vg+KhGJBaBdqmDoAretCzj0xLt0OQ8cB5tOlWGouV
r30hXgIviwxEQ+UOer/M1851CCWqRrF16gh2cSiQ0oec4CpoJrub3m8vcekNf26NbWMNdSfKOenh
qzvtrXoZY5O4uk3f9M4qtquSP4s7ipoO/o0gg0h66arBWMGHG+xorbV+KfIeEIReFahPtPvIsqMS
PAPVdCc1tjbZVelDQkYckj2wy60RWrnykPMR78Wg/L+9C0sfLEqXUNTEQwtlrtmbz55Y0aROQNTC
jyTpQRbvkiEx5emQ5N/fbCgpA3CB+wmAcEkRL+2Eei1hABaRSB2eZeNRQ8++yu6K+o8itC9JLFsQ
OQzUHRd8/w0Jw2jXgZMSSpEASjKG86lLNaXCKTfvlQGtdaS3em+pymf9M1LMqFnDyl0fNIY4ZnE+
lDLAe8ciTCivjlla1UgyeXJAjEQDtsMJlvsOklXVsE1KYbAzZU204fqmnM3OEyRzIoCu9OU6B2Ma
iNYiFKrZKydtWuNxilfC7fVtMo+nINbyoNhDHYPZyrrLgC+LYKIgDqWxTQfJlI0Xg04Yvyzc4Ntz
vhrsIeEAuBFFLjBTXC6p07KGU2SEAz4TRa+Q0fnFCyb6KZTxSoHmup3/ZQrCcCgmz+qUTKbW0kke
cZVMfvkBToBNznV2Jzf7uh3NtorsoceTMiQAWEX+2ByGtjrl016VM6sAdxDa/SA4ydbA7kuOBIfV
8b1gCA//ulx+imKSEIE4yxfyH8CcmNTt0BMVvSbctyg0rlS5l/wH4R6KZCh8oAbH+M8UVrqaqPzk
BwVYTv4AoNitNdGub0Y8nc9MMAtC+6UOUlnAJg+v/fQuff89BDAQUDloBgLpJ7KMrG2uqqSa38qY
QHcVScKnF3UvnBZ/F3gEZ0GnE0ETJUtA5JlY1oKDTE7DGG9yTDermw5zJtuyPoybUD3djs7XF+Kl
pTn/OYvOk64hllawJEaimQidaxixDeyRT8PIDoyVzGXp+z5fF3MXyKgeCrSHtYTbfUJMI5QsBcpm
3Ob2opY8DQNmQCujrgG6PeZbq6mSK60+uwFJ7CAr7RLtv5Gu8UZdD47MxwSADOomc0dFZjx6LJUa
OQyqCxxChhqbg9SB/J2CpSKq7CH6TYz6URjL45CGG4kzm9hYuVuvqDKhG3LxCxiHx7dLAqQzuAra
xOWiZj9HTSM0djR18YrJ+PYli0s3Dmwxc0DINPJrI6eLew31Z+wzRq+ueM2DrpGHvsUe8OVBx6xB
oey5NT7ORRsQR0EagSoc2qCXTqpwfQbtNlQ81OEXmR6AeVotoC9FDpwjphngL+i6MN/BwJO2xT2B
LMXuvfr5tj9ep0A4pbM/zrh9LoOAfNLxx1tulxYPZXQ3qcBrOretLH7KGElDiQ05EAoCl7skhmhX
lnGA3Lb2AmgTcf5QmEltdYN729DStYH3K858xutiJPfSEE+1QGhLGEJf546LpmMWpJ/A9r9IohcE
/ZOI172prUkELTkByhz4rBFB5n7RpdWEy/p04FPeLyGAmNR3nHgkmI//i6WdGWH2UOETzNEoCe+P
vfECjkenGHsX1ARWqYuWnopOrWluXqQrAWspLuIdN3cuMXOK1V2uLaYNivVDhXhfP6navVp1piQf
sbNJgvdC/Xp7kUs7CdgW2ito7aHtzAQNMSspnBXWjHZ8a7jQ58Zmn3PJ9raZJa8/N8MsihhRW1VR
yfsxccBHnCd+QlDPfrltZckZMSjwhaLAXcnG4NBIJXSca3A/e5lwECtTpW7vQIuWbMJoJdwubtz8
XEVnFHPv7EQLrWS1GkRcX4qI2nEUQlX11cD1cntFi/tmqDMd3ExExE6WGB2pGkAjeF+PPQqUVi8d
NXTa+nSl6rq0GtDVgIQH5SLQhjO3Vx1IYVI3PZIZBAk5IqaADROS9++v5twK42w1gfZBFw28P5y6
5lPQ3ji6Eb+N28E1iMwa73pUQvUrUu4Y45t9VvC8T8UdpZuWt4JuE3crG7YUYOFg6MsAs4cm6Lyh
Z7kSh9MvKZV4IEcPBGuQu8YaQ8voqbPemZwjzWXhCZT8M804/jlzoTKFJzKKKHCNXO9PE1LmdkwT
MyH1+Hj7dK45NtCTEYF3wrUBT5DZ0RP8dpBD06D3q9yvtLeBuEHhk3Kviz844QUSjkGyo5/y/ZBs
cuLHoPrI6F5/jLld5BUAJqVmYMnvUmc32cots1DJvPxpzHbztGkMaCD0PpQ6t5n9MG2o+4PfKz9u
b8FSDnWxBfP3eHasSWoQiErCTgumguluCBNTKmzNcIgEIVrT+DGkJxmKiM+r8eQrcbk+5H93n7lJ
Uxy9NPQwXYPRm4e040YhKD2borBTGi9PXqFJKrxxEZiXAzfIrfip4O5LF1Q1NZeZxsOkotoa7lNv
kh3R+GzFTa3u6+kuxP+5MKH58Zw8lKFJ2spruB3RAd6ezICsBKyvgsOtZTC+qmtDX0u90ftgpR5i
iI4/64FgisNzK6hmik6LBlEk1Ju6yJ0GK6KfxV2TF27IPcTJJsUEeVJs9fFNKaOtDJ7XN6G6J8RW
ZGK2pQxEnJ1NqaV0JtGfE+5PA87lGKwSycrd/9WBvLWM+ao5cwQ1GjWjGsPBl8k9moNjaU+Saqqh
N5PPQKbSKp6jj9ystxpYTREvOzASH5XCUnEKlZ9hRibyYu3AWWn4SnW7N7bQzbXT5KXgrUr122N8
GrfhTnRkMLwZnYNNM3Es9U7IHwu3uOcgQEmP8kk3TnnynHKHkd+U5vA4vlSCGafH/gCxrEI0R8D+
xD0fHA3QthuOsUqvOMfkq43AZBMImb4ULJjzLKnONSNKDj4YszDyR/PGUetq2uagUbT0kYh+UmS5
GUrqMaP58JQ3XWKNI10Dmn/Rvlz+kC+1F9SgQTOIwgnzfQhZX3U9yF39Ce6CGUxLUPqnHvVuVFat
qW59/bPSZOjfJWZRCU5mqI7Ebw36M1UMMxkkZ1RMihoLJE2y2MqG1AHHmDcXe7MoNSverDrOajed
Wnv6XNkHTlbP/bZRPV5daX+vroXZVLErxKo0Isw1cjsaWdqb4nH4LIqj5IepM4Y6ZnCdcfSMzo5z
UG1FqBajNVlsU+GYHCUNgj5e7MT9pkitQLT74nfhRjsUGDXpBN0iXBem8u0MDtuP6TMkO7PqA8sx
GZUFuLHVfPB/ytt76f7bcffyrzMbEksRHpUZ/jpUhHAWtZuLm1bH3Dp0sNHN4ISD0U9OS/MfnbRv
QIE/qdFa7fYL+H7lYUDXgDYVDxrk35ffvJ7UCZ93yYCJEnrkeO4efGBmMUT3RarsSDyZpVhjeBlh
rEDDgIo2X1lBkG0K0Xjo9Okx6ukH6nd3Ua0TM+ubu74KPHRtHoIwx6FasSDZIbCLnGuMgkemwWkl
V9J9rXsYCMahNdUKv0sFC6q+mdBcAmwSktZXQyQlL/V5ppPBh+wDZiATu8h7NDucAD2P22f49TC5
2r4zU8wHWtaCXNVhPSB3UB/qkAC0i5mVQj2BFeRZUmI7IxzmvjWbl+hdP2RvfVra5KGNPrOmNcE2
4/X6LJbxa6h3Ui5bojJuxNxb+ZXXuRQ2ZJ4wQJKDxqjCHHIQ9nrRRNPgh1msuZTrXQKVADsPVdUm
XJvsCy44YGYcMT+VnY5TKruVIebLNdSADjARrKnhZHx4XedWGChxZdBQ7KOQgHxiJMSJKx1613mO
Osuk4snYqm4jyu3D7WVc6Qp9nStyaUzTg5oCnBGXvgrgA2gxjGbwC5A+aiJIHzvwhHKFspWnftMo
W13fjPSXDEnA6K4yElc3TCIMri7QbYlMZkh/idW0cvnPRhkPwHQNmnhoggBTyOpuAiEH4uMJ49qD
HjwQY9MWJyGU3a7JPYylVr0fTe1KZrhwnDAJHOjcmkTKKl7uw1gBb2ykPEymtTUlO9BH/s2ioHsI
vTjcKhi4v7RQttrAQf9i8AkSgCjatOJBEzOr6TcZes7drqArc9nXTwsojZ0ZZDwUEEmQexcwOEAr
KjZ1QAiUDVWcfu2LXehJzpYgQocPAV05dha7hqLxkI3YPEHzkiLxkGPdKYeQPzQf9UufQW1QWAkS
cxy/8pAzi8wLMMj0IJ9CWIwTr7GKD8ybbyGycvvjWDSClAUDtl99a8YnulBOdbUQBuhiB2ZOfxoB
58b5gxT12y7/2a81Aha9/swc4yBEzqeyiLCmbDvc8Srk4Jotl0AGaI1R/7oYgOM6M8Q4BhVlWqUU
hvrkWSxyZKO/NW4Pkq6Vb2rhtXVpiHltddB1yDUdMVJ6yzfdZ/Ajt6Q/MvCdZrPS3Fh2wbM1MQ+u
TJxaYMhhKrmv7yWISDidm9uqW+9wgWgrn/LaBjI31IS6a6mNMEat/AEw/uEIFonbvrfwgrzcOyaT
SST0FrR63rtjdN+3Zvvev3Z2tOPdbouBtu51xd51fn5pj7kI0kipmwK5hN+6AAdUz/lG2vD7yOS2
CiaK16gerutEF9bYvh2pRqOQNTqgx+D13aEZ4YtrQwJLd9u5n7PDC3HftUbM4/uFak8VW7kHuR0y
2ZMvQiVph5d35HMb3eVNW+ud6OdK+F1cInwOvRwMggMEfBnvuTEmhAsQfoFG2GUNIv0omGQNSLjs
J2dmGF80kjyPOQ4fc+hPkOD4bAt7RKWhd/vBNaLQohUif+SA38paSYHWFsh4qMaJQpLMV6acOnqy
iZSNPtG1z2DxU0NFGd0wEE0BBH25i2XehUnbi3gukC0k5veSX2SmaiXHuoWskllsM4eHBPNJrlde
7ssRZcaMQSgdyTWLGWvBrgLBYgkuimpIL05e92YohaMRX08HsL4CdVT+AGeaNcjBSnz5mjlnr7eZ
wAYIxxldwr5Rs6ltyjZQcL1V0UnONo36qmX9Rib7iT8qEkhnw/daNuUEbFjinRDHthz6XbMZ6ic6
/zjjB2+4oex9nyQWkp7gKEDjBfghzAMxUSKIix4UsRmAJ/FDOfzhpp90eFmJREt+9a+NqyGxRIyj
FnM30FvfK6oHbj0386ODao4e6KZO6qM5bKXNbZuLJudkE+xfGBNheYN4jkCsR8Cy6PirEQ9jsZG1
020TS8kEhvD/MTH/hLNCkCb1YtUBgeUHz7I1ea1pHMZdtJaKLeUQ51aYoKOAVAqPj3REyHvUjNRU
E24zZRh4UTc1v21ab5UM7EuWk/VV9C3wdEDNfxakvlyYWA45AavE6IMswym80EF7QTtUd8rOsGqv
34077T5+n1x1Ex6l7e1NXYoO57aZ6KDlRFemiQBTtunRPQE6b6c+3zZxDbyfXR5d/3mCCIIsbB8t
RwFIkBvYqG3MW3v6Nt60XrrRrHIjP3Bu7uorLYE5/bra0DODTB6Y86k8tiUMDtZorjEfLe7Y2R9n
cr9GygctaXPsWD4A4l4dhfE94voDTnDlm/qaPrq1DsbjxzqgAXRcRp97dKuH8qlxwl/gWNr2pr6d
vHhX2elO3VbbcZN54lty0H4EB+o39yup4eK3jbEa0KqA3hRoPcY/k0BuxRQrVsDufcg4xRRKsnZN
zWdytVYJGhvQHMD0E9u+1jGPWErzmRlu/Nw+yjvdAeG0F+/rQ7PtenfFJ+dL/ZY55uqVEjUtClIC
5fin8YzHFl+e5MaO4JfecD+8RYfs1yPqvysX/qLvnC2SCf4pmbJYNWbHBF3/4GBc0sqrp7RbKeKt
mPl6VZxFypwfSVeoMNPrHlc/9tNxkg90rTK/VGbCWMY/R8YOqoHoHfgerYCZystzW9+UW7UyTWJD
bcMWds2jbEL7Lr1XHEjFnvqdsNP/f/vJ5jY0hJSw3lXYT/WNHzdRJJgpFEQzeSWdWPwCvihcAYDA
wMm84WcbCrQob0AmdPSraYMhUvSx6RogdTFmnZlgslCIYPFNgAK/PxoJplMPArZyxefnWH7t8zMR
7X9Xwfh8EZd9QnWsIj8NlUl+KKKZkTvSP2Bq7lPlgRrFxPyK0SvRXpTH4CT/GmVcXtVCVcharAvV
89CU3qc9/aVvag8seK52x38g4VU/Em8n/cBzgivNNYqGhXGw8x+AKfPLs5PbbkyNpsYPoEdoqe8a
S/0tl2YzoJhjAvn+q1sjKL/tLaiIXVqkTd3zcYl9BiWEzm3iGDqsKzfccviCKwqQGgUnEXOUecip
cq0gfOlAdKgvefhY3YNr2Fzt4S8m8fiK/7HEnB8fVEMTNPjE0pdhBzZcV9yWXuCVFnhK/iooI/mC
XBpG91Dlu9y4oJkiXu06BBTRPkq9ORWm9DYcplcjNNW9tht+q50VfBQ2XrokXHuuLN5AZ9aZjzwM
IiJzGjw1yS2IuBR/INamb8PPVDRRZdQfq98NWW3mLD5UQNbzz5qZ7z6uS7HqMfKDOXV0No1wDxlI
qdkmx1HiLT2rTZ2eiLENs9dIfTeiCArRbjBs4/YjDclrSJ6TsT+0VPLoGohoPtmrcHH2yxgfq0C+
VcjlfBr1qyxy4ElyJs0UP0h8CjMr/buX6vlWMK5WxODknoQerhY4UmULuJUra4s2PK5LdHpM4u3L
3I6fjO3fBMZ/V8rWUoRATqYpwEqTapvd1zQElO5Vrd2wf6qF31X2sxeQcumndnXWYDk3PjPNxIqO
MwCUSnD8/Cm4U0+NBTZ3q3QGWzcre9zVprgSORbvmTOD8yVxdpW1hsLHwcCPfqgXgl1xI1CJASet
lG4WM5AzK0wGHotCRsVkwLISrxZNAW8LI93Jqy/deXtu+CjbKFRokaZhN4daMEdsxf5Hzh87QTaT
wJRKdW7LF9xRov3KrTa7/i2zTKBCziPzNMPywJuUWsYhcHWPtmb1etsxly4SYLIhj4KmigpgyeVZ
5UEdJVk7jX5BY0sdN32JrHGNBmbRCOAqAO+B4QqWLo2MEKQlSSPh5S7ujFKAhN9JVNbAMWtGmCgX
FaBTUQIRT1zpJex0k1e3LXm4vVtLng31+n8WwsSrpJT7sBFhQw8eg+Sdg9DbbQNLAfHcAHMcQz0A
JyHAAOardGp10N4pHbXaAigyFgCrrVxIi+tB7QoARzTBAVq8PJikbIROKGCu3HLWGjXE4oGc/XHm
QMZISdIC2qB+6qEl+MatvEC+ENvsFzKDhf7vxzOHMVcjx7HC3xfvcvM0HkfIE5nVKfklnMKn1vqD
/+LePp3FUHpukj0eXdeHVhPwgoyfwQOEwbxg12qV1eWKrTdgiGo+QXdG6GNZ1RgR5MGuWncmDX+s
/I5565ilA4YyLxxFPgNY78tzq4NQbhNNxgeVxblm9YpU/tL1ONol0LkPHTlTVGrGA4+hMiHj88cg
KmWwVySCMG7TWjO8HjjlzObkik9By5brO0Uh475VjC7EmFi5Nse/9HtnTClOC7HmCgOlJ3rGtcPs
1g1gwqTLuY+ignCpGBrUIoES+dokrYFBFo3O0QaqUgA5sQ3PURz5GIzveFH1z+Lwy2i2VSnj3fO7
lB9vn8eCp884cjxBQJmGsYv5fz+78Hpos2RDBkvpKMm2XEWql4h1YeFhYKx4/cKiwN0F1nQQ3uLt
y558KJVcJ/OYqoX2C1+lwHNOe4hyBdwdVfOn28tauIIw7IphEpRKZhgD4+3UqOWgkQMM3vf8Kyqv
GLUyDjMkTyoOfDLZINI43ba4cKcDYgUpwJl1QjJYYuwenSLA2wUeSAYjdPMpNWwd4nbbDhRwDfRN
Nn9hbt5IFJQBm2Xf9hHRSTEQTA8boMyU0CThWnmT8vpnqNVr19PCwQGXNGNZJEDYr1hXYz2HptqQ
Cb5cBCAPrq1onKwUSHZVnp7qdq3ltHR2Aoj0MDACqBBw+pcuWZWRprYYaAeX0uTG1Gub2rBjaFTr
obZrNPJWqcLn93dzJnjBTmKuHAShlyZ7LeT5INd5P/0j5dKfvK0gN/EhiMqfv7CDI8PQiQAsPFvr
beNag6JtJ/g55AlS+gtA9VYwm6ZauRwXvmqEDrx8QQwsAPrKJJiCWCkkbXsQLRbRm2aU7jApNuhP
V5xwqQEP9DDgteBskPAqZY6qaNJGxUCS4ItcOZ0UJW/tHK8wVxiF0dGNXnPo2DafupFwoMntw22v
6GusjwveOUsEz2RY0Je6IlfoxHQMY/QKfR3jqW3au5leunoY3rWG6ETp79snuPTivzDHRBZBjgoZ
8hWCryW8VaIpWWqVLY/vCKFGlm5UXECqHFojUd0IQqTfT7JgHTz/GHHEbKPMPIhGKgQVAR+rXwiF
qQW48qZgMxg6xqXvynKT8fLvjCtXQLALHyTua3DdzLgbCPIwRnVZahrsPryWRE9Q1CWvpJe2HP9U
KJkrqeXK1OnSgSqYawSBBQyCWPryY9QFEgVGj4FdEDvZJMFweVDu4yp18yaEoKoSrBTwl5aHxBUQ
3FlkiGdZbMV0EvkCkuN+GFkTj04oxgHD6q4PwRxd7xMMsNx2ocX1QUYFsDAQsaMLe7m+ltJOLdBz
9oupM2fiY2OvZLGXYyo7F9fIuebNYtItIHL+McYWu9VpGPVKa0S/64H96YUKgCY8avM4ju7bfk1P
kUnK594EtERl5ONAhOEqZOKoAD28uOmz8ESLtvGmpv6TTqH8vTf6bATXOkIbMMYQDWMB8HqVcANn
6NHp6Hi3T2bh51/8ZfHyZHjOENBVwl/mTMFaefOzLKZXP5uJyVoLjk+kRtGJxq9A820V+ci9gcKc
gCfeyCZXkrdK+lRGBxJSS6zvQhGIPtWqdcO9vUrGJb5+CDIicC4CdQn02eyfZykfL+RNk0RNcmrl
xIviLHXqui2tUtKADYjXlLIXrMkaFKwVwEKgVPw1Yn5mjQsEyDPK4sw7P5nAQZlC1Nt85EyZ8+1l
Ib1UVABhAfIE1/flsmgFKdauDpKTrnMAIA2ekU/viZ5aWiiuXK8sMcK8hYoBas55GhGcRSwxgpJn
sg4txuQUJ9H9WP7Ipw3fP3bZph/fFQzpQnY6EY4ixuEnyCpOU7vhudisC48knyqXrSTW7IzOf3+O
jrOcIYV4DTNLJ3kn0Ibv0xNFTrWJm4RIpgH1VLMcop2RGORhHDUADY1QsRKh0AExgMLE0GMABFsZ
WaHS5Jvbp7H0m9C3BvgZtWoEOY15WCDpiCiYsdJTMGS4KIxjqncOxSyN+FTUEji8N0Q16wEvQJ2P
zCCazExdO6Z53WfBb94XQBLxfOKBCcFDao78Z75HRyWLoI6VnQrVR953SP7D2ZXtyIls2y9CYh5e
gSQza7IpV3l6CbntNlMAEQEEw9ffRZ1zbldGokRu9YNbKik3Me9h7bUqKGMdc/vceufOxDYEltvV
93BhivO1WgUrFxySAOCetaP/0mpFReYzidVwRzssoAHusd9DvqeduHFXwYEEzyO4DlbCXWVsuM11
4fCCpoXhTxGH3mkIBYo9auKtnQ5BSNznFsitMTDlsmAI1YnjjzQlZh2ZeSIc5A7z/tw4YAdoQtbO
EZV5xNBpYEDFRPj3kv5CBTsWg4buj0ckrXfOuVqyeptfCA8h5bcC5CHtcTm/bu4wh/QmTWlOPwXE
h0al+OmMidMEPzmT0UxIqM2n2fpbNHFfzTvX59bEr520QOWDz+qKnlHTxsaVbV6nDURGD8Y0z4mT
GXse/Ma16aEwuIYJ5ho0K0e6LO1mNOq+TmtJI5BdnOflZanLT1r9r8YDfyuw0VKJ0ER5l6RW1DK3
XUxn0yaddu6zPQ9960CAVh/FcOCcMRblQBTGMlpmUdSpaDM96kb3J5mGEv3OaO7buXU2TjzcRhTI
MHl4CdQovKILbwfOmnQ+6kUejW5SzafJTUnxPJgftfmF7wFpNwbnA3UFSD+yJxBjU6YPLTrg4uNY
qEqaTlgMUgsDzTrr5uvtoa1eoXKX4blB/wBcf0i/qRuCBW02twDkoa3zpT9bXQRQWRS89sNDKZ4F
eshvm1Oc1PWQXZhTfH4iSm+hc9OkutNWiTdbMh5Y/3cxTxVahgJ0vvh/2gP0X5srHTQYFbGGik1X
dgYxFtgsjb+XgSaOzSJnSSFVv/MwrDeEOpcmThaweEjWwGW4vEEYIbVm065JMwgylkFizIfpFbR0
TV+HOgRPbk+lvbVFEDxhcyA+RVijOPyk8Us7H+s2LemSPViFXRwIAtWPJlBfsb74wFVm+hT3mWkc
UPC0Ey7A4+xp7hw3WTUlttTRx+mYLBaa1SXOoluhy+0gmkoGgNME4lFQCeaxOboOuFzK9l6vO+MU
kBE45Iwha+n2QyJwXyXgRwd3DZursyhZ+dDxwgEdUGG+UmPxIoJJCaFjgEs8y5vnihv0KOopA1mX
+3nUeB9nmpnfVYKyO2iB6R+6BTli7g3DjvewtUAgPMfigBwN+a31Dn73cEPKx6zxxzad7RpAcWI0
CXz+KXK8Ek2bNTUSKTzxGtBhb9+r8f3bJkQQCE8cvWjrRXJpOl8CsGmAIScdAhbaRiQNE7jj84g+
WOdYiTLm+vrcsQRSkOfbG2XjzseLsrLvwS7iX8U00/zF533ZpqPvf2qDz1AJTL31Tt7Z/ltXyXs7
ygNqOoPZOiRvU8ITq3ptPui2hmTCV78GC5D8q98T8l2/Wz1u7+0p+x+MGnZmUNgTxXdfPo/gDQ/u
KtqGDLvn9hRuHTVwhIBqBf2EIC1VNk7rgYGq94Mm5WZhn6VfmCCG8p/mkfZ/37a0OYnIL6PLFwLW
QG9e7hMi65Y2NQZly4d2cqBvj0aXMn/sh5/gfPjS0g9dsBNCqsQHb3sTiiXI+8Dng4SDsnAaEmqG
JTVckHlssHNW5KEvfhT2y2gOoUPLQ1affKdKVmVrAn42ONxl6JwQTINN/Q6qMvCyzSLug4dZp3cu
GrUGJB10/+X21Kjlrf9+J6A3SBshXaVmVPrcD/IywIXHoAoU6hFaUVsRwdHODgAJf+2AYxrCXITo
ovx02/TWqqDT8P8tK64GuOr8gjhVmza9H7EFPY2sipeuOmr+mDDCDzrPPyM7u3OitnY4yIvAOA2f
DSo+yg73eW3kVsna1G+quJN1lDe/i+CnS1/K4Pn2CLeuxnemVAaUgbWNECbm1hGWwNNQRLZBx0ff
nVhkLWj89Rwq7wL0KO8crZ0xqmmXKeisRuta3MlT82lBb8RsPDDO4qn4SveyrJvLCGZ+RFDQDUdV
5fJwVVYzLK4UbZqTImT8Q7ukC1R0/BKMEcXTSB91sXO2VJj52551V6pP+HIgy1PVxhFpmcwdKpYu
hgf6erBPNE5dh4bF7QgatfN9IJ0s9KtFO6L8MZ36PG8THjQzGNQWCHu6xa9lRB98x+3+5BuSnhrC
5MnEE09AWLjj6G49FeimBRoe8HS8k9blBMlAJ6Y/4ZUiUwCaIlrXZ58uYDNutQxMbmKvfLx1r67h
FjKyIKEFiECx5y+MLlrN0ik5T9FOAnYrosN19s+vK6d2oXSyCoJft/wuMcZPVf2NOmdCPjjlh9I8
DiBT8bOY+Ud/r2vijWBMfZuQukYzzFo6QMB+ObCBNcGMQ8TSfmEHUt0jb/Gpt4LILvwDN4dPQ/WL
WTFknSfxzOkQBh8Xej87QLyBH6QA3UQOIfTq1NPxDqp1EWF3oGKpNW/ngrk69SCqs8Ac7eBugXKP
p6y3vpRum5caS0EEfG+gXjSRR18+dKDG4235AmD6LuR8nfSrmfHWYtiqxoFk1+XM5PbUgWF5wszI
TB5zMSHopwYk8sxmAZeZSe9yvHtglp74qXec+cks5/pYWEMAFWdi7u2RdYddfQ4uA7DWeghOVCCO
PXBjqDTGUhvSydw4dTwk2bnx7hotWp4tb47RD1/9vH3Zqvjct1sBdIwoJeMZW9Pol5OADNncL37D
Ur0woN4Xtp1xl/2iOdhyM3DlsqmO+OR/r5qkaqZQ87PHcRyjkS14/bWv2ZIfbJ6dGAhgwFHsQ4fv
9vdt3ZMgu0RbDKJdtLIrn8ccDaRo08DSkY2A4ZlBpHVkDm1IoZ3ROBOEUGOiJyI1+6ANbbeTCVEb
IN9mBysBjDuY1KF2vd4a79z03odct99wlhrAO4JPZqqRcyz9bPgGzpD6YYQsWhZZYmkA1yj8k5Qc
hB+BBICzL0uThTO6ou51u8u+sGaAjjo2lHwAiRQbIwe8/QcNalLfbs/Ypn+P4jHOEvwoiCuuN+u7
b3ZLPQOWQsc+Mue71pkAyicAw8DtHbND/cly73MCmhY7Gpc9MmK1XPqf+QL7IN6Zle1a5bk3aNa1
1WRivr5W9zT08Z8VlXCD/tUY/7GjPJ/oz6q8MoAdt/7tkcfcdwHKf6bs2yL8aO7yQ+CGht89BXue
/vUzgVMCPRYH8dMqRK3cppx2vEHTFEsLH8w1JPTyX/Uug+meEeUt8ifAVZwKr4WZZsBAy5eOPGaQ
S5SCxWV5qumr9c1zHir4mxQNjC2cUG3HW1jDiMvLCNEhCt4orq+4DnUhucPR9DOPeA5tVEBr8Pvo
9LyziNepLESCoF1GDhDICxzuy426yphK6Knx1ADzTmXzkLZ2iEL8uahB48EizZsjrn9uyc7Yrv28
S7vr398dED2vRmaAAC913ftF3E3G0Q6OpRdBIvL2CLfWEVlBqAIYFsg4dOXyqlvL15qs4WnnBIid
8oFEmmPxqO6zPSX5jZOHQeGZx3WIlA+gnJeDEpM2EBN8UGmTiYeit6E704UecEFahueKsxMrtXuT
tGcUSz7eHuZGJQS28XLBw0FMekVtw8ky86mYeRpkLih9GRwNT8/dcKwhRTbZ0cTnNu7cEsRKXUcP
zQSEjT+P3RmycuzM+nYvx3HlTOAtWzWvIC+E0BV5sMvJILjtnHnUeQoJyk+aWz67EiQ4ufezdeZz
Yzcnb9pxXzY8PBBzIaO3IhsRL6vetWNKQvux5ansyoOX11HgsvM8pkijm3yOR7jWKMREldnHzQz0
458SAuDqxQf4K1kg/kF/opIYsIa+LlB9wmZzB3iWgN/k1IXnMCNY21nva9/80pTyKqL7sV0qY8RY
2+X7NJVwFX5nI/2NDuC7xRORsMYH9LlFuj2Du6e+76QdQbED/osO+pTTxPa47rYOGgpFQBOu+qCY
isv1Hioe8MqjPBVLFuoQqkAlVu72KG4NG6I+a/YWisCISS6tVDatpgG5nhT0h8eOmWGnB38zm50M
3h12pnjjblyBGijAYEFBf6w8cDbXrWIaApH6RDtwnUW69FPaAx0CQYhokdpL22pd1PDq0c2T28Y3
7n5Iy4KMBhUG0PCrATiqDq23BI1IA/LSuj9nb8dD2ZhH5HjAAg6wNghOVfgLM/Vm0pdBpDpQriYY
E5dHkz5me63NG5viwoxyCeT2MDDHgBnx1Yrtj8PL7Vna/HkDkKy3VBzK5Ze7QXSzNSzDIlJqjZFO
D3P11hj4L4zA9YTUHSrMgBRfGul0r6CMTyJdQM/A8yIqUYIf9xj9NhYcRdx/rCibjQ8ZyKgGWBGx
He68gZuL/c9vq1UdvZC9i5UQaVnLxKNapFu/ufnDz//NpnpnR/WZMr3gdISdpT/7UBPRgKQKyiOr
9ohXtl67N7AoKC1WQKCautcaENOVrYmjSYF+yJFhhgCmrMNCS2yEz+gyXPsqj/A+81cp90Rgt+dz
JRL/j3Vl29GiqUZOYX1epsiykGIEmtyXWpxBKuL25luXXfEBnbd3HcxUSBmpwU8z2QVpO9ph87l6
YnGNHjVTTicbcBM6GiwUhanHFXKDj66RTYfb1rfOF4iWgY6FnC9gButEvPPSmOcBAWg2XTqLZzKL
hMoyXOZ2x8rWu40QCZCuFU0KUIPio2lG0w2my7qUFyAFYlwmrQVhB91Dtzt0FzINPWenOefnwB3i
crESx9FOt0e6AZwCxAGy5R4gwfBXPOWUmx4YJwxfdGnjZN+Y/+gQD8VP/TBDJNT170HgErJGi53R
DE0PTYjc4A/aAvJbkSXSeTHyvWTM5twjwIHL6kKk1FcOU05cv52yoUsLYHsgmigpqH6WnYTHOqqr
7fXOiDLzGSQMLc2QXappIBFGu7M/P1nih589G/rZ2ANP7Q1JcRH8vDQ1CsxeqvUstMYBuipuWpvt
3qHZOp9rbPi/qVPdMKprJXzxLu1JaDcvgb+Evfm12b2G1tfrevZ8YAGQK4LkkPK6SZ3Z+YCe8RRR
UtgP5iHLz5zQsDPsAyjqbu/Q7UH9Y0zZoEXdQrsjg7HG/R0E3zL/FVVrC8nj22a2Lpy1WG1b8LJW
BPnlkZ84FGu9ae5TjvhIb35K56sEVHCcjnr1Ymb3Vfv1tsHr078CLNdECdieIfOuhvOFJRfTybQW
XjuPirGJO4eHPMhX4oJAP1UP5cCPDjQ7HCBthp049GpLrsbdAMpKIFFAn5AyXH/OsgJNWCylwSsc
uhKETJ00/3ROkVc1MZWBAXfSuhK6zvrZ0RfXRcJieAbP8XlwE48cDe3eojLO95CrG0O6sKZ4ErTS
BvDiOQw4vdQgQzTaRcjNZS8A2TSDYCdY+6uAt1FmzmsCUpLAZynXkIfxRpdH1ON3U6ZrIWIwEKNb
pX3IEWiearSRHE3NRHMFHaxEzKAnlhoPkeIZ43yttt/eUpufBjTZGvWvnTLKUQm431W5JCzNI7v6
JZYXd49W/+rkryv6zoIyxzNFp5hVwkJXIJ5kTWLhvqROOHb6o7XbFb9O5cU9c2lN9d8G7mRi6GCN
shzlA/1sl1Ch8oOoav1HvZWhQHaxL/MQtwP3jNPt2bzyTBXrykKjL21BA6zHUkcjbZi7C4kKj+3B
BdY1UccI6NaqN4bcpeGsa/rO1QANLfUlwRj9+riwU+mcpDaCJKtG6W+vq/46PYsh4ZmHyKILtwPJ
xEtjFpshJz1VPHVm907k/JcnPvHROLAqKrNYeMahm8d+rbkdeGmmt+fzOk20Wl/14qHUjRBPRWA0
M7ofaoEJze08NNvf9mDHrd2/5E6bTqX2KD37Lh+zZ8Dqdw7G1RvyZhlVhlW5+5rNb2nb2nCqjKc9
14990yXaD9EFR2kW59tj3DqBANUYEIWA/gRa4y4nuMzFTBeBRIhOxRBn3Lei3BeASaCauDOm6+2J
sxXg8UX5BK0OanVCDrO00UbPU7rQJZo8DuFRt7d3BrRnxbocUNtojuwLl6eTiV7CkPP49oRtbEmk
J1Fz88HuBNDRG9rh3f7XKHXxvnk8zV/AGQ8Nbj8c6bEIPsy5FbkkmXji1yB++nzb7psM7eW5g11s
xJXJEjJVnnKTTb3tlUZXIJYRJrAyOdxeZ4LDVOgQH6uoYaIa7ZYRraoxHsFyjGZ+fz6hMQLegaSv
AO5q4AER7Nmy8+kgGv1laUpxmtnQRqM+1kmt8YQTHV6RrT+3dpY/VrNnHTxEioeR2DIphG+Emqft
cR+uX349MhxwFFzda+zMsnDpWzRHCsUSh1LkB9OwkraPAYnr46EHq7057ClNXd9i62z+z+YVLb9F
xgAbPxOp9qV+rb4Hn4ewRsyw409sbUYU5EF3HWBwCFkuN6ODJofKrxnSHksAaLsODYh+0flObPCW
sVMncNXaQVcyaOB99ZbUGtFSYDEEuAjQtUS/THMXAY1tAG2D5NGxZ2XsalAT8MZYz9ooy5anfCnD
ftQiv/gJenzsFSOs24gh21vRD2w8o6vgqDH+9fYmvr7WULWGBwL3EbCYK9RqZdUMpf1apHX1CUwN
2SuxPlLjw20j108+jMAjQZnEh6S4KvIJuMK0BD4ycib5yPvloSxkNOT2HTLOcZDviGJe358wBoZw
INBX8gkVCdGQoFmmSiA9B0Vls+InvSRwrfakhjfNoEyIptS1+KMWR/IeB9TsdJH2hd/FS+sXKPhY
+glN8ntCXpvThzgWtXVgLZGwu9yzwiICZQhDpJ15VwR6PDWnfKQhzb5k/c7kbR18VHzQBu17ayFG
cSWKgvOsnD2RDoX2qwY0bCXJHUNdANphIFOusy86VFJub49Noyj+oAkJyGl0jF2Or13aDC0OyAl5
w5EQ0NjIIixejDay4MPU3rEaft02eI0lQq4EL+t/LUKM4tKivkBgUWtcbMijcaZa/MWK7GROqhiS
BnEbTZEI+4M4Wp/8iBxu295azPemFZeQjG7P6kXDYmpE++QE/Edu9DET4C7w6rE51Jnl7xS4Nk0G
SIKt9x1y4spohcezplzzM7w62weKK7w30JNxzOo9EfEN/wy+4coNixOIkFDdP3YRGCgbIikyT9+h
PWRHpZ2YFej0nHPuOwnXnwPh7HgxKnMGrhQYRakMvh/uF7g0l6vJsg5FtCLvUge0V9/5a/s6v5Yf
CGhHvMMUzV9NLfbk+fYybr0jAE8i+oXj7SFRf2nTz83eMlrepUBdAGzTx8bw7baFrVPh4soEfwBS
58BDXFqoRdY2tjF1cHWfy+b71J0oeiOC/GA01gEyEVBX20sybT3B6BMHiglW4dmsG+mdI+VrVWnP
wkLeLHMgLl62w9F4poGIvcz6jJBxZ+H2zClvcZfRwSPE7lK9m0MCVWbJzUSvmh/CejTMe+ja7Dz+
mwZRWl01iNb+bMUgzVpPG5jRoSrlLEnmVz68Nr86Vk1Tn4Jx6g9tj7oYqaDYdXsxt14LeIhroga1
VQTXysyCzrgDURJmthtWhzTvkswr67jNdtkZtnbm2nQFRWQ4IK6KRJM5n2ZBij6lc8sPYEYB/X2G
V+P2gLb8hvdW1q94t1UsYzEqHcxfqUtJWJTOwc6fs+wVwi07a7ZpCI/siu1aWafXv78z5PbSCXoy
9KnQeWRqeWzJ18L40gd7hjbmDSRF4MdEwyi2v+rNFywQVe/lMjXrcjno1dA8eSSr/jhpBvkcoBgh
wwhElv/WivJuONDCGPNM0j7FPf8KDFC65EWiO/nOk7qx35CUW5vgTFC5IJ97OWs1hUqwxbw+lUUT
oqweYtYssMDd3gQbDwswwOi0hX4MNoPaQip1m8xBUQ9p7uZmpA1NGbGx+y0Br0xqNCGCPcbdo5Xa
HBkSZ/De1vRUoNxRVVmbBqRaYLP4q88/WPWTVny+PayNLYdHBLVdH51cK5D/cvJm5naTD8Bb2uko
hNHRMWONAT86VJ4Td4Ck7Uzjxs6zAPJAuI9qrAPl50t7gA8Fs5k7Q9p0AU/m3l3OOmvNw+1RbS0W
zpAD3Nfah6zKzzhk8YhbjQOyREtkEPHQLk5kPRscZBx0j8xsKyZf6ZFchLVAZ6Jb7HJMHWh98qxw
Rmg2GdNT3oPEKtCEmaIbExJliGejnAcj6Mc0M6F6Yd5J05WJqFpz56LaGjZqUuhwhvODI6GcBG6X
qHN75ZgavdscbQ24eGFMsds3L6ZbfZixvXeetY2sPCB2yMWh1Rs9ZabavRZ0rOsCW5OpuxR4O4FQ
jQUo+pOAVT1qnax9GvpGj+FbaE94b9h9nYEgZNTRNKJ7WrXzORt+xMXXKE+PhmTSJEdXplOvs9hq
SX+QbgAJ+Dpo4qmyirsBzNVQQuyGO0Nme8iijTcXqCI4E8Bbo1lLfXMD3hdtXddj2uCh9YT/3ese
IXkfLf3vhS+nnIAw9PZG3xzwO4vr399dsWjEDDIfSFe0H3fHVn7jrxURp7WTygon72HOv9y2t3Fd
IO2K7mtkBVHpVR/cFh0HDXHbKV2CH0aTjsGbphvKgTvj2rj5QEiH7CNadjZ67ixPOo4ogyktF54M
YK5BVe6uMb7eHs2GFZRywaYISDlyg2pc6wN3J6g5zqlwvAdLQ69xZtOD1nfBzn20cevhtbWRIgGD
jIfI73KZ9LHPlkYOS1pKF+KFrdeBcMzkO47XtZUVahBg9+HVxb/KPcTdcebB4MhUK1oANEVo78HJ
ricMFoCnRfCK1hTkMi7HwfNMyzKC7dbN/BBwdEZ4XhlpfE9FfONKXQ3BBwKsAL6drhiq4JZKY+rH
VJ8fNSt/4G375C7l81roM0O2fGvyv8n4cxj3ZLCuNziqVGscAilsJM7U+NEuqGkT2k3p9LMIDhKo
pyE2rJ1HcGsa126iVUACC+Yop9bKZG6grXZKxczj2u/RxNxGvf/79u7e2A4A4qNIAhkAsByqOh+d
1Ewvy7ol1bMPjEFFafnrtoHr6w5bAZ0q+HWwsSHMuNwNhpSlcJtMT4XXjgdW6jZyKO70Eei+uKl1
GTNwyx6m0amf/9ywj6wmojeg7vDwXBr2Oseg1VLogPr7oZgTsGm7iwaeyKiQwCbQfuf4bqwX6r9Y
KfTDItOpdoAVPqlGW+ZLyqch1MeTW8lwmo+3B3X9eCMZBTgoGn0Ra+OGvRxUhRQV7oR6Sdv5VHd/
5ZYdVfqHNaXvtDumNjb5SqEFt8/ysMlV/foZ2g2jFYgFnRp+MlH5vIxuPPbO0dOW8+1RbWxCG6Jy
SD9jAl3bVlwS5IOFX+hST6GoGUTeoOexEJztvPsbC4T6HNqkcWYR1F/1v3rUAChq0tOsHqOGpkvG
I6/cmbV1O1/muVcEvAkfBxUQD7VsZYEKofWgX9ZTXh/m5YNW+VEBdu3cPlqWjPqaHEz9x+3Z21go
kJy5OLwr7gmZnUuTwIKTqnI0PR0mJ0/Krq4irRyXsAKVbV8F+s5ibWxBlFR1BIRAIOD6Vc4VMbht
c5cbaf0knCbinpcQUNkBzzQ1e0wfW7ZAxgOF9jUcMFVQDAhtA9YR10iRiS+KKe6mIiqq/AMz78dP
t2fxmjcGhB8gOzAALw9QzH1TEX/nJVmzMZSCdmbKIEJKpsdcyw50FKEr6JHpf80dJMMzEMQYid20
j1SSg543h2Vk5yE3nlgmE50EX25/1Mbl+f6bbGU3DQ6aZ9uJmWnFisNSxBNJNPcOvJm1/zrY/c4B
2UhWruk1ZNeQNMTqqj2aU+4vKOtWeqq5J5rVIbFeCkHjmSde/VRpryjyolMzuT3GjcOP5wHsqrjU
VhT2emzfzXvRChs0v42R9vWch6MnJ7TMkj09q42ddGFlPUTvrHi1Lb2lK410HVfroHPL6MNGLFFm
zqFV7hC+bVlDQh3zaCLyATHJpbUaKa+84tJIOwNK5iwyySPagidwTXY7O2Tj8K9xFURNkXiFF6TM
nulUTAdBsZGCqPPglLIKc17KcLABYW3oXjp7Yz8idWLitgFd7MrMfTku7ozN6MzESIOxi4mbPYGv
o3ReDPnd0LJHbUxvb42NwBH+I3qKoCmMziV4XJf2RuFVtKFATZhIqHH5srS/raaPGkjtOs5harXE
J38NbfUQVMGDJNNxx/7GbQ7/FYlcPLbwmNUno/R66voZx/mrf81l9mU2/YTX+lnr3TvmWeEMGFIl
rCM8p6Q09B/Qc48yV555m3qe9lok+QN7Rsf57c+67vHEtYs5Wdm0oJ6G9b+cloHKmnMPyYO2F7FF
YdP+KPwUIsTU/1ZC2xCpfx+FqurvIQgztE4IwLTpq2RL2Ol/F6MNjkgWk2Dvw7YuEHwYQL6AFkIF
Wl0vyFA7GSBjmC8EL7PIwjKb47JgoecNh5UnfrZB8ELnYzfYO2u1cY1Apg7wG/h8cMtVrKHBR2r3
/mimwwBVeqlJUDZb2l6VY+u4oSELpFAge1mbSC9nfhwdowF8yUxt/nkay9iByL0AFAA03ofbi7xx
hay/D2A4sGHXd3FXQrndt2ozbSBiWdVZDLQLqH6ysAD5DvP/lTV4yT4krwMEu5fjqrPJAt8JFq4u
fS/hDsKaDK2wyTRpfjghZfFbG/Pmzz0Jz0XoAe5DAIiQar40WrhulXvebAJU8dlpvBjwaMiCP479
cHSbvazPNcUHDg2WbHWf13hHpSKxRT70GXHN1NCWQwti7QEcMm5mHRZ9jkGkEBGXndziKSt+BKy8
G8ZfzDiNFihI5nHnAG/tIiRGQE2A+BvNp8psT+5o8MVczNSfz0H3ZZQvpfdpbk63d9CmFRspCw9N
+HhxlOk15Bx4U6+ZqV7Sj4acHi1Rt0fH7/8igbsHVrnGvGN6184mUO6hLnHVsjW7Zd1WuLHSukPm
WxwhawNEeOJ01d2kd5+y4rmRP1lw6AeoiAX6waR9TGsP/+/FHt/r1NwYO06ovUYTOlIDlvJwLM04
gYeX2mlbH4MJ0lDo53CmF/BY3Z7j6+YR4MTeG1ImOSOO1VDo2aetfa+NQKhkVTwPGsQspwerqT7N
/jN4TQR0CszgAPDj57rTdsiO1ydeCTlA4gJHA+8yohs18Cw9uTDQKdjp0pDsUPStPJFS6BH067Pk
9nA3Ltn3plTwqCGqQuflZKd1qz9oE32pwKJ428TWyq29KcD7Ab6JuFO5FGywotaFbad60zvPnYkS
bz222nma5jGx96sAW/awhMgkISpEf6lir6mhfzji9KRybg7C6WPXe2WOHWf9TqFra+7eG1o/5J0H
agx6VeI+wNxxMMQ0RTj6O+7S1kbAUQdWEjccmgjWL3hnwR8ElZPZOSmKQTz/GHiATe8Al7aOOQoA
/9hQpmueO+bptXBgYDrMLMq7c6BV9wbpklk/MxNY4oU9BTQepo+BI+8G8YENr6OeCDS9/PlOef8p
yoTqsy+LGugJvJD00JpdtE5qEbBDsPfqb04sHik48jYyWGrKfna6GTEjJpZScIE1IIJ6NcudvOyW
r4tE9kqRjhoJuCmUKytwOQcBgOekpO4pDSujg5/JHKQ2PSHjlljZg2nIZ2nXHgXavThbBC0p7eCx
B9/O99oMto4Fqn04hKi/rUKvl3vJCRqrbSRx0mk4NsO97B6c190Nu2dEeQfBXEdmDrrDtDXt0Fvu
Sf6RkjL6d+v3bjBKyqIYgLHTZeCkomJhXX63wZgotR1vZnOTvDOiJLGQSauLSmDG3PpoTqcif5bV
Tli5dYW8XxTlgLdD1mS5wDgwV539c/T3KHS2FgQrDvp1cEWjW1l5zUgAiI0eCDfNg5/CWAAH/bZY
A6LW3398dFFIebveQZyJ1PDl7iIgy5KF3cBODuqqrmmgIh4QcWirgkNbhe+Nayu5s2ZLUYtCqyeQ
fMoO8FjXixIKNemofzO7KrS9J2+8b7rmiUIR3gUZbjW7Hwv3WLph7Xgnvz/LV8hCFcOh2SN53pjk
ABTcb94JlF7UFOFgt0vZgPMtJYje6vZZEwTKRdB62ev12NguF4aU4zWIwWfwurFdXKguFNAkav/c
9cBGQdIGGCJk2tUSeoUCvr6QdR1NCDOXSKsDc0ae/8VmeWdE2fXOiifNM+6mAnLF3oNX34M6Zfzj
7nKQCQNTg4wtquJApChWwJDc+4QN7np8UaYPcX7BXb7zZG2VrAACQBSio+ICSPca9b17oiXrc2dG
riPltJwfRoe8auAviyUH2MujjQ4O/QA0g4iW2NmQvn+slgpk48Bk7YlzblxXiCshIgE0DEDZnnIE
LaB151ZSLzWCV8+BzJCb8N1C2aYRJMMBgdRXAqP17++GOxfjNHKv95ByP4PvyTLvSffxz3cHGg7+
34Q6jiFjldHCRGAhw5YbPwb2daDofTF2IOxbx/a9IWXpciOf0EzDvdQS36rcjxf5mg2pHPbKwHt2
VD9AI+jqGAbY6c7L6Hyqs/mJFcXfUt9xSPcWR7nsncanUpDWw45Ha+sUdrkf5vnv28uzY0T1I4px
pMRomZeWOkrNaD+WxV1N4ttG1im5jICQ+0QBGAEQSjjYzpfbzBt64tI5QFrSc/QD7j0zcqvZOoh2
CaICXRt5keWn3O/38qHKDYv3BOmSlVVDR8keHBvKs5K71KywJ8z7hnkVUGukTbK8X3aGt23F0xGf
4GpCouRyeHrVkcGrhHnfjf10NAv3t9sUu/IHykr9ZyxgzVstoB3eVPb3VJXL0NsDRF4EIDmh6Mvl
Y6OL+aMN+M4Bio/Qqa2dQ8agD8BIVz1oLR3DcgI2MJ8g6YUr2rpj6E0NIUy1B5pR447/fh0ocXwk
cAIA3S7nwC+mRXBzNO9zMMIKzwzNPDhWbnAejSau6T1x6h9DMdx3aHPwjw33kPf8LOqjD8XQ1tvx
1ZXc3NvHAHKAjQYhOlRilZOjaXpZg8cOmkZZNHQ/AtAiifZIZkhfVzumttYelBQAcuOFRVVGGXee
LU4HaL5x32nOcAKpFqgaqonthHVv7TfvTtDbiJAXW3vekAQE69Tl9NJGsFoOGbZYTc1Tu5j2aSS5
PDkTprfwG/15gQhi3PrZl5ZgnZ181I9Ijp1tUr2AcmA4D/44oRsX7Y5Gz3kymUsWiVGijwC/HJaC
dCEoaLTY76mZzCMBgRRB4d/3Wy0OrMU9SYc5YdNwI0bTz2fHqupzLg2CadW/dsNkJ9VQ54c/ujje
hg3wEFhf4BmivKicX+61lRwX27znpMxPg6+Te5ux6qed/x9p57XjOLJs7SciQG9uSZkqSdVV7Xv6
hmhL7z2f/nzZG//ZJYq/iJ4zF4MBaqBgusjIiBVrNf8MWW8/mEpt78a01jbc4sJj/cewRQcLtWjx
wlrsoDBxtKINHPU8S+ah9ss3eZgfyqZ+tuTpQQvg+UuVjQLn2k4iliAfiPAZEcjifSJFXT2Geqqd
QzLObhCdxgaatvvzuYxv/owLJCpJIjIQCm1H1/uoggAfV8093+XHqTlUx/BT849DB6DvIvb9fVNT
dZl/uzG4GFXbykqn+hiMtdENsr3yXYJE75v5nh5/7VvwEmi7jlfyYWOc4meX58WhJg09mwgYlxlc
vUwspe4tytD+Sx/u0mdomy69fkDTRHljHOnVe6EFYsPo2gpCbkCgSjSs4AuvJ7fJdYjzKRicm67z
QOTH0Q5IjSF/hmV4PNHnCXtm8SmmZz6Nf9Mxt2FeXDM3Y+b24eUCvIuA7tr8WPgIjw2+epagfT9m
sV5/9tPKmj3dJrzLinI49LI572dbaX7UgWjVDKziVAS6vaOt530uKXCmKW2yH6K8vjT1+P7+F67d
YPQHow+lAfDAj11/YORItKVKsXZWSnt+V2RNt1c1ACuFRvfrfVNr5/e/pm4a+JJpyh0tDbTzrO1N
ZDtM/dFRfbdLi0eCgotabK29ODg3k/+/Y6Mr7HpsA8/TWk0YW6eXp6nqn6ZMPiBw8IYuw0OM/CmQ
CEVLgQdMXjhUXp1/+xcjFiV0yNHJzy6fehQiQVtqkYaqrF24bdV8KWV5p1rz19IExRvPwTGPtshX
1q59izcy0lUEvTDXL+4lU/ZHKYiRuYy0UzLaR98IPH1S3zjzz/Zz8LZqtZ02PgVWeaYmsZv5kMoa
jhMETtvHb2V7cd65hAU/CzxKiwDJDxw/D2dERa0sO0TGB7+RzlVketE+7d9MneyqpXySy+fAfKiz
d2buvwT2V4rzG1fHSvBB1AlZFGtA6/2yxyC0gibV9EE5+8UbVhr344M0QkAo+JU40da+Wzn0WKMR
FsAPfscRf3/1ggMDVg2lL7Qq4d8ylPGQ5dPRLpPPA8od6kASstxFbUoTXYfQ4dmyAlB9wduxbl6i
vN1Lm1Lta1cMUkr/AVepotZ0/UX9ZIZZISEoSf/Lp1n9GOq+66fZe6fP9saUuvVoB64TjI+t9lnN
lQ0vuDb7sNwJAWKBjFvKNXSJacL2QDzWS9Ihm05Kk+xzek+n4ZOyRZwvgoDFmSdf9f9sgY27HqlW
FzxZamwpzWn61ObuoLvOZ/NitieKwPeP97JnUFykiAATWVuC/4DG2mtjMUtvp2WinnWtd6kdeo4a
uOHPt3H9oZAydzCDJ7OdvKkNvbrfV/7bSU+9+9+wcr/ROEh8oEBSK4hHrz8BQq440TuHAxbY7Y52
VN9zrHSrhrVsRf8zUkNwdpCCFGHK4h5T9TGS7SDi0dZDnBN8p6j2QUNB3KzJQmrhqRjrc+/v+jZ5
lMlE0n9bdfOhLMvf6MMdHTxQOgBDC36SIPfGOXtUyvDYV/JjHOgbx+/2mhFBFMIgNOeBpV/ibVK9
pCSRNAiL1t3Aq2tfBR+jdt+g1uTvosD6dX8BVswRi5L/BQYmJKIWe0AzY0mpRx5ZoNkcb5icyq2N
hxrFjainK6StJy7wYUtvcSWGw5tSY3Dwrqz6MjJVnDDH1dHgmAYO6dbvmV96mbNzjPip606m9Sme
f6TVTz3YK5mWuUm7Jff1//kCAa2l3+iWH81GvhW1nkk9oxode80Mq27pXzrZ/z3Z3zPldyjF74PB
eLSk5pcfqdzzudeP/cYZvD3vYh5ENwNoWOhuxfl45WvHMM0DGhHUs/mRHPQeVgx1yg5drHqdYzxU
ydtp6/2z4kyvTS5cDKwMQdZnPIAMqet2UaIB9Ztn7Z3axsPenqxsp6Pr9rPRu+xQp1oKgjWyXXpG
5Yf7W+/2cr3+kMU9U8S2GeHU1bMjxRJw47B6mZw5Peh1L7+9b2rFAWDL4pUjIkUqv4tBmxLCzgVA
kXMd6odY16Fy1qNPsbODZRg6+ufIeWtosKaM+9IvPLOAKcWdP7Um1CnP2Xiwxx+W0BLxaAfmwe8W
9qZg4O2te/2Fi9kIgjBp61ZF4Lfwf+qIcgbtQXN6tKld+ABOZfoe5NAhkj+jJZhlF8K/QHkT8c7q
lP39yVpCuvCW15+yuG7nGrzQzGSeO8uz3vfTQZE9tJSHnu5rL0PgK95ISy65CP5j0RHAoD+Nodpi
ecIydVqggOpZ1hpYm4Znc3Dn4VKXthsbyqNq/6xiOHqLI5h3VKQPtfJhiqpjG1qEpYcpOHeJZwcb
X7XktvnzVURcADpFFoaqyfXhrNSyKmh61Hh89ekHdYqafR70qKFN81Pta9LzbMSR20KO8S7uGwcH
lsv7oFWgTaNeCwnIP6QpYfeAitGrijDdRY7dP4RO843/6ezwbH4BIvtFaa3k1FIKeFskakZfXNrt
RqBonj5n02PfNcq/cDqgkNCxpdMXyuXFbSiufLOnC0SkQIbeJT84vS0UB0JvvZC8wjZfNCdAZ7eQ
Fcel42pLAHHtzoGNFNs8bEmhLvaXEH5QtRn7Zq/vqtoLNdO1y8gNcyQx0Vt1smAjhFuKQIilpKlG
dISznCQjFnGGaUmWX4W5ds7MrnPzXq7fj71d7LooDX8ARJsumt6jQxU1Sf5gFLB8l7N2CRKlflDT
aKI3IXC+DWWreAEctb8cCJ3cPK3Ci1T52sb5W/EEXP1kbVCtYO8sOQVRik/jSum1sxzMx0pXe/C9
nQq6Iuk8NfKHv0430kPA7oaeGHZBouzrXZ6PvRJ3bQ+Wqf2iwvVXVH+/3XAYCG5D4iAwN4vl7qOg
1oN00M9+3rhxUe0qG0kJqm6R70F/8JAm7hZEWvzkdRgtpEZES53Q5QPlcz2mIit6q2xj/TxD0fGQ
aXL8lHa1hiisrXhyF8d7yn7l4e/9Jle5SoOnRfKWGsG1VRMn1uppZJzrufhiBvpjpYUf/Mh5mLvu
uerPQTAemzk66f4W0GjlRPFOlckZw5LBkV5s79HJncrobf3s1Krz2OpIusT0aAOLGc1DlEgwsyKh
+quGaWtjcYUPXMy0uFZpDhGYd57K12P2LbOzfV6sZ/Q23QQZ+rD6VE8b1/ftKwEiI14pcIyJbOYf
faRXUZJdKiSiqGOck1pCP26C0c+Rqq3uu7VJ1NAuhf2fTQNVzPVQxkwq4ngyjLPc9udB1zwr/Db6
j2EQ7svJJ1U7v9/YMGJylpPHm5K8Gm9LUECL6K+XFLNrS9s4j8EueCeKLPgd2YUAv53cKvPqr7+z
Le6AlaNBBESLvej+E2+M61FyKzR0mGTm2Yk+5hlUI8do7o9TkHl5Mm7UGNZskboEPyWkyCm0X9tC
dCnoKCKZZ6tD8duU9kqleI4tHbU8g8Xly8Z0intrMZ1/4jvayUhG04l6ba5Tmkpq4dw+t9KTPp+M
dp9Hx6LQYElMqNraF8ruIFa9+2Zvtw1lSGYUlXWAOmSIr63WlR1R4Petc+YP+yBXeq83eC84Jrze
47AztQx4Uz1uwVBvzwRmBTEDYRPEe0vewsYJ54L3qn1Wa9SjSyV+qJM4eLw/tiWCmnvz2srCsUyS
rsqFnkNgXYVftCBxZyV6xyHc+XZx0Bp/V0nVy/BZo2/KCc8NZH59+LOPo3251Zhxu5f4Enw6GSlI
L8iJX0+zJVWxJMNyfy4reZ9FT6S8y6lzwU5QhtxYUuGorzfSta1FqcZ3mqo3uSvOeRi/zDY4F9/c
azDQpfOW01kJtoUtAX8V9wZ5t+txpeOgV0aNJLkiplTqo29R0ozoUKIJ2QV14uVFrZ6CzESiD0qL
J7NKhs/3V3ltK2mEYWS3kCQF03P9CWNSTH4/NPZZCnvbldt2cLVS3+rWWB2pwJ7AxMCNTOrp2kwz
BLo85519DuL3Y1m6YWa4qfacVTkdutkx9is8n03vyI/7w1tbTZI+JNPIN9wqyai0l3VlwAwXVVaB
rxjHtxBhP1nhCNmuOWw1S66Zo6+Qvgr61EkZLrxQIjVO3iez/edGlKTnof4ahTxelK0kytqyvTa0
uHqdUSumqprQQc5KYHtvY3tLg2fLwmLFjCiaOjBDNvJnZ9X5NG0x9Ky5TspKUA1REwWEIOy/utfH
bqh1qZXt8yjNrv+zf9s9azPEkAfA2Pf3wG2eRRBBCdw+G4Frb7EoeZYY2dhJ9tkp/vFzl0i6C3bp
tPcQxBuMDdjQ2rSxxYnE8J4UmhfuI7JrJo0usnOW+K2nF37tlUq1RbFyG3kJhkKdOBdCO8HYdD15
aHIg91E31jmXPha0uE8I6qbTxlC2jCzmrUwcH2aa1jrHagizueyWytP/2chyI2tdLnB4jCQNPLV8
A4huF20BOFZGQqjFC5Ddxot+CXdwFJ7u6hTK5ykKHkAonaMq8Sq93thoK1v6D0c7HT48eW5C1Vql
XyySMvlsRtEObO1zGVwSfVen+uc5RRG9GTfwmCvuBuY/uu+guRIw/UXUOuVzNuOx5XNpHU3jg+UV
mlBN2ciFrM2e6Ik0SZ7BOr182uRyMHZTNstnYuf+wY7SXSLl1gF8nHv/oK4ZAvYC8Qr9l2TsFteh
FUiy3KrMX2wUX2tI4fPQeenr4fgvzAiiTXTdxMNl4XkoeJpq4WNGS+Akt57C+H1nfLxvY20rcO9A
dAbbHg/6hY2wTBB4cBr5nFWti/pJ3vf7vvzV558Fs8fGgFbCIxwb4iOCA5IQabENch5FNnVQ+Ry8
af2ntip2lWmSrDttKR6sODfI+6gOCrdDPkXsx1c+O1aDWaZJVj5L5nfd/z0Uf52OgC341e+Lgb76
/UZREz0c+P15emMX3/7d7xNniYQQYfsy+aWNSpyaFcjKzq4anGacuIlTP9xf+rVdTH5LcJfT7Iec
3vUgKiML65LuYOQufqWoBY6gN5R8I65ZXfJXRha+2TcUCTiPykj6aO/4/TP7ODDCb5r8tRi2Mmhr
bub1iBY+Wm2CIOlbWT63fXPU1G85jCeJmewMaWMjr50aXDRt7YYQ87AX+0ubTB0yJAwBxS9cv/k0
zu90TJqHbCt3sbqV8TLcCiR35SX9g98GPFwbB1/dUBGcXRP52/v7YG3WDFj6IG7kpUZ+7Xof6Mag
IELOZs6z7Jva6u/kqTqhUZkGW9juVUt4aHKbgJPwAdeWQsmYrZDC59nUDpnuGhXPUbfY1PJdWx3h
nSnHQ8NFYerajA12LsyIfM4Gbebdm1bZS+SIlR6xIzDrwxZt/to5ohoO9pO3NdSXC69WQvxRaKQQ
zpYvPcdUqvl/6Bj55/4qLfuwxCtXAHq5bQgNwRcsPHUWAyMyrEhU+KunPIB4JDEm9HbtQ2ucTKdz
2yhwlbp71xbBZUTyblP5cW1ekelz4JEBWUTS93pefTVwolpJlPPUtq7efSrsFyfB1HSszV2Rvr0/
4C1ri80ym6UJgUwGwjQL3Vov900g0/5gIQJ5mKVpX7XalszCmrMiJQNNuMjMAGW7HqCcJ2mttAZh
in/UI+Qmh/6oOr+gX/F6ffz+9+ODuZIH9R+61CWZNv2qSa8nQIiGkmUcnXNHDsYWvASVCwbTNQCl
37e4OjxBASrg6ACmFiG/GQeaMhZsVIhTXTVLYOKoXC17IOtMkLmFmlg7FkB28ZBclESzi/WzzXim
VNgo5zJ6V5onqEaMLTqTlTIx4cQrG4uTns1R4RgJdaqRyB+8F8dPh4vsw6Aou0lXEcZ6oB7WRz/a
7l/MpYj9iGcMZE6WNzQ3aqc2Q62INB7afPAD/xhQQYVYi3DzcH/d1mYS4n8aCMgOiIfh9bZUwl7r
pgBbCGwjjWN8Qijca5u/5Mf742CAOpAcVCE2ugmaRP/dlCgdRb/irda58DWhzrFFdrV2BbAZqFSC
aiYhKPboq8iJPGQlEYgq5wGWqyE5BtLk1vbLPG68CVeuTcQCBXcXyXgoDRZ7PUdpT9LFW2CEbM0d
Kdc9qEWzRdW6MhrhJkSyiIwRLR7Xo5l1ZRoLdCLOdpeN+0DTm702Ky7knLvALqUNj7iyD3jbkFxE
GVWwLC92ezEUhhYOxFJ6/D62nubmXTkf/3qrYUKQPeIEKTMsDq3Pg6nzO27oFDiZIMR7yqemhwK2
2Vif9bH819BiLCPqVWXFYM9m+buLzmX4djI2gvRVE1RiRNJQJ7xdXJgtNW81EmOZ5hySzxP3l5tv
TdjqPoPxDuIVygdgdK53QCZFUhQOoXLWFL99yuihe6Rq+vn+qqxuM57pVAxwA/QTXRsZ6G8xEqVU
zimUVLvSN2BS0w3/oZ3D5mfkAK29b2/Nr4po06at588jamFwbpzBKLpcOctz1T0OCCfudKOKPVI9
MrkiKdxbUWYclaRio/cxbRWKWu4Qs9pCQK2NXOSbZTJj0Nsst3zrRMQ8UkzIUcRuoD41jv+pz5Fk
6d5tDFkEL4t0Ok8HZHRAT4IrNRbBjTqgb5pPlXKeD/Vlbk4tspepe0w+EDJuiXcIt3BjS7xMRVEb
PMliZ46UDnprwBbIL9coH/yJACNRXKssD7r+8f7IVuIogSgAvUjjtEoB9nrzlMEwQXTCWhbZOcvP
kg0k1/w6d+XO1j51W1wP69YobuHdVbCB4u+v/LtCyboKa4ZWcwNn+5GKpKf/rOqdYrr3x7W2Nbik
/tfS4uS1bYzzz7DUC2Wl72X2dTAGz8z/hRd5ZWYZ9KaDE8XSQNDU2J97s/bk8FvmbDh28anL/fDa
xsLrBuMwJE0v9oNrH4vy2Fn7N+3sdT+HdGM0azuPkBOtW9rbOVSL5UHcp+rhRiGU0Ep1Zzdzvtet
qH4kRO28PCuD57kNt27Jm+GBkSTaBDsLloZ64GK7N1EsWzEYiLM6z67qB49D0H9pu8PoOI+9XrrR
/HNIwk/3t8eN9yfNJNwyMQaQOUD61xtRriO9r3tVOktZ8SxVj7GcvXOMZoP54LZeJMyAhRXIEfHg
XD4Z0jKTHPTBzmlW7RTng/lTR9iTPila74JDF1WPY76RTF0ZGVcBhVwalmirWb7XIZOmqUGXwwvs
W27cHNt+dp1hY0tuGVncABPOv68SNbwgDhNGe9iDNPvLX6/Q1TgWU+f7vaplBiZCs3FNsnSc4HIj
zLi5nsVD+dVcLbaeVDk86oYpvJin/FD/9Z3BrwMqEcrRxGMUUa73WB+l/LzFSgz5G3L6rvHZsf5J
x0Mwntrid5BNnt3//bbmEQBAiVoUqYZl40llQjXUZnN4mQbQz07t0uHrjf2Gm7jxrWJg5JVEXwkf
Li986xCElIJaM7wQY3uSnID5aFwlO0397/t74MYfXRtaPqPk3DalRoUju499Hr+fs+jim0caDz15
C+F1u6PJBAn6chJPjOnm0oX9tjBrI7tEHJuKCl4KZ91f3xb88Gsj4iNeXX99o5MgmTEihf5JdrAg
NYcs++vDiRW6YUVYCxnVsjDgTxBq9rGeXWb7mz42kAaf8q0G+VtUhRjKKyOLobR9mJAu1LKLBTNp
mA37PrN2dZl8gd/oyYkzxR382lU79G8nUIhaTYthWV3AKXpjXdKMtJW+WFtAU7x/dU2kXJeZ0DBs
i7HPo+jiwF5pWJSpjtVWS/uGjSWxrT5PegyjQnQZna+17HjiDFfdVp56y8rivteT0CmampHU5kej
gfpHed+pWzI5W0YWHnzIm6mMhBEneBfJpaegbmFEwYaDXXJ+gl0kCQ5UAowPh4vc4PWOb9QIptxM
zi5NDzmUHT5MfuAmugtgwu6SJ7kr90VXuDADXJTic2T+0tL60DcZeG1UhdNfbJ4HudEfVdg45/ov
GQ3F18HAAWgEABIP2+V6OnI4lOC4ikupN0CHEe04dIqZeVGbNftJ66LjfX92e99c21usrJWUgZJY
YXGpgB/pM2S0Wxp8WxYWy5qkXTij61lcxgSCIPNXtPVeuI3WroewuJZ72Z9Cw2AI1DP7DnKeGDvS
LwWem8LckRbdm+PGRbo1psUt3SQJT8oyLS5aYaBAhziwvLEuK4fhah+Iv7/yy85Q1EXnx8WlU45I
XJ5n44Ta+gaScNWIxfNRcM0itLRYmsmIwiAdy+IyUVPxKNx+6Ut8iJ/Xv/5+l4n7nyc6B46q+vVo
IDssaHCtiksWzkZOz3ykv6E7bAsMdRsF8FIgtKFECJ0vhq7NoJjrDxKtw5fsnYZkrv1laOi1HDY8
yJoVggxoDgR9M8zU11aaNnW6iKjmkkj7rJTfVoX8W28ewaxvgVFWthkrQ9ucRcxmg9W9tpQPNCL3
Zl5cnDkvzj5SWAcnaj7dX5uVTSDKnVANU0EAXLNYG5kOkVLP9OISy0HzOCp18F2CkddtSd9tufi1
qXttazF1g52opIaxFc0f5ap+NIx/Ru5kPVe2EkI32REejWRsRRqGqJDy3fXUtf1E5qQ3OaGWdEiJ
CLw56Y5lXXualu56OfOKKnhOQ/OxaV/uT+iKP7oyvZhQkkqZYIbgVFEVd9n76i4lFA2LfZv+dGJI
qaT00kUQ5963uzq5KHDRqE6wCMn39ZCVxG+UpC6KS+OO9ttUhoPoYVOdcnW3/NfI8pUKQQRcIj0n
WR7snV9+7GLIjnILRZX7g1nb+qRKSOvTGkx+fzGJ4ERhfusmdmWLnK8Gef9uSqstjtTbaF6k0CAP
Ea0hQn39espUuzYS3Q9KoifqglJ2Hq3ujW5ZPyLaWl1HVzde36uzRzMI+xHlKhiCru1pRafniIQU
Fzsq8n0yzcVeQrLjUMibvJNrE4gmmSjCmNDQLH1hk3SGWWtJeXEq/9ioDW2vvtGBkbm/TmsjAlaE
8wCCSo/EctN1SsYXFOWlsV/gG9yFvISabIsUeWUwJA8E9AucFP59sU5tlNqzVrXlRZePcH5i4V/E
XSRGCAnRyIDSZXkVhm0soUreV5ckKl/sIj0X4fxLV8NfRr6loHA7ZTBr0ETDywDSE6q315ugS7Mk
VxA3vMTxN6n4zKtAt97+7apcm1hchG3WDV1fxNmFYt+I5jFNFkr+8b6NWzeHDfodSNQCNGULXA8D
dUm/ryGrvqR99eib5yr8WA1PdvBOS48y/DTyxk67PavX9hbTZvrouckq9hzyFfLT5CU5RKqPsrO7
P6615SEaQrKHnDqpGPH3V5GXmvAPGfzsUjaOmwfmOY2edMgZ/tYK4RCSJOTDYILB0LUVOy4CU8rH
7DKO+n6cYKPNd5vJpNslwggCPQ5UG7SBLlPBVYXzrEwe90M1e8VoufpAr0H/OwpHj2bL4tgU6ca4
bi+ha5MLv91Oamt1UOteYkPylOGTBUqPDbHJeHu7StiBMpNUKekemuCu5w9gUWSOsoqdQd9ndEg5
MA1sYmhXRgPyQNj5Q1Nxw1dccgklppVd1DL1LF/hVZaRNJDfby6VWO+rjLrw0q8sLfzoNGdy2RpY
crrP0fjkDFusQ7cGQGShG0ZwQD0OKOb1hKm2pJBQmvxzlT3kCSTT0RY873ayRDuSAH8SewH+XFxu
SR5qStkUzlnq6n0ifQqymebu/JSr5YYruGWzEVgswEtwt9CQxPPvejDTrJS1plU+MIqfebtz5E8U
PA7IkLqI0Eiz+tBLJ5qdJXv6XpJJKNtLUD9qbbQ3thpobvehIFcnuQmKF2j6slOvjJ1u1voZurPJ
Hi6l1acoGVEmqB05e7jvMm4BVbyc2Ijg9yhWmYgEXI86rGOwr0nrUwtpj6X9qw3jvdYWD6OknsYs
fTFzmUx+4/bp96icPxZq/NfvRYEYEzUK6NWBES9c8ADVWsMrRzqXWr9TtUsUfMyRcro/zFs/zzBp
ECc84s6nCng9yrFwNG1ohQqh7h8cxObwjsHkHKbwa6d9u29rZfXYqBRCBH7gVn/QNupKK/sgusDZ
+D21viKelOTGp/tGVk4eDoSrkjuSVs4lyWHVZG1SGUlwicaq282QncF5om/hVFamDbUt7mOqmGyN
pa9X066aJ5LToO2eYGV5ozVvYv2tkvUnffp+f0Aierj2Vbx6qXBDsK7Q9bjUhFCzEPIaXyJRZ/e7
DOJ6ktO+1hxgFvXS8ndlbiT3b1cJezTVi1USvO6LaKYLCZnn0IkuiEI/6OF8MUrp7ECkcX9YyxkU
2WnSE3RtC3Iu/vN640X6OFtR0pHkjLL+XDVSRQkpyw9yIRE7wxvqxczGXx4pWu9IvNBhAO6Hf2uL
5FUWB6nOKzS+NPlJUj6KklL7+/64lvsPE/TC0qMFUTIYmeVV2fiRlatJlFxCi/acYgzeB0a21aZ9
O3kIqQuuITY6JMLLMk802LGTTG1y8YGw2WArfEvdT/3wo4CxMB62dvtyS4gxASiCPgywFNo3CycR
9VouG/C4XayGFG3skryMrH/uz9syevpjwyZ/QE6Jrb6sKVmdHcW1MyaXPC89VBxdgPPobcJl4I7d
h6x2+/rr31uks5e7hLCTx9tiM8yZGmWlnaSXslZ+1F00v8SFPjzbOPZd1dTxY+ib03GshuaYVM0W
I9fyWIvxcqvA6ET6AsaQxf6XR0hqayRuLroDf0Xc2g9lZ3xBCmrXDeNRm0+bQc/aDIMRNMUcA+Ja
aqaOdatHKlRjF3tWmx0dv5rnD+1BlyvLTaUk9oxUK/ZZLfuIDfTNxnm/iSIYMO9wsMm4MXJ5S/Ss
1EmdPRppfpk7m2A1quojUqe9p4dkda1mKI9yW1b7RC27B6V0Yngxx9h5zMex09zczKc9muj9u6L1
03OU1cW7NJOjjWTSyuGlPx+CdEJcgQlb+L4+MPw4Q1LqMqZWsk8lvf6aGlK9kZe44W36MxWA21gF
aHzUZScSNGK5rVR2evE/FuXv+Bm8Y3E0P0DE6D8lqleOXvlLkx7ub/cVnyFg9UJYiUc9LR3XDtfR
fFudFZa/VH7X/a/wjSqdsvfxx/tWVrb1lZVFWKp3VpFR70kvSX4OCI6S0lWsD/BhVUbqyls0P+bi
bvzPRP53TIsjbGitFZSxll7QpR+9Qa0DuGvg0vZTbd4HTRvs7o9uxRGCFYH+Q8jC81xdHNo+SBLB
/5NepgK2Ru77U6ZvXL9ry8SwYHoSvCn82vUyGWnSNZyg9FJ0ZegZcuw88SgKEQhPrZdCTWe3rLci
zbVFA6SCMySsJvu9sEkGKWqTjP3Y+S/T3nFnV5l/hNXv+Nf96VvxQCo+QARMpBlpv7oe22SHlWzV
PMPRb6apNAj0d6ZpNk+ln1f7aZCMR9Kt4ZupkL6Dmt0qja1ah4uT5gSOgbnkz5ESutOhxcku1Zgc
wnSY3LL6x6rAZ9f7Xqrfz034NU82dszaDiW4Jv/okCojoL8e8qAPFThWk8yDn7ii9jmGb/36/ZYQ
3trG5IamFkMwD82m+PurNEoeGa011JhJ21MDGY0WPJVbJf+1nUnr5J9CLh2HS1jBoBndMMnCRuRa
D4AXRsWzancoNhzVn1aV1xGvONUogwEFE+8S0NPXg4n6QB+crMwvU/kSRRFpIdmDgjtu3mqyK+fw
7RWHrANT8LX2W1cqnwtn50vOvjYDd4hjN/Q1QNatRWN09NwMX5Twwe/DUzlvvYzXZv31h4oZezXr
Xcnn93GTXzRIdClYu7N2mJNsf//U3G4hHjPwPlmiMwpsw+LUyF01DVMCTkztPybvNN7cs5I+QE2+
dS3dDofkvCCxBOMK28nSDbRVB5qxlPPLmBVINfWupHyvutiV5wLt0t4zkBXO2/Cjkry3ZYl3fgI6
FZnOzjiE0s/7g14JF2wHdBGtRBoZ4huxegRbZ2syffA49aHL9/6b1Dm2888oOxEgHMJ2eMhmFc5s
7WyPP0sjeltptTeZv4focP9LbiAMHNurL1nM/2xWpaRKfIlp7fRpD+Lpudv3h/6QPoYv9ql/1N4V
vZv0bpMeyuLNnLibGuA3OMLlNyyu1VIDDwI3NSnm3ZdhH3rJ3u2+tG+2jt4fkMz10bse6+JCjepW
krLWwUfuu71y6C/to75XPjiH4sRdd0reRqf53J/bB2v/AnvsQTrCGnzkbB2D598P2fvapS3qoT8W
u3wP2/DB2nCntzcV38d7h7Mg3m/mws9VYx1XEKHmlypJ6kOizZx/26o9Je26o2zE2r4JTX+f5+3W
G2jlFGJZ5EhU3gwo2VyfdW1OY1ON4/ySzJLblseqQxHWbdrH+7ttzQzsTXQmi74vEp7XZjKJsEAe
q/wiG6ipjR2qEXrxVKehF22lY9bm0hRiVkB9aYP5Q2j4yns5+HIbnXKOew1ZnwFYtOsvmn+GSQ08
TvWPsaUDthL30hNF9CS4culVWHZDzHY6AaEK80taPRpydZCGXxYDi7/6NLH7Cg3lKSyxwcVAwXSj
+f+mZ0GcoFe2lxkbmiH9FlRsfqnnH054bBQS2ME/adXukLhG+LgbfxT9Ieg2XhSbdhfew5/LOIkL
7KIbebAGB1WylyJ8VE4O+6jQvLmD/3H6WqANcn8nrXlzm54IkebWGfoi8ojVYs77qeaoSHXshUke
U4gnZ6Q0xVaNbW0nUZ4VNCiEVjdSnqE+DTRM6vklMqD5dcJQOnaw5LiWP8yHwmnjfWxaHXSEebVx
XP6EjEuH9cr0UqhnyKo5BceeXwLT8LRE/+iYX9vhoDjxodfbR6U1XSCIMzyb7x30cqv9MJ4i9fNY
p0++WR+n9oVE/YP6Yla8Mu8vwE0GWWy519+2WHpLjzQL3hGW3jmp1q5RHoKQNhXB5XUIphdnP/Jm
4fpyvPuG/xTNbidFdLZBQ4Ggy8LwYLaVU+VMSvaORMrjMxzo/iez8H7VruKRWXFbL92rbul+/ge1
Ey/Z0WbilV50CA7iv5Md8dTe39//qtvwm9kgd0Q2XYCijYVna+vWRHJzwIHmxy4qvGJ6nrNDkebH
0K1ix63nLZq42xNAp6BYBJCqpPyW1XK0XEa1g73tEqez4Vp1cPYdOXClsHq4P7Rbp/3aECn7a6cd
11qj6kkLrK+3z35ifQ6g86p126vljUnU+aXrlRWWBExZENzSAHdtCYmigSwKQA2nC7+TXeq8Ps3C
jUt2ZeNeW1nsn6Yzu7A1e5BdSMlJSuup5S+nqjxedN5UzG5o1HulQ9xA2iOr0LiloW/k5laXToja
we1OZ9efL3x1Nxn6MEujmFHL+UiitlaeZPXj/UW7dVoMkt5j/JVGBmF500aV3eS+PBSX4a3Vniqv
NNw59PwvSbjhB27fTdeGxJq+GoutVnlsgce/tA5t8TupPPbmwfgg1xvHftXOn/MuMtyM6NrOlGh6
FXcyc9YanKbPSvzeaTovqk82RLj3J291x7+yJdbv1ZhCv63sMsBWCzuQtp+U0Auq/WYy5NZnMHWv
zIjPeGUm7mpJ9+0RcJflBSZy2AfwT8F+QOZ4P6qH+2Pamr/Fa84O7DrLJqW4mNFvO4xJTL5Lyf9J
5ibRzdawFlfz1CVZXqYqsK6uoJsrf4qtsXZVxChV0M59fvAn5XlCOff/NkDxWa9msxnQy0pNBljP
+lPq6w9W3O+M4YEchWtpG7jN9THidC3EvWmyWixdo4wB+On/Ie3LmuTEma5/ERHsyy1QW+9gd9vT
N4RXEItYBAj49e9Rz3yPq9REEe3vYjwTMRHOkkilUpknz7FgbPqdkJ+W3vtW5cMZtYoEztOk8Q2X
XP98fwxKn48ugH3MLTZVs77nic/cNmCnxHy04+u7uB4dQa/6/1YmfT17RGqVgbjuLid3w4uluJ/n
fsfz17kbDws/esjbvWI44Z2OEakNH30bQ3l3AZwZl74h+HlLDW/w5g7QdeqTBqKwilWgkt8Bdumn
9vzV0WY0K4DBdHZ54YHM0mjJl8S289Cucnrj9gooPhUweW9si7h63v0yG8yLeCWhimBKH7xKvVFJ
ONB21QO5bQPF8ZXn4mn4pFf+spVUr9oSM9tCUgqABCnUWUbFPDLjesjcAzG/GrVvJFNgf2I86KGU
C4Fhtzn8zfrw1TEjC9IYvJkuT49X4hZhFmJRD8lwa5d4X8f2k+4ebCNW+HO6/JrajRtKrELeUbC8
AVyN0iHGx6RruNE0lowVguzS0KfM8+57bd5dX9XaKUX/C9gOUXN+xx3B1RIEhtSFLzvHHmGAV7fZ
wAOuPlVJ6Wf9a2t+rAULamkbaSnqe3jGo58oL2oxQA0P6nEj6sw+yPJHp9B9Pr1cX5Z0t78ZQQ8R
A82ikog8+PJbGflkOInZGZHLvzletHAGFPxdkZx6zCnV6obrS5HnP2uYIhHDxqjPSZFHZV0LmMFk
RMVCFFQgyU4fSrYziRM2Fr9d+nGjUieO0plj/GtQvOrQgkAVRAaRe9ME+lrA1SM+7fIhQt0XRO43
oN/ZyCgkB/zPjuBTR3UANQ8p0hlpqpU1yIaiLjeGAM96cJ6n2lZdfn01f6xIIa0hHBIEGPaMMigu
WuyQab0/pa2/iS8TScn7bcMABhDVqCjK21ayqs1z4F0iU1GDCioYpLb8xN64+NaX88eKful76dSC
Oq3HcjAYtefFQ2eMkI/r/I8CNf77On8MSU6uZChN1yYMwfv8gcZgLXedjTx8zQNEgxwnFVA22Lpc
zDIv6CwYOEhsKszbvCLjY2GWH6SffluJqEPBlVD1Qvf10krtDbzUl96MBu+Tmz5aaj3GXqIeGn38
lCpG6xN9mk7XQ8TaoQX8GLhTgQyGSO2lTaNthnxUPSOiXbdzu1+JEi8VAbBxDlFU2V83tuYT58ak
COEmEyvzRoFP6PcN+cdsTlkXJFuMJmtLEqT9oNEE0Bk4l8slKWPfL3ZNzEjn+QuY8xcvD/Q7zc6O
va5sXBxrtoQMKKaLHEgJy5/MKFsyIAaZUfaZjK82IKGp8bPqx12+hXVZcUG4HrADeA5C/uIdQthM
Z9OdcjtKk6U78RLA2rwsuo+vR0Q50NGi/49QJ51akFeDGy0tIPlNB913RysatS6oATvwlST/jsnI
rx92CRR4HVwXYFgFPYz0sazFBPVgXjlRg9MXKnplBU4LCYKkKAJr3tIpWnFAkFWDI06wrYvq8qVr
9AVndc1gbe6trArGlOUaar64/QOUSdzv9qACDnJ9hWIFUriFMBXKj7gURbleiuvDQAyUe3FLgZDO
SFHprHyFnsBI91An+WOXdhuHbCW864giSGREuefd/FYLfmSvYpYRJRoo6+tvlcBdY/z5+qpWd/LM
ivTdqNEvbQvUZKQvRwPcIhTjvxz9n+WDtMUiKF4sR9q+XJ0K9DNsI9LMZdhXGuBQ4NtCTbXdlL9d
OcwIu+i0IqMWxE6Sd7QGz+oBMnARhVC3uUTKTJ7adLylRumX/YNnQNGr9lvIykBj+3a2Hg0eKmmA
iaelKgOrbbdKp2Jt71xHEGaoAi9kvOk+n71UqS5QSE1iRAuSXg9yZiVQnA+ZfViSqME4il/w9Pjx
74rXBGgNUFsD7470Xae21gu7aqyoNHTfUel+LD5V86+MbZVOVtwUTDuYf0ISYqBZL+Ld2doYnR21
Vzo7mpUHV4lMshvtjYf+io9emBA/4cxEvsxNzozejrJlIQeX2qdCLcYwyUvLR7SpN17eKxEa3Xrw
FWH7hEiRtHUp+DRz3U1w79QkvfXmpvINmtQbEXpt38TbCw8hdDN0VzoP7qxNpB8LK0p7FNFBvzh2
aNzAQ6/7wcpZAI5CYEPFXB+eRJd7x2wk8fNIrSgzdzmYOkua+YtSo4vwrE5b7K0rfg5jyK+BFxVQ
W2nnKjoOAKR2VpR46JmmfcDHsO++0/mZldle1X2jeLm+vFWL4tks6EIdjEVdLq/xQK5j1rA4p/qz
kWXFzVAZz6wDWoJNEEt0SpKdxllRwqV25vC6cbEc6ViDOAQjTKDEUwHgl/ySzkWaEIj6RLa5t5Jv
RqgE6nDkw03eb9wFaycAfVoAJ/ApMScnLbNFmpSoSo/TrBh+pb9OQ+aXCQuKLW6mVXdBR9NF1BR4
FfFDzo6a7fHJNpfEihSoyfbqr9745nRxP/A95xufbs2UwGWIgAiFC1sKHB4DLSlClB1pfnEPfR0U
PLamsWScgbh0EJT+2JC+UO86eakV1I5cSOblvH1OQb7jdb9qWgHvkQVMgfxTmjzlZCvkr30xoIrQ
cwZ+EIRJUnllgGRvWnuLHVU2RSXecEKdJ4HVe4+uRn5f90O5iva2zHNjknv0KekWms/Q79KTmhxU
ArLmXWWVzZ0zat4PbeH2kRjEBoHteDNWS3OvsKF4nUfF3Weauwx+Ah9PA1bo3pfrv211HzCmBhET
/PlueD/PuMYnt7SjpK1/zP2rnkLrLa1eq2RLfUduTf+7CyjNomeLch1Yvy59F2Il7b/XRD0rvrOE
ihYmFHWgXgnAUpmB/XWo2a9+qva69u36KteuDBDboRmIaWMBW7s0bRI62w1J7IgXu0PJN66KtT08
/9ulZN7C0Ixml/jbMS4zz4ciKJdD+Xx9BeIkyLEMlxEQzZj4ExxPlyvo3YXNbpo5kVs/oN3nTzra
LB9/fWNrcNjxPEW0tEREOAsupVX2JVVrJ0qq2xprGbaYBtc2SjCtCpQVCqmyUgGZp9TR2taJumxn
jcGcHqGNQYaNctXaVuGmEUKJFoZXZelvoLjqgs0TGELsQ0b27afN+cTVuHVuQnJlDL5V7jTChKqk
B8dtT6VHdglw5kW+01s0Yyf1RDoe5I328XIPsPTiGQzsAw6RlC9AhQOFCxG36mTXQYxVY8BzmDf6
MP7F5Xlm6G0LzpzBK0elGAcdMStjUH8MNOtO0VCQU6DRBbYlz/ibryYYITFyJN6o0sIGo5td4PDt
qEFnVPXqfQpqyKKjG++pVef4Y0buaGv9YvB8gZmsc9zHimn8OPHpByPF4fqBXQs56Iij1I1nFQa3
pJCjZKAURvHZiYAZ96s+D3hX7q+bWDtOAlmMFyiaylADujyv82JMc7ekiAlKE+icBYseVTrIPaC0
+WFLcDccWcyt4ON4UuI4N1Om4BVhRw6GMZFvL90t8FML/Yts+MKO5ARJPy3gHceKyu7kuLGbZ/4A
dWVHj2YAeq6vacUT/tgCJE3KADw+JJwKh1N7w9eno+KC8Nw8Xjey8okABwIoBM9c0F3Irwigz0ZP
zXE1IFCYYW3Qxs+zBQDCDqOcne58UH5K3LHgx4MmKXCDSG3kErrXay7mLlB4afsftWYDR/vp+oJW
d+3MgPSF8nRZ1MSEAaL9U5QPDOgiuiWht7ppoB/QUa5C3i7r8xRVn7Jmpk5kAVFl/W6WO9JErNjK
PsVPla5U7NUfM+JnnEU4czQ0pRuwlBKyqjurq4uDV6EnQGuNBIzN34Z6sE6tXXufsrLZCHdr2RAw
iUKvFhhrUNNK7mcAUZMsFFwuVs4CfZyPdPTN5RkvTt81umOWoZP5bbDAHbBFFi93lN+c5Ny0FJp0
CBAuxIFpAzY1o7/puuWgZUXoIEr9oODeT5M3/vAj9cpHlmzRvq6vXdeAy0SVEHT80g/gRa7qYH51
o76q98OU3sxldoMiyK6f77iZ3Op2dps3Te7nbh3XxdfrLrwSmU1cMshCUYp/P9XdlmYx1rhtIn1k
xC9LvQiIqm6luyuPT7QCweyEbEpUKqRkalnqsq7azo2QGYLx/Z+8LvfcjPO8DoAZ58Pv64tae2Og
sQDsA3JEHV1I6WBauV0oU6K6kZaG0/SpcMO63gFr2KgJhieUsLe7cHE/K+P03LQQjM7C0dtqrIg1
yScKzzlQXwAHKvb28kQ1bIC39iAkvocSe6IeR5DcKWG51ftfMwPwJzSb3mbnZGhfAaCak84o0Svc
3nFvPKZ4Tg3prrHtU6pv5EFrwQhDKHjUwyJY26R9dYbWLhg37QhcanzvUvQjS2ZYp0pv7L3ufpRX
8u1wooYAuB1q2CgISX4zz0qqFMTAwxTyJhAabwwfNf0xqHN9I91fXZmgWkD9WuAopAjkjmVteSNW
No/9sWcODToQLfhtepcRe+MelKca/lvWH2PSkbd6KOQwZLTRpBEr9znE/o6NVbvAk3RJHS7qMgK/
YrLQSEm906ZqZ+k5cBa9/rlOahVU+fW850amBzxxtCeXAVs7la1xg1cRPSpznt8ZZEsWYC1SiK0R
QzdvApyX/pyhYat2lW2DBW5+huo9+KHtjXtg3QQSKzEDisRXyuGKrKUzZJDsiJT2r0ZrX2d13iJm
WzsvAgWBIXHwqaCec7kMPS3YBP0B7D2IAMtEO7jDcDu5kBLXukOvZxvY9zW/ElxzeKSggYbn3qW5
uSwqUkNtI1oqrt1bRolm3ezxAwiX5u/lNI3R9dC3ak/DcAZQvrhKZdJrb5iZPXpITjPD9q152RNW
+6wGOz/dX7e09rHgwhi3x8KQ0klOXClQwOa1SINHh+yhrjCC87L9INXb21ERSb0hZmdttCUu969h
1lzbjUixKD8Uen3qRz1YGrzCSu/0Fws6MyUusbMUyIVcqTbZaEMqPUrBJCG971b2BwUK/12Qq4Mj
XIyfW/JTUhdwizQjTuQljQ66/55BP3AZ9y6UMje+0Fp6irz3f6akL8R5iaFZ6D9Ham0feGW7Pgbt
a7+cNoXIRXSU7zqAeQEuR1EJeBXxS862Lmn6qYDuGh5f9CkffytOH9oYKJn2xMGcWl3sPPKUJn9x
GYHwSRCLCRUF+fU6ax6g6zmMWg0mpAbzqXPrJzMzby2bxX/hGsgmkEtgiBZtscv1ZW3C57FErUY1
ywcjQ0tQ3Rr/Wju4eB0j+QV5hY1L6NIEKK9tKOFMTjS2/Yl73T5P0pcmU+9MS/1+fTVrIfDMlJxt
lyCnbKFK7USFyW4s8NQaX/Sh3XvgacyrDVtrywIeGlMHYqwaMyqXy0KeMKJI4zoRr3cppAarwBsx
3H+4vqItK5KnL5rKc5R0nUjDZMUSN1OI+nVTb5ynNSvgT4TP4a2MGqf4/2dejjVqjVYh4ukDRiPJ
jZ4a/jwBbgls1ofXg6YUIh4eyeLVJ1lK3QUkVuI91GBuJ8Cj66vWkJ3bV5Xveph+u25txR/E+BCo
KZD9OKDMulxX4qXGbHSZF02MHOjiIQPB1wxmpQ6mYvhVGUm5kQGt3B0WCK3g7SA5FGwPlxYp0Hzt
AP6jyLLLXy0BKrmalK1RHPGzpaBk4Q6EzyFfxaSB5BSsAqM8570XdUOgl353gmckDPNIfvNaN7vr
e7gSa4GVR1KB7rXgZhcrPvONSkNW4ZLBi7Qco84qZE59ZpPPjWltuPrax0IhDdp00GmFAq10oBIv
a5fM6Lwo136BScfrlL0NY2WtB47x5S8WJei5xSMGf0puiJS8mb1u9qJ0iAFyo9p9sVWfXjlT4p32
PxNiuWf7VuQZweTSiH3zzACNkn2aUYhb0ZDwD86CiJtXPIbE+wV11XdKx/pEqpa3WM3ofB9z46Z+
7srOX5pvSBI3zu+a6wGngv4yplwwRyPdFyXouL0R3awIjJTEgUbX7iEH+tvnn9BRuv6N1uoHoFX8
Y0s6vXPhdukMQvxIK4PqZvkOBKcXkxMZ/Z1S7Nxpw97aB/tjDgx7lx+Mp3NdKxCujRzQR7Fbvb2b
vtjqz+uLWt8/8DYgpgIZJhdzweCsMHc2vYjzV0ZeNPO58kLOBt9LHzHtFU5b47FrpwrAk/8ZlALS
aHHLTfXFAyIs9V273Kna12J5qtW7sWUbwW8tVNggwhThDxeJTMZTj6o2o03moRMfMf55rJ9422+E
9LWvhNRcHFro0qKDcPmVFnuawSxSJtGocygHRxZYhRPzt65/u/6h1tbiCH4EQMxQFpDbS5SUrNcY
HD3J+iIEmLSJvU6t7qlOD9ctra7IAsen6MCLKe3LFaU92h+LmcDvjBfV1PyaxKitZH/ReREBAj0E
vL/RYJQujcYEGbindknUJWFhBVDaq5zP11fyNtwtX0wO+pao6KL9+v6uqHpTK1U1iUCqlO+xu+zk
aj3D1CLNg77FvLJW5l+g2NTtUEtbAu5w5YbWDmY3Kw06trM2QsAgWw5VZqg7YyyAzTLU+V7Pusnv
QX21cbeJaCX/XgHkQDHLBapfhku2pjNPveMlUb+o90mXPlHljiafynE8WGhNzd4/1zdo7TCe25Mi
WpJnaT3WShIBYu8xyGrugHv4lm4R0641Lt8AKv+tS85NVQX7pVlJEmWW/tNLNMd38irsUDkBtMUn
UH2z6mSfY8ynM7fqAmsHBwA00dxD9fXdwXGXssDQoOtFhH/DyIuv9N/dZqvWsXZmwG4GM3hToKoi
JSUOL12D9HkSVbNTgikUop5aYfzTt2bvo4G1Rcmy8t1AcAaaRADSHDBki59zdpdrXPeSPkPQsaxY
J7/bYRSn1IYEK803XHLlgsBrTGA04I6g95FuIa9ZgApuSiUqlCE06/yQQQ1GG+/mUahiBGaRBEu9
dauvfDPUPKEbAJVUYPvlHC+h4FAoG0ecgxnoMD9TUn/LKddsgJcb8ywC2Y3lXe5h2ylTrsymEuVc
x6xq5ScUUgjFxva9tyKggigaC803Azn/pZVUa61pauAYOs5Xmpm+4Y2+vjVILNzrMm5cWnkXSxOQ
fxskiWwKzQ2zDrMttvT3Di4soO1rgcwP8/6SxyWqgCVymkRlf+TG14RnoQKpz/HpekBa364/ZoTj
nzn2wNUqMUiNc0SV7pZ45nKjJfRYU2+LY+X9EbpckJQ4komZBPQNSYSpYYuFWWgdvMO0Jd25ZgUF
VuABwfcIsLa0bRVhSEBG3RMjWlXiBqq6d4CoyhlEHIyNbGclP0UCDF0KUKrhqntHddIZU19pTQMv
6MEc9ajOIDMyoZFWBUq5t4unUv+ccihXePUGOmTlnhWWhf4RyISB8JQ+G14uDWssbGbNvmv5cwcq
QwcUbtW+sQ+6ES/ZnrVA2BH3MXmi3V5Vdhic9KZHNSu+YvT5M7j0wuuO9D5s4RdhM8AtB5AC2kKX
jpQlo2UQ1Pgx1PVKx8kndjDWN7h8pmd9wBj3hrmVAyhEdjF6IJQfcNIvzaG42IGRDxd3WiIodqOS
hXndmBu55srpEGk6VB6AZVKhtHtphStqunDOsM0zwhWoG1nvt1tThSs7hzEU3C3I7SzkZdLO1eCr
hdYtAv7STnuPBeX4kgGli5uzmcN5/lE5P69/qpXsADRAqG8DrKupaF5Ky9IMbva075TIqdnU7VpF
00pfwahM4btLP323xy6HjLmuVZ8VNKaGoAV8t/cZ672PAxmEA4MDXLTeBJ/M5Q5bbGwVl1oKSA8t
NOfb9ttkjlsDhzJDEN7HsCIuBDyN0Td997Kbx8mbawMLdksMxFcn06EhBld9Y3YDr9+XdMf6e9co
HjGysB8UzGt9HDyInyCQvIB1gQlNfhpBoM5O0dhVIq7f5N0XKHS5LPgok/m/Cz2zIm1n082FlXiO
EinNV4h5GDNF0fBw3X3e58xYiagEIUFBx0o+FIPSd9AXKtIYpRNSHg4Of87rcP5Uf3zkEcUZjFWC
3QUoP3RILn1j4YPGF61K4zw9ADwcFs29t+TBUPxzfUFrp/zcjnRnOMweWG+XaZzlAL7N7U0rZvea
jdti5Wa6WI0UssnSstSysW15vqA5clOPx8SyfZo5wbj1iVYdHrqwONwgqVFtWZmindpm0FyWxkv9
T2nsSjPMNfdoKNqTZZ4gehbm3ZNVtv4UMb09DWAG24icMtHemyee/wLp49lVljaCKjV+ITYYMX3D
t3lYRaB3cfysCBqC0lHQJcFdULUbt+PaTuNWFvUBMJYgF7z0m1YvXVxHYxqbhZ/MOyFWqwY4cNO8
cRLWHAd8u3jqoCyKGpz0cF8UUGkrtpGC0OOxaXbucMj4hm+upIFgpftjQrrnQF6q18liprEoIipG
59vGg1Nmh82x37VbyNWEzogjMEPvaNsq6joZ6bK4f5rJDSO/pu62b1qw3H8busdEJRuEtKuX0JlB
+Z0DYo3O7NQ+i6lt++PyC9qFOyoWmGTBot7VGvisSNyUOdso863FLzGfCyp6FKnwgLx0D9F3dQYI
TsdF1+wL10Ka9IWjjTyb6Ondu2CmvB5e1j7huT3JSyCci3vTYVnsDZrP5mgpEj9RwnlrkONt2lJ6
lKA3juRX3Or4D2lhLdg+J0Z5FuvF0Zq/NOw2s39wt/Y75w6QM6TCdXqvMzHUrS2vE/3ElH1bjQfy
QdHbt7N//kOkFTskUzHAomdxN4JV9ZXpL9m04T5rRw88BRhxAl4VSHMpvJQg8l4ySPjGDfykT/RA
LWq/H7e6VWu+gp4Y9CWEIgPGhS99ZRp0I/fslMR9Fmr169S0L1p1zOPe6b8V7uePO8q5Memsu5nZ
Fbx3M6TvLtJM87bQnrLO11m/+/8zJGUJbaUBecScLCakCJv5l1bSwAS7S69sibDL+4cJNEHSgykD
FHxAWidfrT1Os5HkPGrpzsvVPdPCpt2DmTXMlp2XbFyxb0f3/ATI5qQ7dtDMHGN2BY9M3Hjo8+k0
1LLvi/MjtWPd1kJ3/jmTvUU2kDDyhQPMEEjd8Ux4m1X0ZKl5HTyxlpUYarR07R707rlvujzuoEUX
1Kw49UT9ff0DrhnEaws1ItGtxWjVpVtWWteNdlFpQM560Ly1j6X64oA3N7FIMJIPirkAuCk0bKGq
JvS/BXHupTWd107LjUaLpoLQwGLO94Sq+6Rzvw7jHEEGZetRIN9FYJLHawADjHgPAGojAwbcqqlZ
gxGIaIFarzNad9RYXlSlvkFdO0jL4QmqQTtQhW3UQoTbn3uPZFYGD8zEAdFRAbNILH57SFI8lb1c
/3BbJqQQnYPzAs/MDPXfQr+pyn6PhufG4ZYjo4A/AIiOAjuOEbgApK/VNWnWDA5JYy+toKbkHXBd
HEn35fpC3n+iSyvSSTNtj4xJidxcnUofw0QBNbwAitJlWZwy1CR67x6NyE/XjW4tTUSbs2JVSapE
H3sYNQbMtKZAgtY7r9U2TrPYoEs3wNKEKixgoIC2yRXEuTCXZrJgxaTMN7o2cMD/hGnSErIR19ez
ZUnyhsSbqVLMNI175QbVhUndTfWh2Gqrr+4aNF0gHodKORBnl7vGLTpMrIEVazFC6oHXBQqPW/fx
u3QObidUR4DuwbFF5V+y0ioNFA4m5MJ8cgCrTxWfORg+Lp/YnhbZ28xzgem5EJwR0fVdfH+mYBlO
jLQV1TAIyV2uj5bUZHSA3riZgRRsoHkWTrnp7K9bWdlFVCmQNSLXAPuEXL22qZmyBLdZ7On0BA4F
v9fSU2Fv0FiteMSFFfH/zzwcBGp6kQEIEWuuu8voc2PfZH2zV9qNUf53D0TxufB+xwMRpSeUncRy
zwxNBvQtzAqJjZF8K6DC5GZuaNGomX633UPFXgdV82frxCeMZYwHAE5217dTvsHe7KMgDBQLNhVj
bpf2AaYHEDalBLekFmYWCen0PH8CQn8r+177bmICQGDzwWllSWdMTyuXeRleEnmyHOjo3KujcnTM
jatj7bthEBFCQwL7g7fn5XImYAfdMptIrFkEzC5OoCePTAX+udl4264aciH0jGQekBxZSqa3aecM
7kxiyz2w0j4hZmQQx3OmZOMBv3aqoOGGKjroztADl1eUtmlBR5XEiZG9JmlVQIkg3ZKxeJewoUQP
rS7hitg9eKH0dUBSQBUoMxVxNTxXczQ4Tbho/ak0925R7wH/CJYW1O+1vzUU9G6OQljG8xPdQxWg
GZzoyy+mDzME1gwjjxVn9q2U+ot7UG0MpT9OynJsHXJwmmAgt6bD9mrfhl35tcvN8PopeL/JABBi
OgWUHYibAEde/oiOJEmjkKSI64jGW8Q170owWCIG31GdQC/+zS0v/3Zq8kbJnbSM0wqzDCevPhVJ
PA3DHRmLo6fuCuDvyINTNAc3O3h0evSyY93oESLOhjO9P4QYxUQ3GK9ufGRTky7uziQg1xnnKp7L
H0bzEzjJlm9EtDUT8CTA/IAyhfyR5K8EIkSjBwx63H1th0ft/sPoNOwm+H/+GBA/4CxiZllp1XpX
V3FiWb7S3kKBaEbCfZ+jUH/dK1aXAskMoWQH8K8jvQPnPBHav20V82E68eRo1/ShNJUPJx8Q7RJq
cjZwJwA3S9dmt/QdG0ytirPZhrxg5evldzVpn6r55/XlrKQGsIQzJioTeETLBRcH4h/pnOj4NCUL
SFsKjQkKopXiph5YoM15YJtIIpMtVNzaAbgwLL3el9R2ZyWHYbuJM976Y/1MzJtmMg9l1QTFqIQN
/lUEbAkNXDzD/BupK6Scey++vgXyM1j4DqjT0PwGNQFkUKQvClIqgLgXu4rbcfDTHIyq/HPNTzZC
j+ncz+iF/4W9t/wf4GRAeqWFO1npOiiK4Lxp87PZ9Gbnlw3tUGqd7BM3tDxYNFruIUw3bjzB39/r
YpwTAR3tJaQYMpy8rEdlApMOaAPN4cYu8RJwQlcNiWt+mZRpw9haEAcXmIeLUJS8QGx1eSbb0ura
Ll0oTkqFZAWwk0czb0g4NEmYKxAsrHrS763K7ENMwimH2oUCVtLy7qTVVXZM+7kI3YmWG8M+a58b
zVmcK0QMUDFJoYJj8JHObYOQ7lHoXVrPlV2ejDI5zU3y0NLHLgd88foXX/V1qMQDyiQaXOhIX26F
pbFsGohNY0d7mL5m/AB1xcCe2gMav216GNvMr8cn27nRNeYLkEzxUt40W4yEKxca2ngYPhIMfsBU
SY5et8DlpAmt4y7FQNtitO5OG/N54zp5nwQBQwXEK2rVqCy9EyLoNbPS8XaqY/eAdtBL6YTqxhdc
C8HnFqQDZFhzpy8qLGRIQYj+M1sic8PEm3NevjNFZQVzPxj0AFpc1qVmvNc5yjs0XlTPR3fGVL4m
O53/MA/u3Pu0Cc3kqGeqzykkqG7K8hs40vhtAnrb6vdcf6UPoGdYph3vDxwvLkvfDyq6LNfdamUf
sMUQGgMgGxO8prQPvTLkdNIwnWvnM1Qt2M/GBOdo1m3VWd/NKiNCohuNeVaws7mCB/nSfZfKGjRq
jhRPe6hzO40bklwNgAjfDdaN+r0hLw26440VFEmobIIXVhzqwrqUh3l0WTjNUBdXwVflPiz8QdFu
CvLtLzZTvHYEcTmK5KKmcpZBEBviqgA4IiwkCh46hd+3RZhDu+O6mbeiquRYKFWLRzgIIzCYLCXV
KvUSRckQCtLlyJrMV9LHEbV/BgU+wK14ft81h3zheMHWgefGlOyBQQQNWqAXoFJ3b/JnQh7Tad9P
gdYMfulNB+reaUl3o/CN58xKvBCqrOBDQ/TGhIaIpOdb0nNwT+kOjcsaNFCWi5nIoSm2QEFrnxdY
MCEigxMHkcBLK403LdNomzRu+bd0Ug8EjM1Cb8L9fX3n3xfF0BMXNJ+YcgIXmjwXrWpl4RZ9Wcet
88kD4JWw325SBDOAaN53XkY8sTe+9cp1e2FRivr51Jd5htZH7IJPrqVhm9OwKX7rbRWOCtkwtnpI
QesEdDeA1wBCSg6sZUZlLCav43kO8prjU73UzpPHWNh1fZAS+wUE9d1oomZhRi3ZqI2sPRaRUQhS
JNwvAM/LMaIE4g5lGORydeNTPvkqye4Td9y3jvLEm/mV1imkMMbP1cT8ZGHLxrWz5qw4VaiCg84M
KY7krNlMoPcHmGRM1UTZs76lX2amqBulhBUrgpFWiJTgHQORmUtn9eyszMu2aOKpZc6Ou8t0qvJO
20idVlwVVREkT3jZiyE2aS+ZYreeM5pNPJhfy/SBUOWQqNpRI9rea5zA4UBCjK/Xj8fayvDYFXOb
eKVh9utyZV1b292g1W1cFb0bQDHCCMbR3KIdXTkSMADvAFMOinWyZmW5ZDRVFNbGIEj5rJY7ko5H
J+UBsX9tIg1WrscLW9K90Zi529aoDsTWjPbjYt5mbL6xPL7h+e8/FpxeRckMCCIUCmRQo0UhScxa
2sWquR+GyTiaemvuuym/yfPmQSfda9+r+t5xs63RzfeZLCyD9FakWsD1yxCcEgdhhnBQF8/VTQ0N
zMF7QCVIyYvQ8GI12Zr4eb+fwhwQCGLgFrV32UNGHcgzx+7iyg7ZeKvUDwDNbESxlc3ELwZ4DQUJ
dLPksetOKFR6Je1jjbe3AMA9uuy1ILcgkNyjxfdak52xmd6893wozOLxh8QcD0FMBV56Pu+43jos
77FljbWfea4HygCA5vXztbJ7mMKH2oKgjBSliksro93RUivtIe6cH4oVUauG4vbX6zbWdg+jN7oD
InAAi2StXY8XLXEaa4hzQwtVoiBRLbKbkZXBja27v4smBdiIHa4bXalWA5cOLSXME6CAgH8uV1Zz
arOi6PvYqozHuveAVjRO3pj6aP60mXW3QM61KPKvQ5GFdkLCMX/IS7YRmFfqGOJXAG4ALBqarnL8
r5aS5MlQ9zGUEUJ72uGi9Idyx+Z/TONBU1S/rsegxUzAxupXvuuFXfFNzpIkpXBbzqe2j4ff3A1d
0y+UuDGPdAmth+zF2c3ZbkJ3yvA9Gjhbz5SVW/di1a5UJ6rSxcKlC+sqUb9140/OD1BY9ieN7RDF
Z3YEmRY4cEITl+71hb+P5KKPpIENESBDqJNJN+GE8iakhDpYpj8t66TzU9Ggozn4C2O766beKpCX
OfOlLf1yj0EGWhR4AcDDBCfToUkee/OFctAYQAQDzNBzq/jN938M/khZiorGXeX9QBOy47tpw822
Vi09oc0ZfX2Wjn2sZ+PJ8sAGMR1K61ulu3ezSTaMrbwVxLpRCkdYwn7Kj1CIMDggOaz6uLFL/adr
cPUG9SIPYsC12v0eloF3AYHG5bIrQO4w+G6Sq9qp6Dpa782RD7sF0vbNU9ujRZVWlvmd0bwpfQKl
+091RfUGxAwFt3aLrZPIzDudhaCoL5SDppZNdchqa1BPE7NzCO4qNHskBqdbjPGymqMLHKKOUgxq
gVBSQVFGcmE2eMWkWzM+rq/u6sN0zB+No3NMbtRdc1L+j7Qr25EbV7I/NAK0L6+UlKtqd5Wr/CKU
7bL2hZKo7evnqHpuO5OpScK+vRgNNJAhksEgGXHiHMhAkIFtzeNT9d2MiLH3LEFuejV+nX4A58lJ
o42NUc7dY/dapxudRA+qX2THcfwxy7uUQtJy31AvUwQX1st3D8YNlZ8FBQrkhs07dT2kGYsxbpaw
3K3NMCRMLYvdaIX9V6sIo0fBLlom8mIXnRjkfTcrq8YBzdBjOlJSJHSnAodjqfvMqrwOWcdifCn0
2ZVE7Vkr5ytKHGg6wJ/IsPLkTdinuV0raveYFKrmZlE2EKOfo8314a3FYSDmcQCAy33huj6PEZLR
NZ1s5eyRFscueQvVD1UT3PRW0nh4YJzY4G4KVhhZcgQto0fTeJX7R5of+sYf/IoGAygL2iOAMO0z
xEePanvT0PcIAOzrg1yN96dfwJ02pTrMERsyhlv6IY7YTdNqXtZ8xBl6ov3uaGvdsRnYly4TcTWs
LSLyP3DXpWcePEnn01vHrepIDWWP0mzLT1WK6ws6A8Ln6+NbtYKUAjLxKBIhX3puBRw1Ea3Vhj0a
RiXvc7WBZjA6iQXwxJWnMrJ6uMCCAAKITJRXzs2ETZ+GdaaxR/TubfR36Hm5lavu6xfN7W5LXXBS
qsvG4jfeqTlu7mKt71idqOxxSNByayRjBtbYkX3TBzP2oBXMgrqR5ju0EqJlX1PKo2aGyAMpNnNB
2JP48xx1HnIa8i3at1NUsAt7n49lv5Hjedi0EvpwdTWkLzRz8ttKnkGvHiWiFqLLCxaA/gteHdUD
IAMuuPgnPH30NrH7x0Kq458ahTx1OTTKfTVESjC3dYg+bC0HswG0GkDAU8/dQQGb7I/rHnKxzfEV
eGZ9tkqDaY9/bTHN6tspzQfAx7V9Al6SJo72XSdiS7pwxMUM3BA5Og3N2HzpW4onALVUNmCnG/lr
ZHfmCF6XAb0O14dzcQh82kF6GXzPS3KKi8maVGbRMDXDI0UV2su14lfZgxFQzyeoVCWVd93a6uSB
1O4/1pZRn9xV1dQ2yggXpkfTKUPXMXPJn3OwvDdIlPxpOP4cGMpMS5cxWma5Q7XMaDOGtB0eUXIg
VA0PedF7VjILDu/1dfpthjtEKUA/qQberMfYNr6gtT08qL0TC+L+6rSBAABEwupyW+GiUiKzoU7i
HtOWNttSGX2TNofBVvzrq7PqC7/N8CAt5uiZ3aOt9LFTP7r+MDiT26dPVB0FdgTD0bilsbK5NiQD
S2OjU9lCNSNtGTE7kRb5EtXOoh7ySNhDSEcC3YPmQy7I1k6mJlk4Do9ySuO3ygrBaBo3YU8G2ex9
HRhxqLCrkwdpMVEWYWWEoMtCdQ9UFIAv8S/6vIaKgVXk4yOTWtfO8RA0IV6MrunrC7Y2QhCoIlJA
3QJ0Z8tnnGynWEkwa0o1Ipnl1/qj2k4kyUfFbWIMjdmAiReizp0VH1mo89HJCbgGLs3cpKp1Cw5B
aFwDNaIVhDasIpacfiRxhd6MsZt210coMsedXHajaX1qDuPjMAwbx5pb0oE/gNRhMXpGaAvO5ZXN
jAZ3OAyyI+jZvYBPdWpTarE8PpZ5sdPlfovi1p/CR+GUpya4rawzdQBfnDo+mvlXvR28VrrJ9Pcw
FMnjrHrg76F8HqYnrlE2DKhsVRsfs/wrREl8JaPQIZkEgYm/yCAJt4gJIeGO/1qkPDl30Gaqq2kR
Qp+UvcpLRahB1s9S6qPqxIeqkF01ab1F/AdYPrsFmCRsBEcKtwcuvoDzECeiSZfoUhUwfQNJ7Swz
YpKZLcms4tiDbXsWUa5xM/t/BgFWAVoFio78FVGX0VmMt1IV6PmO9SHqrTvkkt0/8vtPI2DOBacg
brs4LrljeZzLEtICaRWMxk9tPIYVoG4miUTgX/46/4+dZSDIiAMFyeuRy30Uz9miaetEuWerr46b
o+ynGERxHXWrfu+rpy4WVoq4Xf1pFfbgMctNCveb87glT/py39SrIHqRpEMatAVJv8jmpihLT9tC
c4nQnyE0G+iWTu6oey3bXJ9evhnq/74AslMInQDe8G9fedYh9CVZ0GE/3FGCLgn8q20c8lqRzcKd
f6jfk1f69brVNVcFdz54NJAdBNZ0mZaTPakhNz8oFmSUc/Cld/ldwnQAbyq3SNCVf1NH058dD5+D
XCiQgLYBjvfiblcMrdFLkVYH9tg9V82zXiU3Zf5aouhrSc5ubLuH6wNc2xpLs4sCNDmQXDweQKlB
SOlUMQ1USLbdDurE9vlgHfJmEhWo+MzUP2NDP+LCMwaMsMbdu5QMGY3GSmiwrFu06/bRLtpBqdFX
NhHKe9tyX+/tQ3Ts9tlOd8NdE99EeSB7QEQEoP24Pm7+aXLxNdx2VZo5A0dKSgOtequk1A3t1zS8
SUNr25rSpqbGIS070ou0mvl8wIVd7j7d6vYcTgbsjuO40VHVLWxXckgIdu+YKJlrU8lzotco3yiP
/QQ+RSggdi4Tbaclyp/ctJbPQNc8ALPIJeGuzTMG9GYalsgm0SBzBi+1blLQMSkjI5oRubqI3eKT
denCGiBzwDJBZPkCDOJEVqeDw4cGR5BWEPrSBRCUJ82m2qFZk3z7DtwLib3Ijzf//J25H707u5On
+CGJXMOVPcUd/clTCSAxgpTp2om44ObReLhgh8Gmdb7Js6kvpnbEXOhsJg6Si2RO3mZjvG+teS+n
yBPPN5LN9kM2+ZOR7zpqCVATK6uhIZGJ1zAedEBoc9EVUrnQpRmKNsDrcdnqEWmmfazcpeUfAgmX
dcc+R3yxF0kQm+9wTvRYnoeib4PBvu2k0dPym1bu3HI+NOOui/fXd9nKqQFrwAjjnALjxmeW4yR8
ptag1n0/t0ELlobt7EHasxClCi93MnwY+W6AToAEQTmHi9FGW8VZW9RxgM5UNe+9bGeDAyJnXq5a
JKFeX9e3ofJ8fWTLipx59GJ0uRcuwP2Fh/3cZxIpKx2jG+JAhmSiP/dqGUhTXPlW32Q3ZaFWbqtq
mcu09q6FUqDgSnrhL0irLN2XYHhCtgE6bOfWwVtlzhX6ZYMpL9JgsBTAqPQiRO+U1RyiITJJNrFC
cG3jrtoWWqjwaEH+C4CJpctjOUpOF3Os0RKBy3ZQqbJLQ+VtbHsRC9jFebvYWJhM4DBwUv68DfWW
jaDYj4M49kvDlzNiOZtwo+ffoj+kb/hnOCemljk+GY6W2WCurc04gKs8JRol5nRv9I8S1e+V8vG6
t6ys19mwuPWqQMLLoCMZB9DtiOon9TX6GfYLyeZ1M2tbYQFlo7i24HXRDnQ+pp7JE9I1Cvwi/dow
09XjW4tu8yP6PPJj0c27sf4QmFx+ktsIZya58yxSe0krjMUr6vERwrHoD+/cZDQ8c+pcO2JuAsAu
C8cHeYyIabmz/lFkIs2m1fk9GTfnmn3bNRa03PARlle1m2xX3ABBJAmi9PIrF0NdetSh0uPgBcUN
tW9BlztB4iRo44nkxeyCGX3ORCzyl8fRsgdOzHCDmbKuLKE9Dcdst2rVbBcedEdDgS15SLwbhXkL
GncmhQhdfxGsObtcHK3UYpCcEHZj9SO2Z38edSiekKLpBNHr/xkh0mKGDWjDBQuTM6MiUqLEH2S2
HvlJrScEL4jEdebqSUkh4lNk5ZtSTz+qLilcrXJqd4rLLxqrTMHZvzZmBSlhgBBwOqEp+nzDZEi7
ANiNMWdqfTBAW233vjOAzkVgZy12otMQSS0w7ODaxc0tc2hitpUdB0ZWt1tWqV+tQRfhCtaC56kR
LqKlRaWk2mRgME32YQ5u9aPWM2hFpK6c1J4JIXv3+uZfnT2UzpBd1xeuU+5Gz9pMS1DUh6fK99n0
5qDByjLdTn26bubyyQvPVIElBeBkuSXx2nm2gb6P1BmSoOq92Noqnemm6aGXGZmeQJE9AXxzr4K+
+LrZtelcgG3oeQCZM7rZzn0jgvhkaTQjvFTexahOVK71Hfw2cgUdb1GD/Jp/nNri/GOAplSWFLCl
VLU7oJdF2GcossA5B4Sh1GmcYMFRUA5K0T/C/iwV93mgolwLMBGkWVGQ43LENi57at7OSZAQQLoF
N8m12Hv645yr5f2U2tAiSQKZNu5ofjOM2i1bAZ5x9fw8tcKdn4BTxKXZL0MA2fZXKG7vftib3DfJ
7rpriUbDnSSy2hiSLGEx4uhZZ8iZyBTiYaLiwPqS/14QzoHzEKi4SZ+SYEZ3c8IeCv2/XHHOa0Pd
rOy0wnSFauSW8UML1rnrEyUaAue1WtNB2XTCEJAbJZODNE8i6NpYi2EoOOHKCToMJEC4izyY8uJM
tbEUVLFcqk5+mdpg8v1GRaz7q+FkyZ5BpBVqrXwBuTf6VkdyH1vc1vdGmrw42l2rPeJswuteuekz
USJ+9ZhFl96/FpcvOrnhzqpOjRot2UF8LyGrgpa8+ik/Tp5hEcU1S3TPCc6DVbc+McjN5SBPVmoi
ZRUo1nOUFT5tbgZTZIQH/3zGGeQQQHygomke76/zYYFbu21oKyeB+gCiKeUo50R/jnxzy/zsWHwz
HvRNToYv6bt1QGPenqYbkfbTJ+SYvwniGYRa0ZLPAE7l/BNaKhWjCs2EIIe21cP8A+hBenTCw1w/
GDkIQ7WXFlmsO+kHKsLE0rzrm2LttntqnZuANs5R/9UsxML2XettNwEbmkxv7OGjmP7mYELaHG/N
pT0ABefzkTpxFYOVVF+2uOmQKhsKD9wNpmBEa9scty/kWGV0sF5oKoJqBzeAWksCU092jpMepkmU
WV3b5wvEc1kwJAp4OtOya9lCKIDQLstEBxX4qzm9jKMgnbp4OO8YCxkyZPRA0X+h2DWAw1rtIF4f
JLY3lwAaoOlGZ25nkHzQyQw+WS3OBbtu9dQ6Ncp5Y6Zhm+tAyQbF9A11myGUSbM1vprKhxlNG5PF
+7B/ue6Ca+MEdQb6DUCqAvpn7jjuQlB/hKmTBLh1SUjmRv4c2Pe02PzV4Jb8JLrVwH6Iq+a5A4L9
0q6qNk4DaxzxFNqC2cqaErDmoQ0qfohHjaTgRxpE+VEeP/oZZdD0g65H5EiR6eFOnqptISDaYZNp
OHWAwckIKyBbAgwTMqQ0up2+SsodDelBDR8m3VW/F/uebpqP1PwCNIXgGPwENPJ+ZX7Wr8DcAJUJ
7msk28lbqM4kweSPT8CxPtjf5w17jB4AMNijirbDxHhZ0D80iRt9R4Hi+nKry3pes88dJYltzQ5E
1BDwKhLeGJ7xY7wfvYQMD11Jkm/Kdj46vuQDV9uHt5E7Hct9vjOfr3/FqtOdTAJ3vKht2yYyhZ+r
wzM1USDVbNLMblPsVGsTo4aQR5lg4tcObZzW6CVEVzI4Pzjvq6M0S9QUGoX5rAEP7zKL3fToyoqd
TXQv0p9ai+unxrjrlJMMThxlMDYdkl36xIBV3ojC4OpbCvRt6FlE1/pCE3C+nxKFMalieRr0GqCx
hekaZvcrAsRi0rVDndH75VqqOdlNFL4lwl6N9W2FAiJ0dFCFxh/n5qs6asK2yTBGF/Exe6hSr3xK
X2fozWyH+ybaJHfoEn2rnqQ36W0QkoQsb5ALP0bnDfqjLJRp+fW0VKbMkYGcKTQV9+DKC1+yjNDX
8D5Es93rz+v+unoBQ+nwk5IZTYo8Iixua0i7Rm0aNN24k4eH4cb+kTCiVjaRhueucQ3vmQmSK6ub
BI6Khj7ULS/UBiyknevS6dOAvVs79py51V0O+qajiP19dWec2OFee9AEKOs+HdLAMF6cGdU6G1RU
ga6/S/u+GQXxZ/WIW97g/xkVd96YKpwWqopp0Hm/kJb6EnosmG9RsBSmUJcdfeEhaI2yULNAsZuv
JhRz54SZhPmritwd4w3ViYEekF1i++a+fxm1bZ6R6qW1blSUSUNRAnztmrKI4/7HPLc9S2keADPF
QDfjd22LHszv131y3T1+/z4XyDNIo0COAr+v3ugTcUBU4ZQ3lvUFL57aNAgVmPt/Fu63PS5mp6M9
KBlgEUHZah8QQNyWdbHv7PuwMt3Q2IfjbQQR91z02BKsIl/S65URMusFzGqbLDiIRGbWj8Pfq8TL
tVUl+oZailnsN5Mfvncb8HEo+/ZFenU8exsd4pzkMpl+hG/WN10h8s20yQ2i/iEt6z93lJPP4HaF
2vfg8mrxGVGWEFn61vd3DRXlRNbu5miPAssLeg6WG/p5xJbSGCFz2XqzFx3erN3kGsfua+KGx+Yh
eaJ+ur3uoauB5cQeF1hkvQKPUzKlQVZtC31hjERN9lEbbozprlKF98vVE+HEHDeHhtSAZciGOW9W
SdqT4kHfzrVHAytzjfq+EQLJtbUAc2Jw+f8nr/KagTZVjzCfg1v40wMuEoc2+Dm7ERn9di9i/Vrd
7yfWuLdBpUGvTpU/rdWB6uruSPpfhvvr+pqtRq0TK9w1SWOQ9bbRvhoUO/se8MyjqG31EjaBB+Cp
F3J3I7RHlmWswQJ7H4+4i9+Mx8Kv/RTgo2zTbZk3bqfHrCTXx/WJa704DU4GxoXjuSjxLI7hHfpW
6d3sm05Kr/UAVQMuITs4flsT+mWC9slXaSvvtLfYpdtqB+1QH4zNXkxCd9p0f5F1O50KLoTPAzXL
3MaShnoBO4YFioWCiYACa9sedxagIj7vSXyBGzQTQD7FUhokAO3HYY0Mg2Cjr04uUFXoq4AUB7Io
3ECQ4kF9InHwtNv0Eu5/+mE40G3/E2q8wfgUHcvAQSYHWmO7Nqi33a/qtd0WXzS/89meefVt9KPe
ClM7y37nV/z0o7gDSwvVJMpHfJR012xUv/ZatyOJH78bbu3qm+v+xfeRfUbwE2s8fntSkxqkf+Fy
kOhu4iZAtf0oSeGWJN9ORPKum/ukpboyOB7GPasoX5oFBsf80ht24+tPZRPDoeO74V27k/3u+/y1
8YuDsVV24V2NYyu9wXUH7XS7aNs922TcSdsCsB3Bd60727+ewBeSkjxhWijjuzz5RrqT9rqr7aFS
UkAJFV34X5JddphetF35jkffwTwCH2M9xL7l1h8QBmvxDP0S/dBc+V4OUhLexgJH5VmpLlaJC9kt
yGykKsMqoSOXvNDlH8t9m5FFPXwIGRQFDqhxEduGVBjVUxiTDw5JiLbdvCpEJ6n/LnoLrl2STp2P
i9qGEQGGsey/XP9g+b1W/ypEqcrVuH1qg4vbTJJTtCgsDo6oGd9JpCcpiTfTJvJGF6QDJN2+/Lru
TatvzFObXNCutEYynBY2I3va1Kx2EygmVWG+7aJpV4fzQWLtLhk60F+zO9uJb/sh3NT56EnztNUU
6keK/TyzO0lUzRDOBhfxxomlTjvhy5ynDAC4ydd2zAeXI6lcye19aAi8lgeRTNvqHfx0PriQxoaB
xsOMdQZRzuO8AyTjQfeKDfU6wV1x7bJxYoivpoO9KDRlhuENPlr4jzpxtqk/kPjh+gKv+q2DjjKQ
sS1kmNx42qyVJ6mIsiBLGq9RtoVVueko2PSfp89FrPxt5XNWT+5peh+2RiWhS1Jp9kn6SxnjnWXv
HLyaxqm/H5OaxKbjqn3tpiVze23YxYpbhJPbAeKWz8WXAURtJeu2Wlht5rpDkU/fZVTyo7TxO0u7
c+TmJqT5kwP5iL6l/vVJWjYW9/lA3i3EBiBQBn0Rd22vlQGo3qKLA72e3bpriK7Frho9l4NgNdbc
ywbED+kkkJtdlgiKbtTHMbMAhevorrLzu7bZJJnvyFs1e2YaeD8iaFqL8g8rToCrAwjpwLjmAHDP
O8GUN3jhtUkQAfzW9PFGM3F7rmYBcENghs9XTZGetQykg0HeHeI+9SYldjs5FxzMa1YAYVw6ndHC
Asjk+ZsAC8mUVEfirYX/+Ez+EJZqV9wBCMnfFpYvOPFmKjlVp7copOZzeRwq41DY46ZpppeZidr4
liDGeR6kVxWwrqDUCXQiF/LDZqbzpKIqrObgGEig0aBAsGicPZb6o9nm2z4WtegsEf3SJBjBFu6x
S+rTZOhB2upg/qDCWqojgeyGnzITTGflDngHQTZqdbWgLfsfa9wLVbHa0VIqYBH0wevM9yz8Hopu
RKIBca9SYDntlklqEnTWPG7RQ+6AJM+BGmExfjAjtkiq66Ik/6pNyMwsvQ5Q9+AJd5UYLZ1SjlKf
0rlyfLNh1pbOm1JUUVw5JFAX+22G88S21ms1qlA7pY36CHGbjRKFrtRJu3FWfAr25AXbI42y4Cm3
ugF0JDDQiwkZTh6dkqtFExqtATBEOvwYjXnrqLE3ZHnlZmhjuR57V3cAMtxAKyH6QhP8fLOZVatC
JhtDTJQ9dTWgZTW3ngndhLXglBJZ4lxR0s1Ja0vUZdBCpUTPTURULUj9qTuKNK1XveNkTJxHoi2h
q6BA9mkpg7pecrBLN8yeh/BvYuGJIe6yLQNzpdvZYiiVt2l16ObMF/J8raXmbbAx/7tEXMQdaO9I
2YwlAq3tNlGNTfUe91sTrIjat7zYlhbKaWZMonZy20awaMtvX0SrhdgVSi/oiOAffWgmlEyDogih
zR9z9DCKekxEv885haWFLVqC8ftR8suQvwnPkrXfB5uDjOIoCP9Vc3GVk7Okt1vLmboCp1VN36Hr
PR9G1ekFe2htv54a4a7KnVHklVGnn3sIeK8MHUCpfm+zX9e36losR0vgAi5EAuKiHKZP3ZCYUE8K
Gucmyz4aVRLEnbV9gwQiOopRL4dCGTeOybDbMmeYLOSuzGbayhDSQHQgSnGQUuEDY3VpTqxxt6I4
s1gIov0kSGOQFhMlrDpviiO00eQQFsqY2vuFnHVfqrR9mK2mX9qNhlvGSsMblKL1hnJ4trM5Fyym
4LMMLiDac1NZ8bBgn5JIcgcdtHdZI4v48VfXEgkrCHoA0IWk0rlfNi2dut6kAGxqo4tQKF7MtbML
7Xn/WuB2Vs/KsesYLACz/FTl2UYaQ7ANDcRk+17XSa3qhy4RhIsVD0KvFggQ8eIBrROftFG6WFmg
ATi5TMnt+uzYtvU9Y7KrdEuvUBzt/nhLnNnjIr1lFyOlFPbgRyRGi4cV3Uz0L87jMytcmI/jHA8U
BVZq50Yfb3L2K09umCl4ka64hINOnaWlcpk5nr1cd3QtkynuNKUd7nIj3aOBzP5z5wYZIMhnwJ+n
QVfu3Cmuz/1aQvDsx7jJZwC+mZmOc6lNWbopo2TfSnF033aVP6WJQhIwMm0qq/qV9VkWpCYF7kyL
vk6NNu/bkYlatS+7bkEUDfCLCUqThSWJ5+QwIyPRixynceTkx9KkBzl6r7PwK4TmNk5sErNGAl5D
6+ZM0grnpT0RO99Umbq1suyY68ObnJrfr0/S6oYAIkzFCwOtZZ/5n5PzR4ucrsg1zJEkecnsG0cK
hlgI0IlScSI7XDBNQ1p38oTLVVxXhz5Xd/LcE7ATgmteOTZpJdjnKyceLgP/Dot/scu5WRgDhL7Q
+0sAs+tDD9QktBU8XkRWzr31f1rLqospxoIWRA7vXzPrJRTJqK+b0A30piES4xF4HoeV1OjCscG8
qSlSs+NhAEnNq9Y/XPcCkZVl9U68gMZWnPU5rEB/doQMRQAqbGGUWjm4sCZ4U6JvEk0/PFkCbXU9
ZTPQZ9S2GUlHw3KnbBTBu1Zu8WdWuDsCcDJ2qavScgk5WPbg6q22Def7RW8I7E1ulxyuT926Y/8e
FefYGphLkQ9IUJQ3umNq1s9Z/q3O72WzBYq7ETjc1cGpaH45XydIG+rIxQLVlGoqUawMfCc5kV9Z
dZepCx2UwC1WIz7IJVG5ctBzygeHhYwWqSGMDWIROCfbtyF9vj57+rJFuPs7Io+x3IBN9LPzLDW9
bo9VQzEip4sSPy0s6kVg6nUnmklk6sv0CytlA8TVWe7TlGabyKavo9YOxJESnSh1G7q4vUBUsqO/
phEgqyiONXdO+sLF3nHceRzejbxlIHQvIR0PTQurSMMjwK02aWMtitDeGQK9AWnMFwfSGG6vRPHd
DFItr6rQdVrT3CYlBdEckiKVq4/mGCgxKCN0ubR8JRokUuqNCaoGTdtcn5z16f89N5wrxzYFVVAa
pUEdD14d954UCZx3dd+jcQzgJnTiQYPu3J8QdWyGtCyy2caDEgXaBK3MnhiiW9daWhOr/NvOMtKT
+GKy3EorGXbMQ+H4eUgkww113JUPyQ9pr1WCiVuNNCfmlmGfmKvmFJUIC04V3xMmYLwSTRkXKiHg
1Kmhgt+ugBjV75rD/HZ91UUGuFU3+64xqwlzFaWh32jPzWC5kXo/pi//nR0ucJW5ptXQWEDpOz90
zdYGIri9kVXBBheMxuEiFquglVdomK7wmd3a98kXkbbiakj8vdbcjfF/LKmvcqixLWVYJSGtjD7Z
Xfx96KCoK5iw1Uh/Yom7TgK7oKlzAUtKvkEbKbN9vIvQbimLuqnX9/2/u8XhrvNqpE0oncOQhbrs
mJA+vsHmIdeXf3U0KGWARV8BTQJ/GQX5EsPqL8vfPDoAWEkmw660ifVhiigrVsezPNfxF/Ic/B2m
laKyKscSwA95i+sv0UZQZ4lwZKvjAcH3An8A4I/nz8/BZiAlBk0De/A0NP6VrUUKK15EBqkpOBdX
fQ7JT2StoUKA18p5fHFoGBZVhaRQW/hp4o/9Bgi8qkBjrV+LME6rsezE1rLBTmIZ0vFDKjHYshsC
ZFosOAFEP8+FM3Xui1AfAGFmDFmhNtMtj0UiWtFVBzgZAxfSJKoVjSVjDOV42xkfRnUAn5/garS6
/iAc0ZfOVlCMcUdZhBIDXq1IDCHjHs9oOcwV0uTQdZIDiItc3zur5xkY7uBlAAZDwopblKhmEoOc
NZCfKJb4Uz/fWgOVt1FbKl40scRFc9qNbk+6N7GxJqOt1IJgtDalS8kWDcOA+yAJf+4WKYSm8cis
MKXzzzT6Mv5FjyhUBn7/Pnc6mHZcl1kDuDUF92mZmcQqv1PtWTCPa6NA69nSVglhLmyl81GAxLRE
zhMVwXo45jKlLrLVQdfdjywnhUpJCe0mqwKCBQuaFQ8pszeD0ZHRuLcgSXf9Y1a/BUB6SBsvFH88
+x2rUjMcY3yLAg0mDzkh6lZ5fte3oqfwqqGFZAWQfUND2vd80G3lhKqdT+j3mdWPOSwdX0sk5iXY
d/71IS2LxF+uTaiEgzQWeuGXxCpVN8a1xdBwVmXPfQ2e2+mulPfxrLpt+1qhlXEuBNtwLTRiBhXk
iCDghWbQ88EZI8vGph3xksyiTbGDxhuJU3eKVDecIhKK6A+WjXYxwhNznJvGRQfZSUVBfi2x9opT
fAFvOkAGCiWNnOz/YjZ/2+IRGb1agRGgx9Ds6gXt+iQeGlI6MxkfNfVBi2dPFvUfrDWYgHwEj6OF
pd3BBf18NsuOJumcoD2zHDeGkh0rsCXljzYoUG2nIHnqxUczuaPJINgLa6eChXbXT83qhSWAswu9
DkhCIbER0yT6hXx850pDpfxFDDu1srwNT442OXVmnG4YndGnu1rDEyfdzBB0vr5say5yaoW7thW5
M8kshxVLnb6pEC1X5wNoydxEF8Fc1jb2wu5r4hEAUhE+wdHCOWJdxnM5RLpg1xbFdzQqy24Sj39R
AwC/FZ5t6O/ExYandB+pXfTh8kYwZ7vzixnKHnlLRfp2q17w2wovgqpOkSVpOhI2kvah400OWhiB
n62mRIE8AXEJ8C42eH3OXaAr0fyodahMGdR3gPbvNtWzLN3SiFTa0ek+oPE6/UQ3vDG9plHp5rNb
VHtVJF6ydndYiH/Ra4qWWaB0z79CmyXWWbRGE3C2T4ZoE1d7mtz25rTRYlF77po7ou3wUzMQ+BR+
6SQLamB1A0RHHxbbvnXfihwiir1I+2wtDp+Y4dcuVuyituQFV/HMMmIOxP4pv4XpXSZq8lk7Y04N
cZt47DUDuq04zbJfzRtMZSN5nCXfDD1Re8Ha9kKZGVEJIkHLIX2+SnbSLlchxPq75gkEcoJer1Uf
OPl17lRugDHIQwO/XiwCsHJgGa8Q8iCW8daEu+sRaW0gIO8zkJ/GZRXPr/OBFFIBlrWlQ7scm0eT
GpBs63aG9PEXVlBpWHSVDAjrcgszxfjVDgRAQdGloE4l+vBkTSKe9tUaC2q+QFvJ6kLVzp1Q0EKQ
2zEHuGZsfIqihUaZZzhfMtN2i9Ih+bRziq0Zb8FyQkrtIMnW5vow1/bTIg6OfyCeBuWl88nM5CaF
eDYm02pShiZxZ1MDm+VlRdmQSIriP07/IO2KbvTPHn50tXGzOjOw/9cOnjLdSN2+A9EjHXZL4sSo
BdeNy4HBEg4uuDxoz0FAdj6wmTlWRKGUEOABmIBhBjQzctL4IxoCQ317fRIvPfLcFueRc6uwtk5h
q3gxczJjGVWBhfXR4Hq9tJ+DI5XbvIUt1WVr4HmWDUB7poqW7sqqaElvJg6xrcz+L+1x23nWsCna
ngEXIqHDxfmllb+ww4SMJ+sTh+Q4yKjwHORVr7qGRlWvT3idS/U7sKv3ZZvfSlEu4k9awdio4McA
vgXNoA7qdEv4OrkrhaVd2GWE8Sh5SdQodq1CJtD98miU4hrfEdNJd3mL1pL2ndX7rrb86y6ytoCn
H8BtdKkAc/c840GYOs+KcZNJN5o/iKB6KxdeDBOvItR/0VMMPcvzYcplq0stHtVBnvhdUxOUQOMh
9SJaILKgBQiCiL1REp36xp8XO85M83feKtLssF16yUr04uVbgDcUUbJlhesEZW3I236S9log8Twf
Htj6C7keO0wik3yIadlvNfrgUekAMYgXTz/GyaNG74K3W8OKsgxkY+EhLdSv19dyBdV//h3c7jDz
eqBNi+/IXj5a1zw0nhF8D9/iTf3iHOhGOpj3xZP1JfIEdpfoeP5cO7fLvfcpheS6UcKJopeo9Evd
XXAeNZH3tXqQOx89Z6Uoz7mSq4FN5INAerGQwvKyibJTVENYYudEZYcufN1tRwKMtb9g4czwwHpK
NBbEIj3Ulf6Ec7tc/Dabrp8LBXNcEakid725jT39nj4DjYnbXvdIbQJBrTgjw9fpu2CeFz+6mGdQ
SSIfZoKhhe97qZMMNBwSoq0uQdWr+eGw2I/jcas644bF1U3alfd5slGVHgPPvxklVCiuf8ISjy6+
wMStHtQIwPbyVCNN3YcU4rvIH03Drdyg/ctpv+OO9ZWC8r/t9bfr5lYDxyIJCxiijNZaXiOEzQWF
fvMMegC58oB0PyTSEJGpth+NZzt1W/lrM0IwjlokkwWzvRYZ4VvmwoOAc4Bnw2ksiqI2U1HCvIMv
l3da6eeCNsXV2TwxwfmShXtMGFoKon/s2dAYLRvwT5nkf0m7rh3JcWT7RQQkUfZVLm25VJmpehG6
TMtLlDdff49qd6czWdoUdm7PywAFZIhkMEhGnDiHRK1VroEFf7764Ldntri7QKZONBg1GcntVv9o
DNmMRHK6vlpzFP/hHAa0rIA4wXrxufoxrzoku+AcE26FtCEOik9FB1418SsiNzppIRb5P9+5MSqs
kKopIKXDnsAnnZ2fVJ1GqDWpuE0p2P7qGzieRKldiW+Ly3RmZP77mZG4KhiY9TU8mDOjcGJDDZzO
EMypTmKTaU1oVmUWrthc9D50iiDGgSkJFZZLm1Ws4/zIlPg4SM+5EJp68qwNbwVAiNfXbGlsIGjG
EwvCsDObw6WdCMRxUAbDBhswEhsoze44+kpny1MHbfQ++QTbg7hiczF2z4Vp8KDNd48fd2A/7MbM
wJncq4fyZRjv1RANCVFg0dywhnSvlw+ZtrLXliYUYqrg1odEPKADnKckedx1VMd2DkHHRCw/Rgqa
3MvFmv7g4oSe2eGcZUrUQUlV2OmG6l0ovDoJN8YLyCvdkfjGSjiWsTr8jgPJLtCWczoYF5DL1Ssn
ViSkiZKj9iKCXmGNN3x2sms/zzkHZZI05H2WHMvprQ98k4EBnxGvJXsJyvXj8HXdF+efu2aOWyIo
thGAX3O0k/WKWfQPOqjaVkk+l4LU+ZRx61MbTVim1QwM7AzwVN37fWqLw4My2IbuJAEgX+VKLW7Z
3c9WidvLOWmGocphMig2ebWNg2eQ6podcsykemnqjaj8FU/yw/XJXPT3M6PclZuB2nLIICuExAf4
uMQTOnJMUbybkMu5bmjxRoTEDSSCobaGpzqXVW5rKYFWapGANm5TqeAda1Iz6A2Ij7Th3UiiTaSo
zgApxyrZdYLvitnkFJ4CqrBJKA4Q1F6pVSy5ESghdTxK0WCFWu7lphjEtIEQV5UcR+FGk5/wRFxt
H1ia3O+UIkppEFflhywTQ4baq5IckZMwxe73zHQd1KopiWuzu+SuKKUhAQY1GxWceZeDEaTcIOWk
JscCFI7hLujEQ5MHh3Tu+873dEoeu+rt+oIuBZWZh3n+B1FtHqfQaXQUaipD+5IOZow36SoAbaFb
fKa/na8KAKEhHHOBpaoMv49KFAX14A7d9lZMbuYu0d7us7fpIDJ0V1GUJvAiFZy6d1t1ZUsuDhH3
hm91gLnp73JWy5AMLJsfhUmr527IyFNuQEjt+jwu+SEeu38b4XagHEZjAH48vAr93KVVYlbaYK3z
v66Y+Y4+Z7eToC6NRqd4CKW1tAuGB+Qmt+t+uGgFIMuZkBwdLfzdjjEDynxA/BzjCY0auQgAbpmL
v4jRrtE7LR06SCWhWRYkyXOj3eXaMKNF4VPHzYeR1OpTYxMaqLXLoB02EYU2bR0IEAhYEyNc3NFg
WgeNJ9xR4dXWg0hBiUqYrwfVbiTaoUTzR4vlKv/R8GbxBtBRCmAMki6HR7FcVT4PD6D7bUy1LTi0
lBiPm4i6WTFCj2DturW4dGcWuayAgLbZsFBwRy6TcUfLTTtCskVZuV4trpqGBwaazSG6wTdsKVVJ
/aaDfyTqX+idqV3F34n9c8lw+FT31zfW4u6dK0sUGWodYfFyCpswrTKUfZDS0frmPsgkcldkZetc
t7I4Ih3QeTw74Yx8SlhRCw0oLdytWmQZ5/rH2Ju3bQ0Onet2FpfnzA7nEEKtJdGoo4lecl4FcyUG
Lbo1mkhmGlIcUzyMrlOCtihDHXltCV2W0mQ1gwyZrPsiW7lu0KWDCly/FCiBuf1H5b0Mu3aS8Gg5
6nWvvzYkUezRHwwL2Jlw78/NqvEUIG0QTMe4jCULxBqhKcutemAdcZB7V20hzeRtOYhPIREhgpRL
qcuMON2JI0WvvM8mu67i+iVqBsUFT4Vg6hEypMWUnrqs6k0Nut+2HErsrovxHcHQihAsYdF2SPvI
KlRA7oRCHR2gf5JNV2ThIcAvmzQGOAqKR+rK1C89BGbtKDxQQZGHe9Gll4LkudQLZUqOA0m8sZE9
pDLUhzShqV2yIHwNSaWsmFw8V4FwBkwDjytIF3FHThWoTI3ogHvJaFa2CFIUy3gRH7WX5Ev4yD5F
zY4rCwi66x68PNK/rfJFySgTE4HGsMrswqj3g/YaVF+EBrteebpuaWnng+TdQEsliiggVLic00RB
v3ddYE7lEoDDSkgeK79cm8T5vso/Q1A2/qYCADEEf39EjqsSWzImaIiStkPzkhjVvQB4kjFsSmOb
5b0ppKXZRo/Xx7ZQc8O5dmaXW7wIv0o6qNUewwJi8b2QPE1iVN4xxRcO2RDkD0EexGh76Ue71xWy
8yXxrzwQqT2MGdsBMrCmdrL4cDn7Ip7XTgcKriRoD4OGksmO2nsgutJH90sw28LW6xUvWgpVqL9B
dxM1YLzRueGTuhabNoSxIEbLXrVLMzT/Zk6Lub4+0cuGgPhBEgClCL5mFYXymBiIukdI7QioPohN
Y2q/wq/rVhY3BTCLoPuA/BXkIC9dtR5rsH9WiEOa+Q5COWu/Klq/uBnOLHAHx9hWbZcDmIXqHoUG
zUOzBYvJljqfoTnaxNbBH3R9SMvh5cwiF+NTRUviru9Aoqx9VA6SfKncvpK82YrhFtBppC5H/Ubp
CpNCH0BLzS5fU/5ZOpRnJOh/ZnWek7PLbhq0yjjMswryCht0qrtkEz2Gax7ynVb+EQLOzMxn9pmZ
kZSZD/lmxG5EUROa4RtoX20iM3hDit906yMatiL7BXlAB2UAu9wFd53z9DU5a1C/pfEi6YaCNC40
aNvgxtvRDoQlko9TtZysGKw5FdjEWfk8yk5Wq3iZ/Y8Ku4AVAFUIDAOUfugM3+TuVkgTRrKYxSna
kKGIYQjRJxosb7NkLU22dOsxFNwTgO1Gezx/Oo4VYAQAmMBO/TCwvazvQK963V0XTMy0wpg1dU4H
8FlGrZ7StCx66GM6ykt6CNcYdxd2uIgbvAJFWzTF4zS6dBKUvFoWFUM65z1koAa2ZQeNSEvyV+LV
4jjO7HBLUsudlqtGlx4z9hsYa9AhrKLRF0Ii4CTowMdA0AnMC+YGUZLoRB3TI0s1d+xu5rbVWvha
RVgvDkU1ZnAzqt0q3+QeBgYR0lZNj724UeqbPnYAxPkHq35mgou7gZ7qQxXDBJArdb6HCXDgXzex
VLWfMV6AxUgzfRTfZIEcb0PSFhgcf6McfDd2cVybjTVuP5/W8j9Lt4ILW1yURxq9o2ENW3H8pPV7
2oMVHCBRgxamENq5aoO6uiqcPj3R9GMthUEXHeNspFzEj4I2J+U8UhKaxoeemuMhuO2OwtPkIkVr
pYd3cdvYw6FxIre1Wy+20m1pF0/tBprHh9GVt5WDQkI0E7d6YJpbjdQLl7WL6eECZK5WjGbz9DyL
tuAM5rSTYE2zVLOyfPuluBdA8/JsmKFz3QcWPflsYua/n50QEN2ZYob72THt/U2lOL0gbfTJvW5k
McKcGeF2/tBCv1plMKKwR1yvM3IShhfRGo0Vh/5GU3Hn3cUscvfqIdILWZlHI9qtWd62e9HVd6pF
8X4orNCKd+I2uWXuZGsH1S4t8fat3le7EIx8G2qDOt0WbNkFhZvVetD+ktz0QYQ2bbgdTRUzT83E
jtx1Tsx5bfmvnkuNc+oZ5yOfRWSGP5bSDGSFjni1HSf7+uwvFZ8B5cOhizSjAgpgbuuFvtBqKYGY
AkNDPzWnzPUTdB43z3XqBKXJUlNTs7tMWzm3lvbcuVluz0kqqVMlwrC0WHObAc0uySAdRbX9pXbh
mmLpwgUDY4Sa9py9nxnVL/1YhRsHVMEYE0ndxfUGWTYxD9x0ayhurW2uz+iSP+NtiqQebhgQi+Bi
sxz5vsLmvtS6qqxYyA/IbTt18RAJA3is//eM1Nyv8LcxbvWyFMoNfgfYNg3HW0Wrb4L2VdU6O6pK
UxATt5fXxMQWFw5K0aDMmLEROhcT9AA5P5aj6SquAe0bWQnSZRX9Snkli2aM3pDt9elctoeErAKx
CgmPjMu1M2JQkRkd2pUCcfe2i2Pc1wa29hqevY3fZEhhoJiCOi0SSVwMEqIhkOq5I4mJzwJjboe0
jRR5UvlXKO/6dhdIoZmi9VdLvkp5m1Uv18e4FGfPzXNjHPNonFKfQUPBVwHbLZC98icvKKvTdTvz
6/LnMFEBn9POyPZwm46B+ygAshatX/RVFpQDjZttlXmS/qsU79M4c7pmjWZieWh/THJbLwBaGAAQ
oKbQL1HboFj7khtg/DK1XBnb0rZDveXvsXF+GdCMTGKGJRzjatOohs3G7qHRWWhRtTQJNAauz+VS
XD63x7nMFBEfTWGzX4LJKJJPrf553cDazHFOIfStIfqzAfaotKHFCk9WVoLwmj/McfPsfC9jtGh0
JfwubyFPloIOtsUpJ9yDeI8mKXSVflNgvK4Pa3GdRLSYYCsLUAvl1mlEdpNIFCBkdj/gFhNYSb9N
qNmwX9ftLE4fEoRIB+Nl9IPF0C+FxJ9mCFtca++j3yWWL/o3w7BG2bnoBxTviZnEbe5JvpxDpUwV
PW9muNrwpLZbonj/YByglxBkHZoLkN2+/P0obAukxIA36kE1lSlArgBXKnRrtANLBW50Rv2xM/vK
mS/4wpgQtUdtg4gw5btZAqZJNO//Rhpu02sSYDOlbKWV/oruqsbM63slAapbGo4ZFjNAd+z1cS/F
fQnBGFllaUZdc+OmZCjHpJ8rZMgVKjuk86fE1NeEgJat4PYJATPQ8PE6QASawkSZMGogg2v23uBJ
KPf3crJy91x0RlDL/ccMFyyyQO0b0CqhcATGRAgcJwP6gdI13CJnBSVLcVawxHMdWD5kNbgpM9pY
1+pGG04+pLdp8ynWT/60EmbXbHBuwtpw6POCDKcBjIhhCWX7ilqd/3x98bkg8a+RgAoHCDsNyUue
WSUnLIGkTjiegLkQvLABwZNSCPG2ZGLmkCqSblV/7Fei4Tw9Z6fjv40C6wDtZIQMHiWGCjMaZwVl
OIWVrPa24ZNMB81TOY7uFMnVh6JF8ktRDMztQ+LXK+cJn4f+No8rDiyroK6Fz19uwJJME8kIZraP
2a0+bQk9KuA2KLpd101mL8WnVtka/crVZ2mmZVSaUfIGsBs8ypdWVaXKQYQajye5PckkdVBdIu1b
r+778PH6mnJb7V/jQ4UJcB0ge9EccmkpSgxVDo1wOGkGlCR0v3LR2Yve7CITLOrLaw2AS6s5qy9C
ox392bj4X5rTsmTsc0LH0xjQ+mTUPSpjSlypHejKcNsyu0oH8mMMRhDb+moRrGGolyYW5VtRkHAw
YFX5Z0A6JWLeSdNpYtWxL0F/nBkotGRfKRleKUX++Pr0/rCHkgKq+sDpzJXQH7wOnQBR2Q7JxlMI
3uNR6c0+7cCH/U7CjzxfOVt/LOVsC48pIAig8amIXBAQ0dKe1kRvT2rUuzmT3HAYrKkLdpK04p4/
dwVModyOY+C7CE45r4HQaKfVtOpOqto6an8Dd93IPpDg/meqMTPAxaUNo8dWXWvvnMdwEQ1kVPhn
SBIEzYFO/X43n52HWqZXNOn1/pSywBqidz3cR6FgpVluvXa+smn/x4cVaqf4h+LyzGQOUim+tpyW
aCmGoJRwqsQjyzvLD9mDNMRukXYr0IKF5YMlaA+jLRuU6fzQ9DCqqqSIhZMUvTDJLMdNHEjAPAYr
LrkwhZBwnfV5QeCKIhS3BQIxGoZwMoRTUmm3TGocdb4pgD9Fq8wGtDpsiN+LbOVFvDS4c6PS5b4H
AZYStehKPwU1cjbhTgg+sf9H+n59uy2amVk5dIxPACHCpZk4b8K2HDG28FOA/rwUP6sAH4x05VT4
EcUQwPAS01Fdx+UPJ9OlGdYENXTTavHEwvBVGmWzKexMFm/lsEMyw2rDNSoaPh8ENwTuCYz6uJuL
8z2CGxiwd4FAB1k+AZKCjvbRooWy0VPDAlLBxNX9MOiDJbTMwwX7MEQf16eVv4bCPEhJJBRLAM6D
yjDfC9FVPgGMZ9JP0OndNOFtXiSAkxrISzmF4BnRbza8xtNDvinpNoa6gKq+kXu9cK5/xo9bjgw4
uoqebk2DEA66uS6n3RhzmvvQ4zmlBCDWXM3JoUeNBHMh0rvrpn7GbQ1NLphvaT6qUCa6NBXpYyoC
Sh16mSCb9GiQu7LGscRmTu3rlvgs+zy3KmrOs8PiAIY3XZrqAxJmGhhePIrc2z4Iyr/6PhJvkzGX
XCUn2YuRSqI9CjS16lSYdqWo3tVJX++TvDlQlUgrF64fszxD0AwMW0aqDBfw+e9nIXYWetaYiO/p
9Lu6ewTnsJNoa0R0fL8YSmJoJhIxbMRzSEfyo05E7Jfwe9SBnf3W7jr7fdjGvyOrfy0gRMAs3Uwd
gGNic7j310q5P8+vb+sI63NnD14xc2r/bIxMwhueDl3kDTp6OadHLfPCFnmJyEmk3wWrHEmC5Cp1
ri819yj915jB8TMTIEg4Ozn/FaRAg0QeZjYpA0eBLHGDHr3rJn4GinlkZzbmbzgbGUaVd2M4r95f
uFpJVmwbTlRAVY6Z7ElbaV1enscza5yvkCjNpU5oIq91epTFiaXarR1YYmtrqJH/P6eP25OyQpIC
tAqRhzY006efUbjW08B3U/57hQCEQcoRzd88ySv1jawNevhFbbJdcggeDKfbt7HZOYJd3fRb8tjY
ylqrw49YMy/ZrM6CGz/grXxrXQQdazWRMK4YJ7ElstYOtRTncaOf6ih5y6RgZdl+nJKcQW7V0jRE
yiSAjyCFYWZGsI+l90r9S2XdiqH5hy5ua9+GoO2BBxr66DXO4euoShNJGSIvEuXY7lSfmClujFav
C6N13fHXTHF+r4WpBBIEmBpTbyS6KRjIC6Ov7bqV5e2FpwP0AeYjiL+kqdA1GibJx/YSvoJCBA9B
81Bn9CYa9mnKdvRXL5U7kpLbRFsDKf08KObZPLPN3aFSn1ZSoxmRJ2vWlFrQsGeu2FqV/16Sm1JC
GhwYfTBZmXjWXB/2gsOAYRf83HiLKmg64NYxqBSw8HfYFoJW7JJyPBnyACaGXHygLaggrhtbWMmZ
ZRlvJjzU5B/G0gIAzj7CSlYUPCZ4LZ6IkuabTl9TP1vYd1BNhbIheg0gLqBzB2/e6yk+BGsp3imt
V8pORE3QIWRrxbzFAaFWj4ACjm7M32VIBnQppHlEULiQjC0xnpL0NtbFlQvLj1s9HiczqgxhRAM4
gJeHaYO2CtsqjT05MdFSFzWVTcRTLG4KnHADa2y6xufGQ7LmYHlhch732VGT0FDCOz2MveI32HzD
wvwrt/XXLwlYT9TAJcNUwVi04hw8/uHfRnFnQl4QvdcKtwnEHEhfNcxib6JW9ru4zd5kp99MqBiz
ZJdBMWGFxGV5Xv/Y41y/jpUSQCLY69q98cLSh1Awo9wCXYCkbMjndddfM8YFsbwaSRNTFntxaDjM
x+sv0C1tsDXiZcauH3Q8LYKVwLkU0rCMf0bILWOngOUEVabYC/zebOXHUjCHxGa0t1I6OIn/FfRu
hVyN0q+cDqtryR3oqZpSYRjhs+JH0ca7TtS35KkMRi9u0MIY4MDQLL0LLSMG+L1becPNc8mdTRfD
nqPDmffKaVcKWYW5HmWC9mrWTbgnlblzfUWXbkh4sCF4AixAFYW/aVYZG4suzmMvP0KDxJS0TVrs
IglE0U4FVdXpsEa0tuhDZwa5qJah9FIbYMb0VGvaAs5aYC+CBWF8WfHV7xv6jwk8M8TtxNKfZR2A
1/Oi5/E387SD/pX9agOzd9I7MTM/UpPuX48SFEIHKz+Jlvi0MrWzgWsfwG9NQR7isYH7FKMZnMbB
pDe9K7i9XT42G21nr5ib98E1c/zm7JVp6gaYG+xQtt6kr3v5jjmQ7Rs2R+Pejr/W+qPXVpLbmCyE
yk5C4DqVf4PSt6V4PVINIpJ6fXgqHuM4cq8PcemYBzX7zL2kznqBnEEigviYyFjRnt0OvSvmv9O3
aq2ktTyNf4xwm76kQTwGRR17fillbjup76FUiVY0DmsAraULE/aeBs1LpCslmLzc4nkS53WJ8OY1
Sgxu+/3o+jt6bOsnRd0H8UcJ4M5jhUb6eBBWgup/2Rx/THOj1GpJyUGGHXv6cOenX7V6oA06uqwM
PHSjcKgluyo/1Mf2V9xacv0cANngf6RsNOvyQTFeZN2N2Zpc9vLy/vkmLuJlGVTPjAjTEcTEt5Uy
ad0MkBIbHaUemXrnujOtTgF37UGOOIsghYLDrA7dSobe0ZR20Px7D5TuvmnQAz/s1dRibD/8DmNx
1+vbQXTjZDu1LivAADDhoH2gdNemawwHyzvrz0zMfz+L/bVc6ZUyr46QHaS9ag3ZrjONp+BeWNPR
WTxl/rgg362roO6Hbq55EpRKNMexiuxaztcoUpdP0jMzXNAvZCPUWY8BGcaTpDlAyYPdlpqZrb/E
+7X2gqXcDYBbSAgiS60AtstNHwlb0gRNhyMmcwTj1h9TcG08QtjXHCW3NJ7SXVw99bV1YJ96fRhb
NyW7WjTF13/iYX++gz9bVSMZWkFGKMnVbTFZitvmG3m6SVU0Rmt3mXqrxnbDalNSbAhDmUNRz+UQ
R9aOSf1A/G1LfqmZKZ9WPutHdni+F599FrcYcTcxmqqYnq4LX4nu5vV2DLdpeYfHWp0WgHOU1qSy
fcW2ifEhxa9ZB56SExL+I42dvJXN0N+yEdqONsB4u1S6CbLCnirtQHsz1Ucni9bKKsuh8uybucO8
T+U0gTQnng9PxVvqJQ/lTbYZnP5RfgkfEo+s1QEXT4Eze9zZndIRmCFQYnilH0zuWKOnVy79ymq0
PthdX4/vuhd/cCP6C7ir4BwAZP5yt6dZ1SAbh82R0wAySJkVZcFO6E4UaCRh24CnSWgf6eSqjTXp
nelnj+AVFkdTzkDyY0ZaY2bBiusuXgvPv4mLxQyahgRaCZhvnWzq6VUGqiOKI7sgk0ubjwQKIax7
Qw3DXZmMeWKvTQYXlXu0Ssplgz0TBoci92gRmzS600CMPd0VkYvqpL/vmc20Y+SvHIpL7+3zMXNh
AwRhVIvB9+YxgbxgKUgcoK9ANMO/dGmNEXsp7p7Z+p7/swivssqIG/znVQU6EQWAwNe2zNJpem6B
2+VQHhJrFJtiL5OgcTJKu6ys0YkkWYK2SvI2/9aPRUPLsQYSJaBu+KxTEKGXVBIwmjp3cCo65Jdm
sQ2zhpvuZk12ftk1z4xxoWCaNHAQgiHSqwUHNYe+tTuNHZjjSzhTAKWa/hrVaOWysJhLgBrV3yPk
4gFRUbyuKWKm1GWAr1oKIJCSVT0ad/q4L4II/I4bHdRUxYNGnutsZVcsRaNz6/zVfqhTTaoR/Xz0
zW4C5IRsY5BxbvW43q9swKVXy7mt+VvOPBMk+FVehPMtrDioIB8WbkShMsPsBgpWZAA1Z2QF1V3h
6mtXkXl7XXMiLgyKgzZMyQjDobYd6O8SKQwwHplJ428i7VN7vD7OpUPwfJhcgEuIoVQML18vym8r
IYfec28F9M0H1UYYTLgN29ftLY8OeurIGCLMq5zXdgORSNCMCPI7pdxNPcDCFus3WWPrHq1Wc7HL
O/KPOc5fA5rUWY8mVc9A4xJzghuw3FgKeg7QHiPbyEKvvc0WA9rMRwvoFdjRDW4+qypvIZGsw2BI
DJP20WROCpII12dxqQACvOEfM9zxIEW5JCoRzuU4vQupKU6uVt5BVAkb1JQhfKd8yb5LQcacm8U4
k7pamrqWFlqMrGffwJ0TAzPSSYnxDb3gZBt6EEVT+Cpyi9Uv1Se9Z7aa3Kbio872NclRel/LMX4T
2/zYKX9/gCJw1cEg7KK5xwqHs4Ai6z546nJT0cF6DbTQpmSunGyb5JT0R/2heEnYxiD7KI3BLBpb
nRRvMg2qQdJ9VL72+inOxs3/a40UgTt5oFfbIvmCz8sgfhO7XXsbAu3fvE+Jm8dmpbuT/0AgeiF0
O4FMdjx1pl6uNVEu7u+zOeL22+QPctdLKtJnGyO0QSTSPXhrHIWLqUnIgkLYEh4JwmnO6VNJaksh
AOTfOCQxKh7S6MjRZ6Yd8+YtrlqzZaJd6Y7Sva5M8VKQPjfMbYOpT9Ch2o+R5yfPbfg7e7wlqgk+
UTMYP0lstu8P1w0uuTyF/IsBVNN3++vlocCaMczKvEbcUOLN2NwJ2VMdKBaL1+7dS2Hk3BA3sCid
GlA1lqg1Dr3Jot5S9OfrQ1lyjHML3O71u1LRmhpDSRRmSUlrTf0xSe/6+L3MXaVbowtfNCejEUUV
kbECkvdy5jIxAiHpvFKNWFoly20fEPkMdN2+psRW0cqiTeM1KeOfeBg88WYRFBgW8Njj8TCxSDRG
RJTiGrv5IF4x2Ipv32cQ1kILYvJJHUvqrO20ghBbvJqdmeWZbpKBTcJUwmyL3LxZ3QVv9CS405vw
Qv7J9fbcFBdkxAhkE2qP4licQg6xO1DNboIH1Vi5JvyXIaELDDBJEDTzUG8gX2Rwrc/p6qQV8AIh
gx1JUfFURdVRUkGcXI3JaGZlaRwp2NUAAodM8HWPnV2ED/doefj7E7iLkVHrlGRtHHuaaMtVY4ZQ
i85HM9cPRDavm1rafkAwfsNeQATJZyRboRlyoUQ6CJqT+j5jlQItG5HY160sJmg03KXhmujoQBvh
5abQ6q7AQY63iTZ6XbDvy2fsOzr9Lr9yQDblBxFMfNHnpLjxuy/YvbH1mdPf6e/XP2NpsOdfwUWC
YgSVSV3jvRcEgrpRCwZUqpCuwRkXc1/AoQKqBeAkVOK5C/XUqp1fx7i8p2j31Ig1dJKjkAMp7n1k
FRTdKvUb4dg1n8Nqdo8na/iuRp7b5lyngRSoVhm4BqrDXR5Fe78h+7bIdtnwJAn7DsQ+LImtoX6V
2EfUpdYougl6RQjqzLuufh8VGzo1irirCxf+bwf+L8LiXSLGWzlCm0dGduC2caJu7QqxdL7BM+jM
7PAtCHDpIKqa5lUz4rbcZ07QvBfCzTQpW2LKmm9OzyE0S5APrZirrRwOSw+tmZAIYBAAXIGsu7Tb
TIZRC7gjeXUoA2KTGvSg07DcjISq7j/wvjNT8xScvbPUtEe6uZ9QrkEHgRM2bNoyUVwJX7ML86Hj
fDzcM6DTfWA2GwHPVoY25X1YjZYaQMcp8D0/+OX3uqMFazCoxVvRudF5352NrCt9AJcyLJ4uBrsA
CsRKHlsaxXO1jeyAFnYIdKQ6HYfaFOJxJbYsraAOlgbglGauOv6dlaqAz/c93iHyMLSOVCi5S5KQ
2Ems5v8gLuPWBzJNNHLhcOfGScD4VRiNMaeqMrNB/T3qbAjOOkKnOqAkuu4ui+OaRZYQQUA9yYdM
ZFhLdYzDxKN+WJuA9YxW1NeR3ebT2uNxzRQXF+V8BKAlyxKvbFJ1k+A57CRJELlChh6y66NaDFAA
g/xnWCr3lBHA5OxLoKTwBFal1Gn0amZIBQVR61ZRN5U36Mbrs3FPFOSyLKGnMvgkot6/q/tJVJwE
16DIYaoU0S2Noay0yyYtaA+NIQ2SLUUx/j+gOS2tttdI9qAFRVT9FoWwRB5RlYYNCJ1j0PDllToe
9F6qDTNQh7rcVgKrK6vrhLoxpzEsdAvbCGT7K+NfyitB4wy8ZGDqnzWnubk2xiyNSokmuDGVzvtk
ljbUCSLzA137ZmytZR2XDl7cCvEkA/gccG2Ni2/llKTY8E3qVfqnqFZ7DWeSL/shEBWCR4ovSKKY
IUHqOZ2O7Zjf9JEjJ49577s9/RqI5yufRlR/XneChSsyRSpGFIFoBnsR3/qeG33aDCzIPDmsTIkI
Zi7krpqOjsFcgVKT9a/XDS5FKFj87peY664Gdyzi4shqsO9mXuM26EG3O2KZX/TX9NR62SpT2Dyn
XAwGsAJ3cTS9SOiA4WJw3GZa0RswhiPVyzZtaXbP6d7K7uJ9uQIGWti5F6a4iFSEsCV187hSHM+h
rn2FLPyliNla6Ft0pPNBzV9yFuOV3vchGglL475Ptm2xQSXCH59oUdg+2RbkJncIHsOK42dm9KwL
L0q/jTs7Zk8rS7nkPIiGILqgIhhK+RMbEjFMY1mZeUN1M0hOMlipMDhGH7lP0l/VqSydmRzOjksz
E0YzjU65ZEIWQilO1z9k4ZI+w2f+/g7uOJ8lEeKSFJmXZaDDG22xPKBADGhJsMbrPy/iT3/6Y4nz
J5Xlat8bsJS70UOxVoRfqkZdDITzIS0A733uY0KjEUKkIEXcxMljPLPb5F/lO/Suuq8JkARLeBm3
+ZN+22Ph1+7MS7X5ueMAnYXgdkYrHBcWm1QOaac2cC//vtqp+i1rrcEWavBmm9Vr1Vli/9E8B8Me
klc1dYr2vuxMcaNVeGzmq5j1xW0FQB+FegNY+Q1ubbN86lKpxNe0+yFl1uS/duSQ6ShEjWzbkAMw
AaHyKqt3Q9u4WVebKYn2SrjS2rxUA4XUIvR+0ZgIQioeDwr1loGItMu8Z1H+NeWFqUMgWeucVDGz
2Ja6rS96MnlN5F89XTuoFldEnRWKkN/9bsa83PBD6ZeVrg/w7xNaPp2dvJvey020yXbaA/jdjA14
qd8NW7gttvWhXYlrSy7/x/iPhKcQdlXO5CnzmJ4AqVAfMmEVWj8vIr+t5rcopCyBYUaf2+UAlXSs
tSgR4HLTXmVWKoPKruuPoWopz9WTEZqN5qyykn5nRK5Z5dJDCpoUq0qYR2Z3du/kdpSYqdvcyRCP
NQeztZN7sqfO6665U47D4yY/dbfDbbhVfhc2KsCn6P16GPvOZ1z7IO5pHoLUq9YLfJBiSvv6F3Pf
Q6u24s8bkPrsOrt1FM/Y9pb/VW4fioOBb6wO5PRR25oTbIwn3QZWYNdsg5vUfMV9bgNdWjaZ2qZ9
jM01Cq7vdodrH8uHiaJsAgmaQx7Ux9Bnlj1EqpV6UG61pRdHPClOu/VvhZd211jb6/P089gBkhmX
/xmZjaInn+OW6lKLZXmsvJQ0JoVUvRG6KBm3CE/IsvlI+l63N4/kcqRoeYJ3AlE8g8X+j7Qv7Y3c
Zrb+Q1eANorSV6kXu93epsezfRE8iUcbqX3/9e/h5L2ZbppoIr55gicBBulSkcVisZZz5PJK7RTl
2LR1f/JfoOh4+xdaNNsvfKPLvyryXYKc1Edbu4e0NgpI0jGYXJ9jQg6CstsUDQbDp8A+ThOwZeZ6
YxS3zYAxYU1vuDhasnIAUkD8i8gUs8/SjdYFY9JUVdWf3JzcWTkmdoP073Z0dqNd/7q+ju89CRV4
xQ7SeQKK6Hdccxa3xDN3Mx+tVaekM49g58ZLKtMkL95HApciJKP086msvaXpT3Sad+CnQ43vpmk2
mW+hR0ZzJ2jUkeeByqXwBpJB1ty7nxJW7JxY1wWtEyEZhFl7eWUNQp2lBSkIAe3B1+t78v4sCRQN
sSkO/h+Umpcml3Zx1YyEYU/qJQZPxLDpUn+zZtWGMHAKNdOvwGw18746mdKVjn4b14xj3p8AZiqg
fm4XPwlL/gR/Eg4jem1cjcNQLSPAEgBk4ADGF5xdl0rmTk5Lt8QyknXxtgsFIlXrmd+ur6Qi1yiW
8o8U6TqZktZlDTgiTk3YvaxhuimOX+MhXA8RyTazJt2vXsM/wsSfn52lrC+rlQRlf1qiZQmz1+BH
v4Qk+nJdp/fB16VK0nHiQUsCGkPKvEs/p190uOCq0/pnxYChcamENWEXkh6+h3Tu1lhPJBgR4J0w
qTG40XVNVG7uXJRk51NRo+FsFT68+6u2edix3YvR61DJ1FIo+h5tYHC+e25abpN2WQYp62xseL3P
LGfXOvnPfvDDj+jzR5Iw+bP9D4I0nyu7709VCc772E4+ZVZ5h76jL0ZTaSJApRVgyBzBL1q/Mf17
KYv0/VzkZIGtNcmmBCWWa/1cEZRd10h9fhBZgxdTQG3LQeCEHvraWiEmbe+TDk3Zdrs1gvK2BqQ6
Tbc2TR7S2InAnPmN1Ot2Tubv179AqafAOsGwNSBsfOkAZwkHSEdp9idWfK8CqMmOSaprL9YJkQ6u
N1Rey1MLWgbGLp3SO2ZMT9zIND5W8ZQE6zviaeAQwA5R67nctBiQtgN1YxgIfwNOXYjpwQgdWyaG
Ots87AsesvXNnirUfjjmBrb5CEzzCvWIKn8kRRXZeII22ed6TW+ur7IicLz8MmkF0K3SZENLceXg
Ebkx2k38qUWj+6943fIHejNZ6Are0Bf6QMad97d/Ak9qSNyT7l3z3vngM1BTxxvXBhSYPNAw9G7p
x/OI4b4iiFIb0GYW6IsOCw+Jpy26iSvtMsoSmWq8ptEULaqJks6GYZClc+tBdCOvwGDkt23xWgVb
8iNpXvHGDdHpafA3oAlpzu77qw9dT8DUAeQL4q5AZl7w6xkgIRQjjCn9Qby7tvh5fTcVMSsECHwC
wJOANdoVmp85onZw14q5+Xjqu2n0wqAuTOt+LFDpP/LBD7I9/j34aRn+4Gxc7q809IqG3tgG+rQ2
17/l/dHCcDtqfeJNgOlQuQJuFmtS+HE6n5CktrINUDjMm3zxzHoDmjod3sR7Vw9hNtAtxaNAoM5c
6j0Y3ErsppxPBmO3Ll+6qLbgM+Z8xtux1IXOStWcQLDloPAeyE+QeF6rwe/q+YQ2F/OweLH3MLum
cwvAvlwTWShFAZUIzH3IzwZyA3+ceWZRuiMUWwBdhdlUdmOTyrlzYgwbXt8w5RoCSYPgsSMeH+JT
zm3Hz8Ymje35lFdZFyb2DXjqCQYh5i3g9NftdWGKdL/AlUKWEq0gYrxD8oiovE+IpuvlZM5G8BQk
XjeGFUmAbCVA7kGURpe6eMI5ZlGRJO2O8p62h6yh7Gc9jHjz0Spmc1hSa/zcT5zxL9c/8P1Rxfch
vyN4GUyRH5dWYxiqtcRI4ClG8/Adp24pJrtszTK8X3PM77uuCeMFVCTmtS+l0DWhRuMYy6nBQNcd
pvCXg2cY6W1fddln050aTceeQivsLjBx0IMjOAEuY7zrK/TeNPHtZ78lrRASRHbsJe5y8p6dn8Wt
9/X6zytKE5e/L/kyQLoksZHh9+00Kn4Ud+kJ6P+hYFN9Aa8d/qmR9/4KupQn7QXhuTMUDuQF6ZH1
dwyUi19z78fc7mf0ivrup9nYWr3gq87TCEW6cJqf2/TvxtXN8CvSm5dfInmztfZIUs8OpmuTrTPc
ea9efW8jHde85rumjMyShGwfDI+vmhUQu395L17KlTxAYLvGitrNchqCb3WzaYubbt3xeIda9dfk
Lx01icr2Mbko2mRBBoXr8NL2nRG4zLwr11NW2Ki+Vxno3nn8GGRNHI521WreHEp7AisQevIxXgKU
C2l/s65nC67H9QQSqo2XvRVZ2HyOb7+v1s0w+hHbZv7u+oKqTpsHjBfBQIYLP5DijCWwusyZzBXP
Aq/b5WZe7xba6xJV4lfkXTuXIq1jw4I0nqdxPfkt2DOteF/V++EeM/9hfAf+M00oqzolngWMZ4Kn
O+536VSynpW5VQfrKfAT/mDinRCynja3ltE5+86tTmOeV7cfWMczmdLOjVY7TXDSkGmOOZqEagCB
N5V/8xEpKMEjIYZO1nczaoi1e9pnqP7abn/P/PXbhF4ljRCV0QtwwQC5D8R/ssOfi8Cng4kSs93P
yX1i0Z0dO58Y9cvNkhFXs3AqFw0PjX4rwZWEqcPLI4b0pVHFNTdP4Nom4eQP/V9Y5vKBlEOjuckU
oScAzZBJFHCGQFD0JcNIRnd1u9hfT2h7dG7nuWQopXdVBLrIJSoLM/ky9qg70qmuHpqWLQc6BZ4m
WlKuLmrnDqIX/EOOlsRgikUn5C5W5E0PeeH3YeYMy6ZA5iRKV//vD1gMUMDxPkWHFpU5UNfC5jON
AatGx7nbrdwC2VxbGxrHpfIimCOg6FIQuKYykC/hht2QKTVPFZ2eQRAMVrFg+PTfNTmXIfuQYDBo
xmD7BTesMBv7JBoDXS1TUSpHD5sgTIJHRIZbxtelBS19h8+Qggz+AdO23R31l+A2npf+02AiMVf4
XbBtEwrIGrdFf2myeKEVJ8u2QaP3lmRGsJu6CSTWDYgcBsPLPie1y6KULdnh+oqojg4wYFDTwDii
j/bBy6ODUnpTBtw20f8Zx5sC19Np7AH4NOSsOH1EFAjc0dAEoFMZN9fI7TLpisA8dcawRDZLx5eq
892QLOgEuS5KaUs+iG/w8kWOwZNitpmQLGOdA1syh+RhzfN169q9+RFrOpMiuYIexJs0g8c+gerR
3aVDXd16bHD313VR7lAA7ib08Ih0mGSzvs3msfAS6wRkCyBwjugdrFc7f0BKSsfSqBi2geX+kUUu
4+b/qV004eSGb544MgqoAPltOR6teammm8RZzeE4LpmzhEa3ju3GCRq+3DhZYHahRdcOJXtGBqTI
mOuFZka6JOxbgtHnys0xqPCRVaGAXjVBmuXJb9PBrAajt2ITA3JFfbB6Sr4t5tQ9x0MVaEouYoHl
wMM3AYUm3i/okJaOCFriaN0HhYXuRvtlXsnPtrE/peSUWBgAQfQsekt6TUil2nRB6oo7BoxnVAYV
alN3beYOMqe2TkODNENUG2m6Q/NEohGlinQABh4QlCgAYylf1QvCgdGqauuU5mWY3fXeZo63Y7dr
J01MoDqU54LEn589vOM4Luzcr4Qhl088zSKWcE3iSXEx4npC44bg+wQ8qLRVkyue2sIqki45lGCT
z4HuEZKJo7Hl5boBquJsVGjhMoGk44BSTVJnGVtwMY9QxwTWeWQn48brU3eXze384LutEfVZNR37
1kVln/j33uAvX7nh1JpVVUx+IF2CSSTEqrAVS04g1wyz08mcW2iT8MKkYvezi9l8+0sLgipMGETN
we0B8JPYm6nGC3/xHjo2gElyfORVdWuUyaw5morzcvFB/uU+1y2w8idbnJc08txsZ7PqLsYqDOAM
LqYFOMJgZN1c3w2FbUEmAOEo3AHeWJIr9ufaNdOsg8yEb9z8ySx1s+Jqrf5IkILzGU+uoG8hwW3T
eMdQ0Qvm0zBlL+3YIpmRPddzfGyCSfMOUSWQLjSTzGxFWrdmbW+dlvJvr/hqPCQBMkjr8jk33X0F
ap2qB4VJFoF2YYuJ2oeiCrNAA8CqqJJgccHvBiZdhNmBDJJeriViagM+Al1ZDvpUamOKCkpAuWih
WbPkSD7Gh9zrd7E1e2GZO0dn1uFeC7OR3PDFN0hmRTvcKMGCe7CdiuHVNEy8/MpxHL7OIyKlFWDf
x6kY7c3Ky07jIpVu5Ux96Qr2Jr+0MqE+xTSC4f+F6DVy6c+V6ZLJaqfyR5J8ATdtkydoWYaPPIFG
KM9D4wHJ6/xL83l6dH/qcFMUtwyWFKhYKD85CJakU9PGWZaOeWudvP7oOiej27mLJhOnuF0uREjH
ZhxtxpapgXfy/oJGQBm0+Wsy+bjObq+7APUm/VFGOig9n8jkeTgofI3QIXRDfB5WXvXIZk1Aporv
L3SSbhnEnEudmHAFA/KzTXHb8p3XuZHjvtmoUxrpBLLpyMgdMJHw3ezv6xGbl21adwGdpPfV5c4b
ycy/r6uv9E9neymW5+x2tfA2szjBQvvW9zTbmHEduuthyn50xmNpPTqpJsRWPYRRp0eK1QMuM2YO
JYHlkGc5chSIG8awha06QEl49f7mduijU6n+1OnaYNVe6EyisLUzFXm1msss1r1L423dNCFdg31d
PGdLsneN1wpEuIO9ryuw7nXjF9JrXLHyjjkTLzmggTdL6sWDaLkM2n3qW3nYJU2+vb6Pqhgc64qe
JaDhi35YyY5pNQMwr4QYz4/sl1sXp38FRNfRDpGtAbhGpHvGKI/omUDJnHsD4N6Gj4Pjgj9kYW04
+PbWsL7zOt3067fr6ildzpkwyWqSoa+zNcAe1lX9oxtYGfm5ZYWcsSK6Lkl5IM4kSdYy0YVOywxJ
K+m3nDwX/rZ1bjrvGCxRXa8RklEaiUoPdCZRMpCATzyfKCTSsdz78c0yfus4hubG3XXNpDUExi+e
PWcsQZJmdHYBclqBjMhh47LJDO95yEqM1A+/rsuRVvAfOQK6G2UrB+MTkhxMy8XrCmavY8Xj4C5f
Aj9CWoNsmoJnGGSe2n2LUdXbym6A7Iox1evSpeP2/6WDbQYpIWqhDeTytBcLL+IETZfH8Rj8dHS4
yWIvzqKJ378OHj+k8gB97iBmvPz1PLWL2OHApcX1tEVfwG1G+mjqxh2vP9vdvvI0IZRqz87lSfdg
MGO+lhqQR/EgcY0iquoq9Oqv19dM7Mg1rSTfUdWdVRqWBeI+b8YOBfdrFzx6fX8Yg/omLzRpSNUO
IezF8J3rI50jv7bgv4Ilx9/H1l3NqOLJHCHs04EVyxfNP1sFYmy8wTErhHTO5VbVVcV7ZoLZrCHV
zjVvjGojkHh8gOx6SCcztsErbdPlhuaYScf5nVzx52fXTV2nDoZAsWUefwjGfc+7XVA/DbVOQeUy
nuknHTPCCsuuGsHcBkKek+7VrTS8s1+XnJIRTGU/itWzO8HL8Wom5tYvLM1hVUoRI+sejBzjCtJx
mmqSNzMxcFiDeo+pOsDOuOFUa5KVSvM+kyIfooCk1ES/xZFYX7y4jnq7AH2Rua2Wt855+cBRCvC8
x6QeekzkHhbD7OBmWxNk82BuCh1SxKFTZObGbpN8DwJJtAzURbe/LlS1jOgWEA5XdGIHUv4tKWML
ZpYVQOZ960HmyEYUFornDwhBNhGpLFGZkadYY6jLa78sjjMIYkZiPiQ9eZiX4NN1MarNQjsNUhMg
5wOBh7RZI+fjYhdNcaTLrmhfqXsskw2mAjfFR7hDzyVJXm8a8WI1bPD/we5u0zRsco0nUG4LEbkx
jA4K+770BMnkzEPdQwAAmrf+vDcX8IAkGuNWuRu09fwrRDpCHjPMwRwQxNbdNi62VXKg5X4dNUGs
UhUxxoBmR8xayZ33zug6a2FO2Px2azYPOWiqUtzm17depQoa+wGIjl431KAln1OsVQyyAlIc23Tr
zvdBHAXuc6FrKpF7+n476HMxIn45c9Ammts66mTsaLaApmXjOkXtan23lgoZ6TX2YjBTcrZpPKBS
zfEArPKe1lHlGkNo9vGBV4B1c+hS7nN3MrZ962EWGAy/m9FZx4jMo7tdFmf9fH1tVBtw9tHy/HNr
1TVIk7E2EzLrzd5Zt5auPKiKbQj2F4VrBG+gzrlcF+Cg5snYgtI08e6G4QWdG4822o6CkYbl8DY5
7fYDKmGWV6QR0PZnStsNQKSqGqwpP/KgB6lGT8w7py0xIdPmROMgVXclORMlqda2LmrV+QDS7C3d
6mbTlVtjiVYt5HWREJcu/JVNg9WKdWNoWO04jVI8E4JJ436Vh+NMivCbZ1bbOkuyMhdSOhvsBChe
kIVFwfC6esPpA/sCMxAvdAiUucc620I23BjzY5+9Evq8Js8T+4gyaBFEYcqywCf4zmmB3IwB5O5I
8pdFzAytZegFz9rwWfUUIWdypMvEDbrCsFfEYnxwtqTOItcAuJKxRB0oCNLFjAILsOf/Ncfxj4dB
Hyvyypi/ROXycq+WLCHdMiF4WgAdlQIzqrX2oNxCxvHGK7Mojf8Cg1Lkd4POFJV2Lir7KGMg/etJ
guvKzmdA6hVHlqMTJP4VYAz3A8ZxJkEchjMzRNsLEtkdHndz/DLNByRuw2n4cl2G0hFRsFGgDQl9
CnLjQJp53uTleML55d7MIpDtONY2QIvQEs25xjOowg1yJktasW4aiyUzIAtDF7u1msLZfYyTPXXb
nU2YZvGU2xNg3t0TLTTvhgFTb0XOaUEI5SeA8DFRz6oqpsmcys30v40PP403j6j9viti09lrp77N
i2NCngO/w4xh2GUHJBRfDXvbV1/cU+5GJvsat9scYzidEzowzXlTA9i8sMvd9b1UrS/ar3AYAEeC
kSbppKPaui4z4wDyBnZmyZ/tEfOoAaiW+fM0B5oAQuWJ0X0FNCD08yB2lAKuKnZQODIRO7LbygTx
VHDPkW27rpDKpYiDDXwVU8A0SQdgsYI6nqulOKKycchzjpEEtq1bMyzQiAW12MbBYH9FDF19TGU8
ojgJqjes47taVe8VQIYzkb4xpxII0HU0zcXtdd2Um3UmQnKXxeB6gxGDR9r0IyCxnCxynzst8Lsx
VE8dzWbphEknj4P50jIIGLgdtium+tgmodNmu8QFdqyry7GpXMr54km7Zgyz1eWAcMExXx4JW9Hh
6IYMoFE0Rl0TtCm2NsxUGqNDxCAXAMzQz3bpKXkVtKldd8WRd8hzhOXCK8CmGxyxpJnaxlfQPmK4
hfm8LENzsIIG0MBdv6mWyv7pop27CbO04XWIMHT4i7e0e+JLkeVbARK4q1e2RlXcTm9JIAaJaReb
n9OZZnHoDUX8NDDLj3G4xza7Nwqmm+hT6yaKP+DQBH6SFPJY/lwUQy18DEN+yAqTHqMwukyeUgja
vjGvgb/Ak3u5gMBTT8wF6byjERehvQKavwlN9/W6yStPFcAagMwkXje/66hn9xk3WIkXR4FHIDAC
7zK6Lltk0nUYXqrgDf4eq+UDHeIdek/ur0PrW3ikNUiTT5uYb1dy6C3N8VXq4gmoMMxDmLgALhcs
nbuyoxTuD1M7QTR8vr5Syu2gJpYKbVhQQ0oy5H5QZJ2PXydg/sofKDB4+lRz8ys1OJMhOXDTNSq3
zPBi7iZObuOqNMAB53eb65rIxfF/rkjsNsbkAdSIafnLhVp7I17JKt7MgOxn4Tcf9ZExAVHHTZuF
rPhEbsA7FJnDnrxcl6zyeWg+8tEFhbkGZKgvBc/Lki4e83BBZXzZdsnQoZ5QrrfGuFZ3xmQewbYS
bK/LVO3buUxJWWswy7zrXdheOe1Ws77nSF13aB+8Lkatmg8QPqTFUWmQXULWdehDpsUxdZ0N8J03
Te5ubLN8CgYTY3yajh254v17C3+T0KGXFlNGcu9uaU6jWycjbD0IrfEhdTbNoS23HmALvX3/7UaH
76laRWSSQbUu8BVAZ3+5c3Quk4T1SBo01RP4dJESJVsj1w1qqRYRGF+YhfREy4hsmHXmlISPwDxu
CNpyUb4D71wZ3I0mP9ZaBB+lSpgssGw0O4piyaVK1ZrhKbk6xTEG4BJyCv1Ew0FH+KzU6EyIFP8Z
nhcj22IjXKrmKB9bICvtVmeO4tjfOMPzdRtUaySQb0BVj4Mt2WC1lDmGtGCDI5Doq+l5ztpwnDUJ
N50QofHZjZFXQTGZJYQUAzLjK0DnR7Ihpm7MRSdGyo4EDvgjGwPHth/COd0XQMrSBGA6CVKAMvJ1
6cCIiZQSAIbrkSB47YCgr8kcqly67/67J3LiaknInDgNlssnXTQOXdiuH6iRiQALSStUEeB9LjcE
EGOkiqk4NLkX0uBnnhcbUGZp4n7lankBLnGMNGLMR9oPC5AMgWNAD2L+KjH0nQ0RHnD/RyHSltQZ
G2Kf+cUx60D9Q+750ujLIapgBO3H/6uJTOVUAC27SYWn9q1D88riO4ttE81toJRBHRNIdhSjPTJa
Qh4DPaXjMYLf9Ksz/Cqd/ZQeG1ez8zopkgezFj9LMZYOp2zdl5s2txBOP42jxquopQSY1RXA5hjg
uLSvdsQL1s5zduxIeWOnh6IPdg4mzKrX695LbK5chUVb6L9yJDtOgJJHm7pgx7VCB2aAIToAhKHx
0ac55jR+stGMtAGXTjcpxq4GVLoxX49c+I88eBkeaBIWrnayQXz5O82QVbaQohbznFLo2HMX1yX+
i2O5Pq2+DdYOG83gt6yPnB7vFTPs3Ld6/dysbdg47vb6sqoOLqYHcG8DXICgHny5fe5a4pUezGhH
qPcowjTtPc2+XBehrDUj54YGPhelC+StLmV4mCPvghxVvxoYmZFtsr2bLQ907LacfXKWx4EANAbM
CqTTYc4pHraYjhXzgcjco8gt3UZTZTpsSOD81uq7UYVTExJ26M0I5e1f15VUmAoQQTEdiNDkN9Pw
pY5rCpr7eW7YMZ/IDVJ/YP/aseKm1GXk1HKgiRiNx7S+tJbNCuToxmrZ0XeNl9ntXseJ3pZLcqjw
HP3v/hY6/ZElvuXsLk/MquFF2bMj7Q8k20KrdNT4KEUAdCFC2iC7KchSUagDlIEu4lk/hraTP4FQ
/LmY2Q2GITTXuuLCxbSfACYRdUf0qlzqxB2n6SoXtmimX1c6hL6urKnwUxcCJI2YjxGZuUfcuBoI
GLeNvewTfus/JVW689pu79b765an1gipZVOQWyMCv9SobntiMVsEKon3ZtjkCVMvn6+LUBod+j3+
GbfF3XgpYg5WaswLdOqHqPy77u+S4CapNZeiUg80eonpUFwjMjbN3JlxY5hw8OXMb0af7NL5vwdb
uKL+SBBfcGbPq5kEcZMxnJ3UC1G76dHOeX2hFN70QoJ0OpGbd/iyQoJnPzdo32Ht3yimfkAIqkKe
j6wZMuUyXgXJqVUlDPcFp3f1zwEjcNvrWqh24lyApIU31YtblBDgVGHshNN/bCIUr1O8q0ywJ6LC
BXhv6QyarTm6KBNDAXNEQy1JonUJbphNQ7pkoTs9W4t5IrYOrkZlxedipYOCOUEGTLmSHdP43uze
DBf5b/S4J7oyk+q+u9BPulNnpKByz4Z+OfOzY1zaGFvpJ7YZSfbEyCNbrMcF4wTlBNwUg8e6eR3V
pXeupxQmJ9Y4uHYN8W38uLLP4zSFazgs9XYhVdTFmlyDelVRUEDGBmUbW4qRsrFLWe1AGhjpU4Co
2+7GYIeS6Gh+lXJsMYHkYEYXD5rLw4uXspW6AXYPPRbrcCDVoWSHoNCYvjBtKRYTbaAYt8ccMP5N
2jqDunmbrLjGISKenqGJtlStEyFtD0tpRxMRKbgucC79gn6lyLoDgFlzL6gX7F9VZAydggZGYvq4
WotStL7wKVqbXfAhZwSCWIHgCcgT+T41azQRNu3Ijr3/4if+Bu5oqpsPXNoYrAdJAK5WbL+IoM8c
t7UYbWz0WDLHMMoNb1AMMXJSa/ZenP93e//79SogZZCqu5Sy9KWNSTdI6Sxvg82PzafGOrR83Ni6
sRuVh8VFgRoO4CRssJpciuLGVAKTxmLHoK7aTUCZGSH/vWiWTWVptoVmUtBIADdMbksyVpuMGWh7
j3kGtBsn/r7a2YYFpq7qrbI0vF5wLFHrQKFAcgH12PsVYQ4sGv0++2IKfSfKqOadqVQGqeHf1QgR
Zl8uGbOqFqiSNk4mwpDxS2duQDp8/d5TGQAGzP9XBJXCnAV0vmlvY1e4dajbHK3m916yB4x0FBS6
XKbKAhzR4eHj1YVHn6yOkxXNSkZ+7Jpkh4eXSDtf10YpAXlSAZWJvjAZkoKBKBEJAMQijlGEBjjH
yw801wEJ7Y8E6enP63Emzu/ncffaFfxQDr9M9pJQdnNdE+WFei5IOv9pQjPbLaEKmh3j5LDkG+eZ
vCDPvIwYrtq00wcirHN5kkHngxNMrQjjxNKJPo72mVPNy0d1aFwTDQiIhUQzimRsfjEsQ+HhcQUM
j73RemEB/vS1/xFXrUYbpSSMuaPbH+cTOAGXJ6fhVUsHCy7aMb9UzVOArELmoAbGdejmqiOKOS2A
LmKKwUWm5lJQGvQx8FHm3+9FgNfcwhgK7bWmMutzIdLBgRco6ryHU0uASoIQoOs9zXop1QBIvair
4sUjozfk7hCPwwgJE+/CHjXJjryZRPMW0QkRm3Z2pTmJZXhAAIHPzPgmGH6JAxpM0+b6ydFJkULe
yR2TossgpS6TasNGn0az33RRnOe67hKx7vLtCb4geE/MtBIkXS4Vaha3TDHjhJf8N+8XO5VrEd6A
Q7Frv+qKTSo37WI+/B+mE1AlX0piZhwY5ZrzY9Cu3mYt2+nvLqn9ME1N43kpy9fRG2yNTSjPkBiD
pCjgUfCrXMq0MFzpmqzguEpjlD7nqC260Ckxnj69Xd8ylSSg59uwP2ACIzF3KSkzUsC+lowfLXLs
QHRYp8+YzA+NVoMWrjINtHYJDEsPZK9yw/oMDASgtJT8OGzjJvrZ+h8wvfPfl1asLkfDbwGtdzTp
3VAd0XadjE/Xl0plcucipDOEOS3AMxIOEenXeboDDOd0hx7daHDeUBqItJMSKtcD6C80ZgawcjCl
XG6NhZJQCVZNjjO7hKvnAqf+y3WNhIeUDxHap36DPCHxJsfsdtd2c9JCowI4ZkMB1hXvW/a9bXc+
rSJe6NhdlRcrGn9ECw5mCuDxLjUCyxMza15BXtw9dTx9rlAiSMz+Ls89I5zZz6T8BQ4YK141W6ey
8nPB0lK2Y2xbvIPgLm33xrqESzbuYv7MdI3BKjP3bExLoPUSj1QZUKLPCCmXAGZuDHtaHeJh/5GS
J7pw/oiQLJ2b9Tp3mKc6/l6sLFqGw5j8um4YOjUkU/caB3AUJgzD6p6nfMuye6qbwNaJkByPx9I4
aH2IwEphTgIr5VaHj2ghumOQKXewIZfm5pAcA75tz4+2k6w7MFtaUevQX2Sxku11SSrXgHci0gW4
KVD6lKKEPClrMNhBkj/3E2YyrBEPOYKO4qCdzYiCQ/x+iL3mZm1668c62rrCvnIx/8iX24Fqlnk5
oXAVnvkD+xUXLx/bLx8MKwKsx3t3dvvEYKKOiSPk15EP9L5qjVzdaIDynJ4Jkc6p4U8gG6M+P2bJ
tE8A8jyNz5lvP9U6SA7lgp0Jsi9Ng8WB6S2cwBOVWzGBhswL7TQhtypwAHwV+r8BuIFgWJZRAL6v
ITE/OqkZtu19B+Kf0jTCrebqU3lx3BF44KPTWLBaX+qSlWtAO8P5rYthh24Tpif/85jea28klUbn
kqSgi/ReV/qjixvQTjZp+RI3v1w27vouDuvx5vqRUjUV2QBNEq0jGD9Dz+GlWhM6vl04WKj1q2Lh
ilGLO2fz5A8R6CbYD8CcauSpTOJcnqTcyLMxs3KYhLMORzp6c9gApNIvvRCYQNsF4wPoKJ73U/BW
dAUA2O1DP5BvgT1HTeFpPJdyoZHhABYEUImQIbjU3YxHoCDkaXkczMOUOruhiyNa3vXkFE864EWF
LLw+xLwSUmpIlkt6Z2RefEyuZkejDrzHZjG90Ek4D40JA1m049VGAHVrHOZvFHkp9ACwHubLEAZY
2GDpcBAO+EonaTPQ1oLU8UtFdtwL5yBs7MelbraBkz1Z+T0zxtBkP+YJGWXrq1UN2z795ZTD7vre
K9wOPkYkegHX5dpy85U3AfKejHV2tIN+Bz7xDkynxj5rKo2NqeWIbBKuCFzhUvxTEpKapT1kmNfI
mx2mbrrQdbN5i3ms6QZjbo3GM4ite7fIuP3wPwT4mIm6NCPDAN9mgIU+LsC1C9ciLjfDTGyNFMXB
QYb8jxTJadvUzaiTQwrQeKey3aXZrvTY7fUtUgoBIqPoXsLUo1zEmWoKct92ygDGVe6p/cSBPRNn
H9mfMyHiqJy9kmte4nnvjyiiYDY0/xw7b2lYOZprQWkEoiiF1z7SMXJ2uTA42CooNBlt51CY27d1
ify20CQXf78O3u39mRjJhWQLWew1nrNjUgCT2joU3iNI7fc1WaKpd08+yl928myVL4sJrGovCrp5
EzfdxrUfwFkXtttgPtL8FRwx1L8B6AbO8tEouttqAo+g9Uhu0T27HWpjG3f3vi5yU/kkAVePZCIa
RdCHc7kRoz01VWo52ZFVYWvcNbfF9/ENXBT/3abOpMgpS14B8K13IQUhKGK7qCjwxup1BDJKXZCn
8NGQgoKCnOadAbVaMCGldKIYBZ4VgPFPcf/VpZ+vq6MUBOw0xBqY1EYAc7loAA4zBvDFZEeCduon
5id/t30GLK2YG3uSLMhg17hGrstUHUtcUf/KlE7MmhoT6wYohysj8vjrbB2yQXNXqA4MpukxQoW8
JTgT5Kuinyck4rP8iOJP2PP7jv6s6F4HoeiqnCXmlXADIA+HRKmkipWz2k44xDRbdz8ejRtgLZSb
+LZ+qqJpX+ZhEtLQCqsIlHW7dFdsv798bSPn8DJuyU3y1EadHU63dF9GOD1RcVtsvpRhGeV7dju+
XV913adKmc9xGdI4o2l+zErEQt3P1NlfFyDDNAm/Adz9P4shHUBjHjtmx1gMxyv2qMftvLkPR/Mz
GDW3M3fQx3JoybM7biitgOCmyVbKeIiy+N9T42eOOJ6KpHQHKGg/0280C4c17H6g/bJ48R/H1/hb
/zo/NGmYPiPld11z9dL6v6fesQRy9jpx29HMWQWMlybBPDor600KBGfNsZHhx/5REN35Pq4yDKIE
0p3pxWWDC7vNj0A8IfmPGJTN1Mtv6iEsQrfLgMVKQxQEy2XTz+yTO92gBukV4w4TnoJZaNEWPVTO
A1mFfz9IOmQBn+MuSTDRTNMybDH3MFvRbNPIBVLgOmsuc7X6AroCJ81C/43kqkj6/0i7rt3YcWX7
RQKUwyuVOjp1ezu8CDvYkqicw9ffJc89Z7pp3SZm7hjYM5gNuESyWFWssFaUiVGXQ70aADkFCbAu
I5IEr5FJku6oHPNfo1wQpffknnrjUXoSJy+UHgpkbHpei9bqyi++hbn3FZ2EEBhzgIjRHWP+PQhg
2Sk2hU7KhFe9Xpt1wdSjhqYgZHWXMPDaRKfAILW0AVP2gfiYUxMzOy1JpKNQ7YLJ8IIQJJStY1jn
MnbHcjOpEZGHnpOJXQ29Lz+C1b0yRjVAwkg5XvDDvofVsufmGJK4IOG5/bRGR3qnZMLAw7k582b/
1hzGpXBGzyL0vwA7D8P/AIx2Rv0dJSu7qTnma7FObOyz4LsrGOrBJrPBogVukmqcscJ6myLwlcGJ
mu+G7JeoHPr+J1o7/oWHwhzKF3ApsiNs1g/0Y+BS03Cs6FysYlQm0fUZF8j78DoT1jKoAOsDMvyS
tMWzgInqQloGAlrw6CFPejuPnirJsJdqXhCXttVjiANWGo/Ep9tGce0trqB3CkEMyiBIbDJ6mykJ
NbII465jaXnVnNpz6gX1H2B2SoeEWkdrfpbyeUc5oTLLLvKXmUQkg8ZnRIOohlzfF0mMSiUdZHqw
5N9UHlFILFzggpOh2OdR6ABiGb1cE2lDHaRkM9HjZoM3FicTsRZ/QIv++xGMsRqDPKaNBgAB0XhB
x509AKYAI59banDUaE1tEUuhTQ2dohLO+Hq1yphpZieHCVbrmK03/2xTEvZ2/NvEXeS8D9b8HEoK
GAVBXxzYEBirB4jXTJhnHU+dWPsoynqwI4EaHDe3fDB7Dw34UAzZLWxyX/TUF268SYY5g0+B2miu
PD5Glav8LKIDOA07XjF4zYpfimLsChrgUKctIWqwix/SIT2V6Bol/+IaXAphbp9aRHOSDBBiyM57
N5AyI71NZyJTG1Ox0eNtcau7B6o5kE5poOP6uhwXu2fQwqRmCGmBIW4ndSk/k/ExHCUgdPQkaDhq
vmaZF+DtZVprIYpg7rhhxnTpEYLRHJTYzqvgaKXpZ1AHPOe/dlSgobAwuLf4fjb2mfQwtBIReCOt
Um80qXeybD+3flfZUrRPp0NYAcNcv5OtHwvd6uClor5penBinEOJ17O0dg1MCxgF+AeRGFvcHYtB
rIF+BcwzpUy2ptFSNw4biXPZ1i42Lhk6aE3YbpXtWgPjqjKVo0oPcx/4USq4eYx2/ahxrDEmbb5r
qv6RGiXH0a8dKIZ9wJAGNDC8aRhtBRQOhj9QBDlEoAwC2oNRJg7X1a5t4KWQ5e8vlFSSClUa0EN/
mOvHcv6hRjPn0slr6nIpgfEBwYyEjQb6gUNk3Rd65wQY1NeyYicCVCI3ZpKFy7M664RdlN3T5Cgg
Yk1AeFwlfpm1A0bcVIJXvjukMdo4jTs6uGE6eyoogCSSS/WmlT0j5s3L876acRrJVAsYnl6OPDlM
hRuOJgnS9zi124Rn+tbP2QBr0+I6cKuujwAgEaDdtOAkgQSAfqWYCEgpppJ32xqtHjSa5THRjigA
Aw3XUmbgJ/RJAClRDQKqOraF5OG2hNV1XEhgDlpopHkEIzbiUgmNqoNum9GhyHntSetSQMeOTAxq
3xqzji5U06xrcCuM0XB6lH6WHNY4+bfXsma7LdBR/0cKs5YsDqoI4APAOpqPcqA51vCBol9fpwhG
nVwMOfQWayEKKM/Au4iOGGTxGW0rAJKrZhawQuL8Dvm8bEyOHVA20akXcq7j6vahrQrpawDJfyPS
iOsgyZtg/AuKckLEYA3PssRDdl1dz4UUZj1Y6lwYC7IrCFnctJsezX6pou5msPvePqg107ykGEFX
hDll9Pxeq7WhJ3VrBDioVI9hTgq70mwtfcWoRqkmrtS7yJDelrhqGS4kLqpzYTHj3AiFKMZFaore
CWTZm6wqJGYfboo2eqkDXqllVRU1dJYtNLKYfmJUMS6SrEpmrDDJawvTy7W2GfVmm+dJSao0BN0p
9MlPR8p7rKyqyoVg5hAjIGGOcQ4/ry8j5t1RVj8waMU5v1UhICICu6my4BTKzG6iaS6YA6DlBpbi
oyM0QRal0TmR2OqRATkMNVxYP50dgQmDqMGsGGwGCqCkU+h2fLGAs92qhW8lHSdoZsHDl0ePCtIj
CSxoeOShQ/x6SWoe9E0rwA6aZUwiad4Ar9LCS6tHRTwlUWFHR3GXEdB/pL6hu0b1dFtBVy4fOkXR
wr2wk6kGm3yLQkWQtDRNkJtC+l0Jy9cqquyyGAw7CAtOkLIqDMlWTGAhaS2ajPMyunpMEwGQL4M4
5c5Yp71dtJnimABOcxGQ8oCbVuWZaE9eQD9QLWdvQ2Jq4BhoAYEwKhhw7aXdwsArzrkrx9Hv2xu5
opvotAaJo6QgqDbZjHJWmXIp4vKhXI7pgTAdkVbCcLyjlgHlKA1PFGNUGjAARQKgcw5SgAxA3BFp
pKSWePMqa4lZaCZsyQKpC+RZ5k4PYVxOKC9gtlZ/igkQxJ3knGxFEtwXh9LuPW0n2CCk2d7eyJX7
dyWVMdIIC6iQiUskZUe2QT4MP3FuS1juFPNSVRfYIQQFmHW1voLQC6MspFOfdQbmNOuhB/yMaHqY
yn+7LWPF1cClYTp44UaGLWbybtEQ5kapYXJSrUAxARSQvRgm7ly4SiO5RZy9ATqqFT5vC11TDHSG
gLlQxcQ86s7XxmQaUloUiok4FHNZSf2eIo8v8M5nxcWguIUJO2RpMDDBNuNmem3QFg+oQxs2dmLJ
nhg+abvIsEXhmYt+u6YM6PiFsQDykYLWhesVZVOnC+IMYUX+I7M0L35XaEAGmtlo6PsXm4cpIHTM
LzisLCNRW5a1CHgRrIsWCgHFr+ijCSuzy3rikR+trupCFPNYE+YUb5wSFxicd0C2fR+Gp8m8r5En
qUqeY15TdgyewNgiq4XiBfPS7/qyS7MBy7LCp15Hp2ehcrzyWp4SrmtB+zSR/sFA/PUh0WSIjEGB
D8EUMQmtCjEvSKPqyU5SgcTN7MfZHw3Jb0v8FzOxC9YinvKqieFeVuEVQU+GkGJ4uFRI89ZXNp70
t7VizYUoAAUyYTBg2r8lJY0hosioARdrSs9pN5KiKHYxtdyYVwZfu7yXkhhr20fx1FEdsDNhW5e2
FOslocEo26aWihwDyBPFmFhlNulYFMAhqaLPMvvs63dT5TQ1re8bDDmuLpLzOnNxaz2z0sLAakSV
2oWw8Lnt8iL04o7jLtbXgqax5UWMiV9Wv6synesSaxlGty82KYIXTmJ6fSl/S2CWYipl2KjQtAP4
Yn+hZygA6zrnCvEWwQS2wdxVXbjAJwXyW1SSuv8585weTwRjcwClkkfAMgR2QLlVPc1yrc3tm7Jm
1ABQt4CUG3CvrKHRyymyphhoH2CVqLuSBNUxCbaD+fjntpw1g3YphzmOWkk6muSQ04NIAPiqAs38
fy4BoNhIsFjIjsKsXdszM9CswhiBnFVLDvphJuXH7d//1aTJBiCXApgAzioHQQ6SBVYhJY3SuLJb
FDYKdOHGmE9D/DnnW4ryeza7Q1/a5UsLjObZrtL3KbMI3dFwWzrAFxZ4ACBrOgLgaYyNIt5Dmxez
8GkSQJhn4rsME4i0wscYPnKbcdeOD9UsFNAAMgJfy5i5oVJGozcs+L4ctHQYO1A1zn1dKzgj8vpb
BLOMIJQzqxBCzA1ndBPKx4kOtj466NS/Dyi6z5VAJBKaHsfq3NYmqU5J4WiT4RdS4ijRkxbv65LX
17IWNS09LVArdAHgsXWtU5NS9knf4ZtCozjK+ima/ki02su5clcr6haELbw29WWV35QM7S3Lu2eZ
NWM2OhVnuQegI/AiigdJqrzS+NMtGelsr2fPtxV6rf9MXZrhcVtA7SqzD7symIuilIGeBdrMXX4Q
N+ZRcVpP2/cb2QGTk525+ik+tvfzL8AUOiop7ckR0NbT2qqTeYYvEp03o75Wf7/8KLb+PgqZpIcJ
PiqQcYlUukHYDfZodROLpp9MjdMChFLtjuOk2mYcP+bN+GC25gs6fb3b+8P9FMZmoTLSBo0KFyLc
Zxthk9xlu8CTXoINcCcP1O+28em2xOVw2cPHqWMgE1PtQEtmBKpBUsrj4rM6TLNGA5HHl74EbDgn
e7Cm1ZdiGL+VQdNlIcIWj/1Jruy4cOGEkw3sU8uRtFaVBpMlKHbxqsJgAgv0JNVqr1ADNcyuUk+W
Vv+xwnavplpL5vhsqk6SuDnaGoLacKRa5/i2NcOIpz0eInjRSfAK17e36YRMroDxe0gUP5gNu2oj
byx4XelrNxat2WhlQCMkUpTMbobKpGgVRU8fTAXRaSWgGzPHMC1GJMpe/R01AqdUtSoQ9VoAd0NT
MHl2vSxkptp21LGn0dbcarGX2TWI3N3bqri6dxdCmL2T5CEEULOKrkHUanrAEFbWu2xybtiaV8Go
4X9XsnzExZN+jno0YOtafPAI5+i/oBnYq3T5qxk72pWNkZTLr57c1MlIsld8WqJDTXXag/jRPOYP
8156VTy6VW28Fh+AhgCK6ec23pm81hNlOZBb38J4Nkus8dix8C1W5IT76E9ka6+ah64pVMJTN9gp
B8mDY8u94RC1+9FHT1HyoO6zt9Et7oPf2X17l3gJGZ8tNBs4t895Naq53KjFWFycQR/NYhCF0CaY
NxeosLAHbghUOxdktxmS3rvyzWqJCYW2p228HYW74U/rxq0tbgzOo4Cn2MyL1JAnOZ4Xxc6Qokp/
xA7dRpy2xTUL+/dq4WevVyuIZRuBhQpq7XRH3auPnO28rdGowV3//lhLC1ETcNSi64b27aO6vT2Y
F7j+3bkaDIW2nBSiyt/gnrZFh8f8dfvWa2zvkiUkAQI8fL6u78VsN+gbyeSUEHk7tPz9hb4J+twN
6dKOLPQ73FHSSDzWCN4+fbMqQYQKzrJPKekV4IKCPeFPAvQe5Ddun8ha4RuA6/8xYLBV14uR4PbC
3oQoJyjuZPsTjbZv1EnuZPcc7ofnuCIfwGiUveRB3k94TfvJa/+cbnhTu7w9ZQwMFcH7naAl5DCb
x2JElBbxgvNFb/9vE4bg4XqhsySGddXBHajot1ZI4kg/Wh8VzHthIMZ97t/eV54aMoZgAJuaUqdw
3PnBG186Tj1jtXpzcWps8kHRo6YOl8W0f6Y7wR5PiZ8iEzUR2S5PeNzFm7q8G4rjxAsVVnPzl5IZ
8yBHdTFJFRZWkNKx8MeB9iTcyG/NttoOvnWHUbYBhHEcPV3268bpfbWSX9w5tY8wGhpATWdgI5uk
iL1GI72TT5+KeYo6jrLwpDHxSWWMggDA5/hQO5jafO03yTa0JTty/19KwnY7jJGgjrG8GBLBqaLS
S5TUrXSOv1hdC9hDMAOEQh/GKK71PjU6q0TiDWuB64526CZT3Gi0s5dpz4NNW1fLC1mMctRRHukh
xb6JAjpRRplYs0zG0fB7C+0y9QSSlFepIFGaPcadgUbo1NdNzTf1rCdtwmsAX7UpF1/DeBtzlKN2
MuEKjLin9jwaT2qpcLutl9/yTTMvpDC6YqjTEIiLZgbH1Jk9YyN6ysE8INyIvd7jDbSveoYLaYzv
MSdl1JEthvePSYaZj60xOKXxb4LaCyGM+ymGRLJGcbnjueRO1fOUCRzN5x0N43U6VWurzIIEK3/P
hn0h8jou1p9tF2tgHAqmkCJt6CBBUH7QTnUDup1o52WJi16SeNhJUe8UoHwwkTG8fat5F45xNEWq
U7FZFCL7jHeZX7rSXnhWkfnZ3pbzf9y2rx7Hpb2WtYl1PNajFXboRpUT4P/mnabLdtwlXWyXY5ZL
jikWk4YHXTINBOTPwyOVTBAKV7Mxg2qmUMpNJ0t57Ad5pmMato3hDq1c4UGpLQv+fkP+/k7mhkQ9
qrxImMACBZ46Ih6vS+KG8sM4cHZkNTTGa3JhLMG40LdMsDTLurLME9VJYGPChgSTFwyV0wsfnK1f
vfQXkhhDJ/axYoZTiG7tJrWpjrEZ60iF8/jUYpLxWQVBhQ6LBrItRTrdFr26RpBsayqe6gBLZfRa
a6xUyJUMlI1yRmKqSKQ3LVcPlB3OmRevr57chTBGlZVZLPpuxNRKFM/v0xAqWyMfl/JaJNpVj1Gp
CfxmnjnVvITw6h0CXy64bVHGxgT+tdMC+2mtRRnahNvgl4XsaDzcT/IhHLw6vKfoJkJTyu1tXV3p
hcDlgy7ii1SThCDqIXBqBh9ox+hXuhuBhhNJqCJpmhPNu9sCFxv67VKYGLNAsw/mrNhznCswf6C1
B5f3kyr5bpKaH7qEeaDbUlbdBXhVFRUcwQso3/WyihjEeubY0INngFNv9MF5RVUS8nAMVyuxaNZY
DgyT9iD5vpYzoF9wMgqsJgeiwYzJRfl3EfuTkBKpfsBgKikqtNLyqldfc3LsJgLRFPqBwVeU4Jjl
xV1U9CBMWSb4xsO00XeRPxzD9+HJGEj3mD3qW3jhX7JA5n25yR8nr0D6tztVHamfkXr3ea+pVZN8
+UHMPrQDNZNw+aDJNjzLTVzDLvx6T73kWfWSe+WNPs5cV7fYz1u7wDjTKJ2UIQggVMT66cOvwKld
wZ9t6fA7e+A9bNY06nKFjP0xgHRj1MLXlufeB4bLSO7e1tkvgsBb62Eu/9yoWhwPEIFi050FluY7
q7EPyLTu5Yf6qdqUdreBEfKkXfAWbutdtxVfbn/Cuj5fKBZrDjIwx+odPiHdao7qJ7uW1CTAq5f3
BFgz5xfbyT7kgloOssSCIMD41O1jWe6Agw3CsB+3F7RmbS7FMP4KjYUz2M5g3pAoF4li89pNFY5a
sLFIH861qedYh3JfbTp3RBEmsMs3dUeMu+JO3YbuvBt95aTZgzc5sZ/mRHXzX9Sb7yZnvIsOwwv+
vZNJ8iva5LbGiQzWZrzQZPhfS8GOudCZRshh4vum/EeNxr+japcRiVNQLtnxXe6Ixq/A2ut4ptze
+NU49FIwY6LGJtQz4GjBRNmDLRJqG3uVmE62lYnJuThrPuxSFGN85ryvsqxcdMnVtvUD0gLukvHk
LIinSoy1CdVWAdcSpBzHPw/JdiQN6d0eOvUBmo2tdZ9xch28VTEGp5faqYojyGsd3bW8zlnWxWOF
4F1DxuSoYmnGVg8hs0SEu3mXQMbtfftqaL1h1dhmJQ24P1gGppExvomsdAm4dLvYya7uaD/Ke3Hb
9XZ/zO/GHwXMd/fnJyhgbn/B6hox1LmUZdG2pDDqYc2xSI0ZPtqqHzETa43vjfJsdJx0w6ohAHwK
xgsxFgskletIYMKgUxhkLRrPNVLlnQ16Nmo5c2hzGaXXnS0GBED9iogDLZXXogogSeaZgikB5WQA
/d70Bky+mPGPUZK83pRtlGBJh9kLo1OBM4ThuaOW/cyAQHJ7X1eLrBjYw/QmBuhA1bo8Fi5iRypm
+kgDLFlq7aH8E+peVbo9WCVeY/G9BpSSPo/EopmbaYdZ2fH6ItdgFEBkiR5uxHjSgmV1LR/GPTW1
celOL1W7S36r00hUYEXmw2b4zKg3gIp02ErjbrT+cJa+etrAHlsGB9FryiI+i2akqWWELnLZ7Ans
6li8xYBMwCySoG6KTvTazEcRehnuR9hot+qj2FZknkqysKPwuLQWr/ztiqHjALxgQIgGxMb1RuRg
UNPKdJlFS3KTpLVw6grrFLfg07MwUunSlEZkQPc3ILaSN85WLC70lnDGxSZtWddCiYkLEJE5US2d
VeWtDw+YcdnOVL1rOiCmZaFbfEb/gkVARa8vKrjoN9dAP3u9bGQ5wqLtMJcD6pfWPMbmYSjvRx5a
49rmLgMs5oKFixvHaHlexLXe6ha8S93vwzjfyWWHlVXnKpLxWmp/zrX0CoC437f3dU3DLsUyyYOg
mTFfNEOs7LcYTAjLzBWCnARGdWynjnOV13wbmvahyRbgatFNf72Tk64IZTtjJ5PyE2SCBeZtucxR
a/4MuEeAWl3urMw+bRs1jSIBCS9oRmgXyhuiPrXInYS6Uwd0oELimP3VjD0A2VFrR/4XkwKMmRTl
qvhrNKfUUBltfoYVwP+rhuT1o7XpUsErI1SZMDUtWqggxJtKRuK2nV2zNH+Wkcgpnq1uMSZpgPsC
1gN0ilxvcSeIqSpEOE9FrYkgPScKJnIN3vzdatgFNB8NiSAAI+J9fS1mmGgpJ6aAOwFcF2XbtQkR
EwNzkb3TUxegK2ppx7mN2s9tdV1dHvBWFjRd9Kl/1aovfEEwz1oWtRQseL258C1oo+4MAUdNV1cH
xAkNlELQI3TcX69Ollo5VcoO3elxXOzNXFTsRGki1wpEum1nufWQ/1T2U4n/VZhvylDp+w7Zdk4u
ag3kA91X6LRdWvfQJ8/Egm3dU0tAxvHQTw9h4tTxQMCaSBRtYxhuMbuaoBxBFFXNjRPm0ZusbgL1
KCAJUSxc1m24+eebf/k5jKaDG1urMXCDVlODbjqAvszjcy7wdGvNEAIHEyPsQGvAzDxj6EElnA9D
BS+TNYZrWO/TWO8LA8PBOkAcm/DOkCtSFf8QRRneDIkwuHgMCGCICf99feRqDQ4HzWylk1pngN4c
qC+2yOSAuS+JK0fKun+myKw8dlA/wCB50mqNdBr1bYP7qcLoziKnD4i5Ld+EMFuZSQWoPGIsSh4s
t1Mx1TEDkOj5tlaw8dE3KYznQqMYGjFrSBEfm5+5U/lPwZ9685veVYnNAzFhguxFFrzVApKL+R4U
1pcVX9z/bLAU8HmK0qmoa+1gBYH0FBSa+Csaa+qEg6VxzOm6PCBrLDw1gBhgdlClitlGFeT1hj9p
+xHuQ5BzbxIMzt1iUyL/u7K/JTG7OFhiUQ/CLJ3CwgXwYmVhrj0/Uket3pr0HiAKw8ADqGdu2l8i
MfqACTAA8gKk/nozF1SHsVAm6VTm87AV6zJ96us89zBHo7ttJ85PGq3TiWSqOm7CUVW2HM1Zdu8i
pvvrAxDtIEuL3rtvJI9yGNF2GaI8ZT/oH7jM8azdDa/Zg3ho73Le0ODKZQDZ3d/CGGMq9GmrF5B2
auJyn4m1m7aJPU2ty1kUTw6zqyi7FaUCQIXT0OPtGYX3XWU6oTnvKmVXtpKd4LmkZZpA9DS/Lwdr
aybJTowSPwllR5p6//b3rB7yxbKZmAuAP1IYDRqWHQJ7Q0X+az6CR8aeJGUfp6rd5CJotxvOLqze
mwupjDmlSZzrTQGp6OTxWj30giB2klz22p7HWcPZbzbFNwoFtYwBStRKwBRS51ejuZtVg/cKYFNc
rLJ+BQ0Xpqfv6YC4E0sSs8/MeAUMwK6TTDJLBWaGZExhC5sILkPUZ68QVAJUK1tPeHxTnNNk84Aa
xs2LsIdyCVlJ4kHbmWN9p1J9r7W9o1XdNk1rt1V4e7xm43F5LAnJgIWk5StXcLH4sEpUwYgFmIo3
zB5KGE8ls73r/fyxBNsN6d9uKy0bgf3vZv8tj7msFe31SkeQe2ojc1MCHQrlHLfIenssSxuX2J5B
6ZtpoCZRRLuxYo8jf1Wp8Hr4euuig5axxpaVoILem9IpB0KQMdEjIl5bVPq7GSirvTX42jTb3aTv
m/mgNslpQtlnjje6AIxjhZOhWz3zi29hnmj1KLXIPkDxlBS5Bmo3KsH8yuRSMswxGXkIHqtXFwPr
X08IQ2KXLoZClTY6jnoa3yoAZc2epJKcl8diqxB/nfCFGGZVjWQ2+WAU8ilPm9qbM1Da9ABFi4gq
0l4AoAeSXzYdGjyaGhrYmTaiObctB1cxC8tpzDnZyc2IuYdOQG+6PL3FxljtDasJACOTqe4szy0x
kmJ24kbt78KspNvbSrI8pVjvhZQMwKa/+Ni05dwu7sQQWr2uqqF8SoLqvq2LU9iZwj8PE4HtBf+4
EPcqBguzFJu06w2JYpf0adoAbNvYmo0EVLqgMDmiVg0csEcQ5QCkDaOljKcA/ojaSHEpn4xEeU+o
7umpP8h3wAUimnVKgEKbij+jKrbTpHG1sQjtvLA4fmNxjld7ilE/0CcB6gjhAMrQzPPVGMsZoKhN
cxa1koh9aqtxgHbCz1IPnVB+un2Ay4IYYXhngN8e1U28NNiJZyEWJlUS+ubcJ+VJqOTHeCy8sGw7
UorzVphL6D1GhzkOmc2rYv4Mwxsmxg5ACoM5KYVJo4WVAEQ1ZWzOzTx5Ztv7C+1m8oiLJjSz106v
NbiXxHPYuj3gIoZmOw8+Gno4j1y25/zrM8Dvh7wmAKylbzjmSUOjYTKt5jzHz/M9cI0BY5X2PpJc
gYbiESiIBdcAeP0nCmZTuY91L5PcDiU0N9J27bQRB1IdIsmPFbDOHIICo1cAJt+jWbcT7psTDyPk
69HNnha67Ba4MQ2HxTIxREalNKC4ac7l1viVfcRub1eYP5o3gdPuxYfaVeCPmk3ttd6w6Q61m52G
fevM9+LdtOGND3+VE259DWO+hEJNBNQ0mrPsg7DZbezOBcGkjXgdjjEgvz8mh5LP0OE8E1buh4xU
ky4hXEbGiW1ryLq5Cq1cbM9SDODNwu7kF0PD1hewmLCdt+/Hd4sAxD/M8iH1gEwIlJbR1KpB713b
QlNpX26MvD7nyZtVl34StcgWhocikZxZ0gC0P3y2wkdnvgypxNHT76HH8hFLfwWgPkz8MCYBmX+5
F0q9OScWYEX0eqtU9DF81AqHqrI9tQ5GAjF70oOSajAIeONfObuwYiaUhdIc706MpGPQ79rOo98d
g2V53J5V+hIMLXArP2gob5UsJ0CbIIB8K5NoO/5oatCYHss03NRRa6PHRQtfYymxS1nlRARsSWS5
u0BowPcAQlQ3NDZHIoBXo6sypT0DdQJ1gUNR20Loo3F3BmJIYWnO2H3Go6/Th0pER1hWuokic5IL
y74zNwB0CwvIJWb08QfzNNbBEpAH8E/nsKgkQq0JgNIDiDQ4u//tjYilorMG5S7IUgw2vdrX0YSi
UN+d1chuQhBauYn5I1buDIDvDeegcMTC6bo/HKnyt8UBVgEobDh2qB7IS67PvLdol4g00k7mvEG/
zXQ3jbY69kTT9qhhIyIgILoYNzP3NfP9zlmihKw1iLzwlgCNBWtYKLgdjEo2T46w8ba/YjS5IOC2
bX3PMSXfHQAjiblY4H8HC3wNSZNfAmQXwD3kI0ftfCaqjVqSM9meRCKv3QC2cdO7sW86ujPakhs7
0S7zxH3ozQ+ac3vnv1qmrtSK+aolMr+IqgpN6UDJJZkncMTYo0P/mLt8mx96rwJuu7KXNqmXOoX9
gc6Y2m2cAT+io3uCDwBAH+yeJPUTr/RTTj/ZtyCc+SzmQTKnitigQGmeBluCeMPNSUkEx+Asn51x
Rk79+vgZxZOawkKf15ec4odoo9MR+PXnkPx++YkOGdIcAiISjraztfO/hAKVXwaYNx55bJ+XJQpD
puWaeZq9AXuubLTNvIltaUfRPZI5tU3tewHjADvsq3/7vJf1MMeNKgXSP+hrg4f5AvS/OO5crlp5
jHvrFBVnUz5WaGmj9VtcHlMac9zZyhEixYtBZnTpL4gfbLyu9HpU01I4xWiUr2w06gBxWC4RtyAf
44gl5yjV7yu7FMeStc5SNEOVK+FkABa9or+y5h9vHXwiOLRlDNwreKgtH3CxdVo1KlJd9/FZaUvU
BBpilh66hG0EELYU8hDNvh+UhBooStHS0kyMoPFamiqEzZIAgTQzIoESkuJNflEbDC1xjmlV0GLs
QeUGx8KGOKk69UXeKvFZNlHKRlX/XCJ/Vm2qmONFv+sD9gxdkUstEig3rBNF4y2QEoSYno1TitpC
pKZuAeCtCpOFBYlF2R15mD3fH70WhoyXCi+GnUFGyh4ZMn1FiTZiem498K4cf6m7yf4UCL3PQEgR
+ondu2+i0/olflBb4mjk9xzzIh5j/BqqdksrxeL1LjTGVFuxHZWUnvXnyp6dwCs3jWd3L7evNDtZ
C3NyLYZxYYNU0ZqipeickcDXiEYmF8V5+xcwlre1G/po+73rnNpBn7GtkLfn0g4dnh/5guO9NizX
H8HcjhQBi9HE+IjyNdwIRMDoVk86mO6ZxER1RvcBqLM2pjtI6ZsExjW1tXt0cnDilzVtvtxyxp3p
NJNCXcSWG2SS7hVwMVASlfukPt3e9G9BKvYcKH9oywfkOOrrzHIbddL1PGnpWUNi0Mwj0tiqKBND
ehy2fLzGJfBnN/dSGrOqquviYggaem5+Jm4KyDiLQJ1s05VtGZ25GRrWOg+TGWR0ZufXU7uZfR0o
27FfHDQbJCtOC1gnnaCzlNS+6OMNZX/WhG4Eh4J4xXLQ3+gIWx5twVe99NtnA18SuE+aBl/HfHZE
aV8nskrPvac4/X47Y7LOQCfz7MkLVguZbHHXOuW28qkXPj513uDppNhi4iiF7/2ZOfluHMkpdoSH
yP8X5wfvBOuAyifARK6v5ji08BaAGj73HaBgzE3bzU5bSRsdcQZVSCY+3Zb3LcsHfUFPt/4FLQ0w
TEYeMD2sTOir5Fw0+jYHGUARbHXBAIsSp2HteyqXkcRYg7qr8KgbIQnDtYoXgjKt8wJjn1a+6gjI
LbyKxfb/tzbmLkQ1JvKEvMTaQDlDo4duvOvjkbS8lX3fQxn4LXC+OoDH8TJkAoo4S3KpSAR6lg2n
7vZZeg4RjM7bSElAe4LGCBXx6Lzvhc3gJyeJkvKj4dn01W+wgNAGP4Y4ioXCFOchwmxFnJz1aVMb
90G8Bz6TLP26vaNskwtMuvyfejxeY5LFLHWUR7y8xSQ5j56FNvvKzT7LB+rIW7Tg++0GxTQiFqTi
VF85Yr8lIJa5h7CYILY9gFr2sXhsnA59//Ou80Sv3AH7GZ8jcxb73WQjQMQtXPJ0yO+yjLNpGg5p
Io/JORK84IjWsmQzBUgxSBy8Z3a8YtlURB4i+nR0MCmDHuP6zosx3r1lKKZn8GI+vgIkkCDQj100
bZORPPkPh8OL//Hw8RG8DvfJvVCSntezurJU5JaXMT596XRRmGPNMouiy7TKz8F77gk/JTfhOuLv
mTKscgGdAmqxAvhdNuyeSqkK+nrMz9NO/dG9R/fhO/orfG0jPE3AiRhOwQsM6zERSVE6lHdHF+ty
bfIhHdSUSPMCmspiE+igQWizKlLyc+mMB1QF9qH/ItkmWVi90uPEe1N/d4zX4hizKk1JnyaaDnHb
bJM9gn8ps0HNd1fv9S2a4Tf/Q9qXLbmNLEt+EcwSawKv2LgXCRZrUb3AVFIV9n3H14+j+s4cMolL
WJ+RzGQtqU2B3CIzIjzcQZ/xIj9Vdm1pq3oVPKcv2sW1yLp5Ax5ZfeJ+xS9LL6GZjMLtNzEOmGhB
OKmCTlNArNxWjGLl27LVmYKZ2e7TUgfLtGcezTizq/O8Dcogo+mF48DhozpifJCHo9QYWvkigs4k
NB/7punSfmSPudRzrqW9LMEecZ+ENjbFYhdIS23I00czRiA+/SOlhiwkigX4+6uXc6B4g0hL4l+q
8pPwb/lSmmtmECA/wrNNQd4JNNjMINpUy1pQFPkXmf7t6xOXrgJ3CXI0c9jx6kcvKCST8U7Upifk
1Rh6OdF6CRpZl6NoStZZ0KuFgOo+LYnY4toC406Qlkw5N4cF3jtnfQyBuRMfH8iwyuS/qmBnF8nb
SXv5N1oBDNRwH++DmdTJtfW7ywIVqUQQwKF8kT68wuheoy/ZHnfxZ2d6B11cD6ElbYJ8k7+I6Nld
MD5zDWNWQc0LavYJQsZkyqU0FRuxLBDyJHqHYGddOsqSGgW7B/HEQC4eRgRoZUjg6L1dv2rsgkrJ
vOziDRzEMZ5UZEQXppA9u6wJ5uymjUtrL4GJFH2T3B8M57V4FX4nW/85QKwkbyNXH7/jp+TUXciC
77xL9P9jHLTUmEmMkc0wtGVXZuoQwvhF3OVvvuE/K/vY4tBjF/j60s3AnjjW2nRark5DlPVF3k/W
sjE2+3oP2LDutq+PJ5SNyiYjeGWDYWyqd6M96tZI2GojOFFIBterom3hJUqMfoQMVLeQi7+L7FlD
0/68Gk3R1WhNKsbsIqIp2/B22Uu847f5E1gul5aJveJYU8zEKSOaeQR0Ll+4nXvIN/HRW3l7/xzq
8cLdPbdC15PH+KtCi+B2FRiiEAuT3L+Fsgmj1eMFmt10KO1IqAJPkHE2JcIrnBi5EMC5dFvJwhZo
P/M37SVcxy/0JId6srRQbDkDs4dkp6igoUBE4k5iFqrEozCfniQX8SjEeneuHPWIl+ZO/A6OS05p
Zvfd2GJWqh45kM9ycXGJdgE6LN11YTdv2cJ+mP6R65uRHRCzSj76nzVKYcTfxCdxTY4COoUfL9Ls
OIAOhPgYYkkUvW43d+C2EYTBiuICYcff4pP/KZa68Ob+fmzlh7qdGQmueJSYgZpXpnrfrRlBjmJ0
4WTFJX73jX53Xtl2v9PxUnxy9TfDWYd6szCwmbmDRRBcw9tN9VzGPSRaFzUeqYpLcvYKXTjWK2y7
/eNhzZwi5PVlRDLYbBQMvrej8lIuKjKOKy+EP4SxppPE8LwlIoM5I8jYAj0N9AZItZmLH8Q6Cd/m
fnUJ+E0IdFjkr1QACR6P5P7+Q7g0Ze9RDJx0/JidJsdaWeRFCmwIzVFwjBWoFEA+w/r/s8IMhTSA
n2cEViT/mYN+adYv9qzez9Y0EHSKaFODhszSM8oZVNoqFyYafjtKvwmn2WAWURSko075oA9gT20z
Q/O2nIgeP4i8LGyJ2YmEzhA2HHr7oLpyuyX4SIlkSD1Xl76tNT2hRWI05bDYGDNvZpJJlVE/x7G6
NSP7jTsMHuA1oFsmsg6WbVAhp60hVDogksI7iT7a8aOpTFDFLIrzsg8ybEUFKJvJsaNjD0DCW+Mj
lwDa5wKfkQ/QpyNvroIGIOG1Cpd25dxiXhtiJxMQNsDfaXWpU1SnJfCF5Cd56Zq6q4qyw5m+4up+
52RwV/gZQBAy9Ks/7erQf3pfaWUgd7cGSgk1wcDMV2vwMvR2aTqCvvX1RpfNKfvuIdH+3OC3//6g
TGTMkzAAmG/YQrU/ZnKS8Hl9qWjgnyf2aXMc/SVBw7uSyc/IgejHJUInYV1mF9FxGH1V5WoUE9Qt
v0vOpg0uHpvfoTkEJAzbeK3sUPMVTEPbLFzWPwCw2xsBm+jKNuM7m6KdKGJgO9O5twOK0UZulhtl
2x4rGxlhO9v8zuzEfIUqux1bz38fT/BdHYUdOhN0xm0u8o3nNRdAMG11lR/R8quTVb5xYx05dlte
9WuKhn8UMc7Cvn9Kt0tV7zuMAPsJ7DHqkr4jImbAU9FQ9Enf+mrr0nfQ5NK3UILWI4K8yo4KkDSu
Um5cJbUGilCS/h3EAkCZfRPpCs32QcSZWRUaZYaGZTPR8KfjufFWWf8lD63eCUaTrTViP57AmVcx
Mh9AoU8CGQC5ycz6QcxX8YMG2BEP3Wj5vvIshdtBE/4tPWj7pct8zt3h5kPZEumuyffcHtG84UlZ
cKS5kOZ3K0U63wXm4/HM+TQ8S1C4mJiEgQq9tRCEgUT7MGoufhXG277O0k2ZqqVBGk3TAYEvFuzd
pe6n1UdqWwT6ayKxZCF31RDRmIPSHsIXWT+Ez/Jh/QxI2/fjYf3UGthjdm2G3WQ0pinY/pvLsEIf
6lZ+lv/wO9s+8KZyKtfufiV/6CtdP7f6eaNZ4W+L2zgO0f0PpwHe4xlslvr3wtDF6Ww9+qZpta8c
LimrUdYafJMCZj11F1JAy87EtzVUMVBNRCbRSV5Q1covo2w372mkg6sRiGxqFusBTOiVVb+I4Y7/
rvlNJXxqpgAZ1L07mP5S/uuu0smuEnM3lElVp3UVNxch2lXtQcyNNSbEs1NDM41O73b43aAjgrZC
q1wZwtl0FoUlf9AMj+aL2ZtC3xJoH2TNpUtWQ7QCMD0jn8BreaWhrTnNqeStljhJdyzyURe7XZxv
AvKZK7ERUx31kiQxRO59RIfugZamppiDdm6Bd48sCQGztO0EO+nQT/qdb8qpC1LnuVUZHbPI6lVD
g8hf8+TnT717Ciu9yyvDHRTIzurQ4Wm/omTVQIfNGhVb3AR/QHC1Uz1gmnWvdxcuxZ9sNjMP4AhB
4QA9VUi0sZDJSqvAl6w01eX94/gJ0Ayn15tCT0+c/hmAyiPQp/IzsvuQq9Q9KzSnn5mB/8YfQlJW
f3raWluib3/H6xcRPBwhrvZn3/IBuhqQsv7nZwcKF5yBx8dw7rRTXObILeFZKgosM3FTlknS0wHP
QrqJCfkTKM1Begt/U26taHZa1he1eQ3D0n5sd9oZdzMGWYcJ763hOcpsXzELYhdZu/rSyZDjq8bi
Qwq1dxJ6By0YlxRy5q4EKgI8idIKXCmwH7fnWgzLIG2UCbcrxrtkuFRyZeZEMiky08p7KB5BlVkV
S7nJuZfEjVnmeBRiQUphggtrx1dNz09SocfP0dZ7QfsycGuixRuCzm2IySPNxm2qXboq1kvU1neV
AHgKlHOmBPOEr7mTQOxokEtcC8imQLYT/7wthJ5ZvwzP4JToRQAULASIR2lJsWHylewKo6MAgtTA
D8koAd3OeTKEiVQSvGM4+ZBBzLQCtd7jPTQ/sisTzPxyfoGcVO/Wl4Jf5VhKP9VbwV+1nh1x29zI
cjx/u0+IL3avjy3PZA0wp1eWmeSEkoeClvgYHIIYu9xAugYn+avV//wBvgHLyRslLinP1PBzCRN/
Vx/9WdAr48ybQ5C8dGx8H+DYg7Rt0ccJn+JtffgU4OGFd/Rm9avCHhaJ4e5zgLeDZoLkjrqlp3KY
7soqAdXwDcXgARmM9jJQ8CKI6gGXyOzUiUwNwBdhoXB6V2dghs3GBFriem0mwjy3y/fcE33Szv0b
faKHftV8aif/sJS2+19WGSlcwK3RKMKikEtPaBWvx8lxez15jc75s2+Pa83I/vgYvK9D9Y/7JV6e
K4t4emK6T0vkUzOJymnK//MFzFITEYiCRMJS56JFY8NdVUjDryOyS8DDKUC7kRQW6f4+3t13xdt/
ZhpkCwii0bGiMk8zlSNuKlZ4BvF/+o2CflZPlz6IJYl24G3Q3k1O/LBXEVw+S/EFGhCcKYAEYmG9
J/9w7z/+8xHMW6yroJTmK5h8NW46y+fhq7tAzIxWyd8ej3fWU2mQX0asAGW4OyCs12tClstorxi/
hOxAytp4bGBapbuhXBlgXKEGVgkaUlJf+j33Lq9lBEK78UVZmLDZWw4iV/9vHIw75McypWLH15fo
W/zDvUdf2ou6l56LY5otDGh+X16ZYvwf5MfyMRBhCszhwseIo3CIfQMaJ+2O7PuD1un1r8dzyNJi
AGsz9dniF0VCVlNms42UjHxSJDj+kNYtfwG39CvZyvK2M/vXKNSrHb0kb6AggczvguFpt7Ord2WY
VR6SKsLhWaGhEwRBeLlXVtq7tisOPEKC78QOTkvabnNuZ0ph4dLEuwibklnHMEUXaiog4quLA4Jq
XylXcvhSSi9lMa5riH+gslToEP0ouEHvyVqSjDIVJ3nhJtuWiWukUbrOUjurlpZ9ZipuvoxZ9qYr
Rd4dEHRAf0kodjK6T9qTL/xKI1Man1zOLn7Vh3Ebh5+P12C6WW6WgEffHEDIE00H3qpsI3Kp+l3d
4DnloB9NA9BfMXAJnpvhVLilxXcuOvqXcON3DXvowITT/1kBEK8hIYRvuooFA8gEonCeV47PHb3B
cTXO7KVjWgOxU26HN18xRGWfNbbY6UiChcOKNF+PR32fBcMnABaAzrdJSAhgr9tPyHLV9wOtrpyG
ou1Y52pjIB+xUFt+Rmxe5gyFItZ6CoZNXGyobxbJSeC+x2FA61Zx1FZp+dfjdFE1Gm5hQe482vRl
6EDSQAaES4itSo9y3ZToG60cEOSYrbQvuO+6unTDe61oaxHX5eOZuLsLJnOKRKCbAf1nhCu3E1Fn
CQd2kK5yIAFmSP5O6wNDqU6Pjdw/Jxkrwq2VTFaTeFD6yumSb1qDarqmptYWZkWQQSLnKLJDYZ26
iVE063R86YNg4XzNL/jVOKfzd7XnSOPLsof2Z6cpjNBPV5SrrbBIDcoNm2rMTD4wpCjXwXabRL9+
9cVeij7q+gWUMpbrQ2tkK9EKpHgn9J7xXrp+PD+zi4Bk7KTRKqMwxxyITEhJoIRj5YyAIDTeuncr
I243/94Ikl0T27gkQWuUMdKoalDW1K2cVuU+qyoo19EkaICa+hK1w32WE8utiKjRgyQPqNifyPhq
siux8esm52unhWivEriW1x/GAChlaSVADBlsElPnkbhOE7MSz21zFvut3KyDU7ELXXRPJfUe5E++
YPtoI/gIjNDq0A+buMe22GTtKqN6B96PwiiKJcTG7D6ZnmYTAJS/l0/L+khRR43WTsTxu6iTLa5r
9cEfzgGaW6QM0lXqiau+XSyUX+FpSj8Rh+tVcOoCIIuTWI9iW3hvEJ/UuRlLxOSwqx8v5P0TAdML
Oi2VoskHlZifBNbV9ErDEBYJ9NqdojN9Hii4LN2ji9y1Woi3P9O/gHAO5mObM9fEjUnGX9Z86MlK
CZO+0SaHBngjrj+Lg9MiUEl/d4v9gtNmZK6lCSKLQpOGUqvE1roCOEhknLzGab7rGs3xiq6dE/c8
nLq+1PFOXQfyQkPazBkEewI4CdFOMrVhMvFALwKlmspd7yCbM5pJ3qFfxBMioyLUXzA1vTKYwU3e
HTl0tB6jy4B5f5NMK31+GHsHmCszF6CXNFHrgYfY+3i8arNjujI0/f3VRuFbwSvzmvROW69onIPh
f9sMS6xHd298PCCuR8O8qdSqwh1bYTRd9OaFn7n7+ngQ93k0xgCz9waXV4LQgwGZ13m6BlOpP9ho
i0DZUzGL8al9bRfe+/cLBB6DyYMRAZVxDO523iShiSPq+r2TZUG28uU82tUdGUx1HMB22whLknD3
dz7KG2igQcIOvb+QELi1N7pyCEhG2TteQNf1MZY83XUrC6ru5hhhw3vhUhf4/aIBwABshgCzSN+x
PditBJoqFON6J1Y1pE0DtHxHKV2ych9ZgAnhJ7CgCDCw4ZmJHGK58dVAxkS2Bd2UcaLawDGAWprk
kdmUSb6GclG0jkvEFtWQfrdqM1gBhG91L+k9CyxOno4Wk9YGRM+z1KiPV6JXLiWZp+m9PY+TWCUC
gimTByZWZgcHrRxohegPDgSHdU0LDALUId+pptrZIQjdH+/nuam/tsYsdqVplSwMePe2RWZ6lbyW
qnQBODo3ILAsqnjYQ2iWsixrA9KSTSdFgyMC7OW+BDK20UERXwl/fjwW4S5swQKDOhkUEqBaRVM/
4zWj2A1kKWkGx88z248/SGmrANaHtdEfyxP10N6gvvlqZxaAbvvDRxCeE28VajswHeToPW7/yL/S
gOrqxMnRfz7+unv3Bx6On2o6WGYFlBFuj1VHaaINRTc4ReTtAxlQEK0Y9MJP44UbeW5JJ6FmBJZI
yeII3xpSsoYKHVcPzqjWT55UroXEf3k8llkT6J/ENKOeAEO3JignNZXUYSw+7yNkSXkZgyHjwkBm
nhaYMmBhcSlNjbAsNGzIFL4oFXkAl2wKbkP4hZVH+dos5aw2/EYd3uSgatcp55dGMgyVpQAGva3L
sjJAoi2Yjwc9t4CIzygU6zG9qDzfDjqOuywvQ35w5IoeZWycuEmOoDdaPTYz4+4R+aq8AjYuVLZZ
SFccU+wNhQxO0PnnFKwY0ZhaZfl7WGIbmzuXigjoBqh0UURn3/mjXClCIUajU7XhVxlpZopfdNSJ
TFAGX4q6WirP3D/bENNfGWROQF0Lnqh2Hgw29aqDNgyf/5HSS0wA3NYF9Y/YWo+ncnYDKag+gVMF
qHs4/dslG0HwmCQAKjlJuOUb0RSgeqHEYDSrdQ9htSf9HRrJHkbvSMH9WqVLnKpz5wTNiKBUnDJH
eCff2u9CvhDBZTk6wFCORil6+YoTxCUZjLsOfxV+Dyy9qO3hAYeIijmOQ+lzSRFQJC9otOZzsx3A
JqsLtekmih4+i3SFpmWwcK1yTlvlTWGKo7ADs0+F0mwQfUDmM0yKbVmLzwvzf/9wxoehLwdUnjy4
Nu4IPYWqLlMZH9ZzRwUwFkE0fM4SiiP/IuZ2IH90SzneuUOKiQCgCNBsdD4xcaUgoVQeSeKI0+OB
61q0ganYpPFSBDJ3SKeOXJBoilAPY4tegpBqPbTaR6fv2xjN5SHYK9Si1BUfBEqd//fxPM68yPD4
BpcTepywkVkZ+trPI62vPeLwWU1WWRC9qDEnG8QT6z1EEZJVUvLUaqV+qXFl5sTCMBhEJdAC8KC1
ut2/QAer0lD5MPwsbMtLtxI6Y0y39Tff/Ho8xJl1u7HEvEMSkoh8HmKIWpJuChmUH6CW9Ad6emxm
bkAodkxEaFM/JesQpCQetTrNBkc9xAbOSPF6zmRD9I1sSRRjbs2uLTG3xZCC+MbNYKmMbE35AozQ
KIkToX+bqJeqtf/9uIAawqYH8PyeWc3zc9KFWjk4lMQW9T0AsXhTVM1BTXRCzmmOAql7eWxzboQI
SiYoJihx7rqmhHIEJW8iYIToSJCcAS3dYI5LQVBpt+ECWG/J1vTyu4odY09V3VjD3UsM8pQBxw+a
CmGXLViZc6RoFQCWeqJ6nziCbs1IdUYTtZAGZ9AAQGyyY9alptyHthsqmyjeh5xVAoHSneSgW6Vj
/coh4+D+1ZQnIhsB0vPOoP5txj+PJ3rG2dx8FXMKe47vOC7AM6j30PGsthshBDEO+MEiEAc/NjU7
z1cTwBxDV8UhJA1SKZ4gxXqVouojeH9Rk9M17NywwxIvMYLPPENQcoXWCdrj4WTY986QelEYjwE8
dk0c11vlLrE0f9PGn7JiPR7dnJOZiBYFOG34bhbx5vJj1JZiNjoA1zXrzlUHm5MQCobiWGwem5op
KwA+izHxwM5O7pPZsdmgwG+O+ehE8XMpvCbRV0z/1Ec1NIPxqS5fY+4tzXd1YgJTCSa7JQ3AuaHi
4QGkIvpjgctg7kGiclUHbTPMqtRHqySt/qjBCB2pKlqS255zqUiu4naYwlUUbm7PjADqPm3gceN2
0MU9i8/ZcBR3oxCA4MD2/KUNOjuuK2vMBi37Mfe4TBkduUDtsQVIWA2sovEWYtZ72N2UjcDFjpYK
RJTo4LgdVT3gge5J3OhIrZlAah3p9tzRtF8p5DeTCkCv3ArldcuVRhf+LSvTRXYkOkEaO4y2BdSc
hVCHymScG8L4JPeXIFf1qKMHJV0ISuYOLLKvQKSBFxcdIMw6u30h9arsjg4Q29AmK8VTA+p5o41K
3tD8oDUrkGEbmVr/F1ki9BggY4O8qIzmSGbZi6HKKwruPIe+RyC4FypT9QAR3yRFbyZvjw/TzKLj
lYWSN96SwKKzvYMROp0GBH/E8UEkaPF+wut5nQVW2cT5+rGpn2wEk35BmQvyEwiKkHRjVUzCUOs6
hXa8o1LvosQkMTMXL+e45wVjHEoCWQa0Ifclh0b+UQFDpTzydlOSZO3BkZ2hK5vuIyUo9bFRIqhL
yNSmbdvZYhB4ehlrzSEUIKKuxny5z6NMtdKyyWMkD13+XWz7xkK2WbSAhUhO8UD8c+97qk7iNjNj
9HsteKmZm+Wn3q4iNEJ3ssTs8rypi9BvUtHJmn1Sl4dkOKkVSgaqurBN59zhtSXWHyV+kBVjG4tO
Qm3gFwAgHfESKi0/zdZ88ERjMIO1gRH5eiZ5dvgxuLsmhRxsz/16vMASDi6zvvgQBTEh0dBteyeh
gtpfqWn4EMKnZiUhwb4EiLvHbeFYXJuYtvPVY6XmkrHX0kh0InmnZE+0RIMB3hJdI6xov++rJwok
IJKq8bCvlcEQwE4UWiJQP+H5vxkrwiHc6Lj02J4qPqqiqlYK0ZEJtxe51qBRsBTiTSH0/Xz+xwaz
hcKyIXxd56IzGKloxsoqMbLYoKtyG5VW4Zrx+//XmNiNJLRor4oTjClA6l0GMgsQ7McW7vE1wAah
JQVHAnQ9aEVjhiT2ZT6qKSc5Vb/ple9KeqshCfbVuHbypxAszn5s7967wRxaxlB+mbwOYTxpVQtj
6YOgz8HOtIP02CdrElcLRu63vYgyEhUlBS4ShVcmHIEkS6VEYPF0Oh+t60Nag5UbVaWFYz7NzO1m
APUAnOdUS8IvCpNv4aoEalqcIju1rRSgkR/3nMEFTim/v/DhEj5yZt7QVokeEHRgI9tJmadAHLVe
FQWe7ChFsi8AHePMVGwX2pRnwAJoSUXyCGUJwKbvsmRlT0kn0gpDcvPSrvi6hG4GxHdKMkT7tPcD
S5FG1S6ijl93OQXVW0P9JyrW2aoQvGzdyVG4sJb3L2Z80k9CCZc+rsTpTXDlX8oxBDNRm8tOZan0
nSN6If3pADfjVo835rTxblcT/XXYGQr4iEGld8ciBTEvUJJXvDP6pkxEPfuj9LY8LLU43K+jJEgI
lfEqR8Missm3w/En+qMhUXhEkEW8Ap1apgulqFnIp5ULt/tMgDfZms419J9wvpnnkoYrlMiVzDv8
+BZU2hsEEC0BpfWImF1ltTQwGlrpaFms1RGwq1WgCOsIAszZJuAA0LqUENIF/qb9+3im79gtUPhC
Gy828jTTeEYzPqBQQPseoHbldCDRqsEE2nSnvHivivGzrXmjQM4ybkFW6xFDDI9hFqDwdyyLt4x0
lwJIESUV/oqjuhB43h9n4KEkTBS8ITL9rNPg264rQXQoODy3pUmmd0Omoy1RLX07G197Ts+HBe8+
806YTMLatOmma/R2M/Sdl/Ih/sZJzkObAKzvmmEWh7pHIoOr8W4goaq3T4WmK5F49DuLyKHhtnTj
lc3CMftJBt3uf9AagR94avoCNzG7/9Uii9pu8CWnK13NEmiU2IXL92tot1dOJuVEzzPOBVpManVX
zZQ1B8Q2+lC79nthe0ze+e5LNBQFZNQeAFxlgsmorBLF4wLJoXyvy75FuV81OrArNdR5MAjHT7VB
dkVo59R6bPl+B2AKrgxP18qVqyF1RMVKwhREWg5OySFDx0uCSNZItC0XnSp/Ie6aydiDlxlVD0EG
FTcOxOQsrgy6KscDBFUqjr/P/EszdCAAX3FOiBQk5ObSOtXlTq800Sb5Ag5ixjfANNwdBB+mjmYW
DR2Jict5baM4ImTvgkTUNemjcwFigXMgfmAEMWgm7TK3xEr3/sBNZKWVx2vNzdeDdAjCjefFlqb2
C9917+2nz0L1AMwpKjpymSUQVEhwhlKnOJwsrMVqk3ugxB55M81k2/33IFheFiGRJqEVH2KVgBzd
zn/r81InygN1GrTAFvsSPKlTNjEc7DB8HoD/PZbdIZM2fjjsKL/0mLy/cWQRMBuCzAnW/y4923Qp
SiRaS51atDrQXCrucxvuw+Y5bv/GxZm+9qDLTvtwNU59YG9Abg39Qvv8dNswR+3mE5iHEkEfdtkH
HXWU3OA5W4hegT1F8vSg1rsQHOGPz9f93Xc7YOZgiyo/phw3UgfhrwL9W0g20XwAlkTNlgL2mZcM
bIGPAD8mvjS2A6xL69GvE4k6vY+myvzVR+lN2fEjsNxSVm+QnQgBvKBm7B6i5vR4nLMLe2WbmVVo
+4RgpxWpo9FVkJ8y9+zF+27BefycUGbtgOwQcUzAYYzObsZ5AMIgp1UshmeJI9ghRexKgelRtwUP
QlqFhamFPArJdSEC0xHU4Os9FBXfvwW5lxd6iE5od92TKvhdQLDmjdM0qMqgyJI+hUkPNoc2G6BV
pOF/9syUxOjLaAM/ddd1FBLVyMd4VCGWASyv2Xod/UJrcpAbYOvNEiPo+fJFlbvkXfIH7nc2TtkA
nIKRrkIxwe0udyNVtiAM4RpbknKkCfkAmECDS6XpH6252OiiOv5djxW0icD4AbJS0YVMUlwCiKT4
Uf/WkcbtzDRQWrRpinxipKGIbp2sLmhqRBBSfw9p3yAikzPulIDOCxxhKJDKxgAdQfXUl3i7f4Gi
XMQm6HpkMIAAHz7LpKtSvU9cOX0a4evemqqJQSKPto19xMdxYeSlm5hgHutAL9iocQ+KrJrbj0T0
IB6FDFtlKpibyOzksftUFL9KjCppUXxpBCHTVtwoS97vRMvhcUgjZ4UdZBL4NYcka8WXAZKv+8EF
Qm0h18+cc6B/sEmuhCiZHRnHSjwAURnuc/qdCK2hxq0xvtIebKzI96ECbvyrE/A/9iaRi8m5wr3d
Otah6pGDEygExKMXMHfAnW5VAEYb1Xlsh/Eo/9iBB0PyEigCUOPd2vGCyvXUARKxnPTtc6qJjhS9
Fjjrv7CCRkPwXaOOBUV0xooUdXVbp9BQrUAA2Hx5IbW98euxEebm+2coV0aY4zwUSVE0Yx7tsYeM
ofgmGdSxTiP4JLvSfGxq+t4rz3FnavJfV88ODvXzvuoxHlSGTHXfQHbisQHmIXVngFmWFJFqQ8Is
2iud+Mb7RE+UxupLaQMkpOETaaO6vRWEi1q+jOO9szsdg6uBuX2m9V6KgXmV+7emkS4H/d8RRAk4
n0sE6Gzi6x9jk6gGICUgOWb3eEnA1OmpMNbWluQ7pDeIckoTW22PqfdbBUeuOh4o9fVcOXjk3UM3
bgZt+T7+l9WPuw9h8hByrgmd1OFD8gAoE+FFUCI9H1ePl3R2z0zMqgqVgVH6gRteTa0W5Vnntdie
vOeZNPF1P1YWds3s6l2ZYFZvgAKJwrXYNV7lPwEJZdKysn0q/U0gVPd4NLN+48rUtIGvRuMWmdS1
02iC6pvk4E33vxajiXkbSA8B/oYiPIujlnOJ70hXR/uSpIbKfZUqqPiXONmXjDBrH2t1kjc4b3t1
dDhokJP20A50YbZmXRPwNv93JMzt0QFtJqHhO9oLCdpEQejPXfgM7PNgdsq8X//Nyvwwe6LYDm2s
25URSDt4EKDDrPEIRsqXnEp6udSMNjtrCC+gRAjsKfJKt0bQfdq1/iSKTSsXcZbctWu1z1y7BvRk
YVMvmZr+/mqndVnM826GuXPT17RJzK5whmipTjh7OMHeDWwiNO8g43drZJiIAFyxi/ZVSV+6Uf3i
KndhD7C5in+8jPZDC8qjX+an8eRqIAn1FSkBjcoeWc8GrGjtEy8luzSJTa9u7CCpTzWOqdCGBy6P
jKK1lNQLrCrwzUj09p3iLuQqZyf26nuYNRT4qHV9pZ/GDA2UDqwcX3n0+ngzznikSSoLeREgtZEY
Yu6xMm0xzgb7JG0avJXVcKUIeWb6MR30jix1ZrMxyzTFN+YYB5gLYM71eiwjWiBAUgF30X3yI3lR
SfeWlhBbiDcR3XCViL70xErz1AyW2B1mHoqIlYB0Qo8LlIxZJiyudyUlHVo8dcJSJxXkZLgGUJ7R
8oXoFPaO3//7e+XGILOMkeKTQSvHaF8DFaL3BcRAoR+uLliZ8WA3VpgDUiHqkFIJwxqyb0QbOfoM
V53i6XlkPd4xbErnnzW8mkDGf+Gd0YR1hjUcmrOvOHnQmY14AJ+AfIpwVqRMd8tDDYGqZim6/l9M
o7KCQu6EYxNvvYBEYpVEQDnuA+U5wu3s5TZyOwRqzHxgqfJgyBkC++HcK8ITXoD/Lrj/n4GjY0NA
yK2JbC4TeQoypCC33I9tYkY1ojuwwMTnx9M787BE7p3KqOtQ8MyzJO9qHoMPRW3CffANsGfpuNIu
hmZfPO6RsMQr8+uxOZbr5J9B/ceexMQxRZV5JYFc8t5P7C7d+Pto7SNZZDbdkZSRHvuo2X5UwmVI
YwgXWp70VVZ/efnoxkYqQ8Rdz3uLP3Irnl8I6Ba/jLn4IffG15GMmVBQThd08Ze7wlUWrP299pxf
PMSbK9XhfYsDTWZhoAEJiVRCTlOj5xrUGr+0zeOpmrmCQD2LjQ8xIAIuGuZ7ehrWSGUNiDCl7175
yNSFpZg9wRJ+QOoHIHwWg8qFDeHhK8K91PM7v3sNWl3wTU/+VjVhIbPC1if+WXXUmigkDZCJYkkt
c8HjayFAtMzzesS9dYnJS69CDfIm4OHE5CKIPPoL6R5pKxA32Gl/9GW7KBuTw/NfUT76hXzS/Ach
ugXtDEoF4Pu5PdkBPtTvNXxQQ7ZaC6YuM3oCPN/2hI8mPcfxrqCa3qpmmq8C6UUw8+b/kHYdy3Hk
yvaLKqK82ZZp3xRJiRLFTQVliLIob7/+HXDuu9MNIhoh3ZjFLBTBbKCABJB5zMtq7hJ0EjzQIv/i
QzPXOnwJeGfxdoIOiEHrkq7ZiXl2WtZ3L5UcusI9fhGAOwVXsPGBN8ZKiruvYD1sp2beG+7Ban62
pvt9Nr5CPFUyJpb+uQcxusT/jon9pIu7jZZhHdQjQtLiyUwPJEPBrDDC2xPHd9r/WVbMhRqmUlBA
4At2yJmVlpUuotRZFRVoOEY57FA2uprgrPX6fgN/TginqnMepqYSb0ctHSUHoXBy0U4F3wJF9g89
69KemilJFCTQ+tX4hlUU4d1K1Rzo+DVwnYfbQxbeJrCPUJ+04b7KQxBH1YhJCWPN02Jan5Ctwhkl
xW7aWSM95PezCnvi2wGFWegiILdRYrVKWmNGPWjsz2TFAwIWvrcjCCcQOoysR267UNq+Xip5WmtW
7qY5ECY5hHtfyyHQuoD+sPMopnWgWLK7vTigBXIMimk2dvp1wKyGxgrgFNnJsRLkcfOUzWtkZkVE
Snj0WqGpRokpE0Hmu4H/rFU8j4DRwEBNHm7Q9EBKZSTJT0k/FZBgAEcfhtZ2OOhFvC2H2fNh8rSG
SgHsi+VBN8NZ2sfFI6lkvYp2pgYAK8CdILR/sHM0qNen+YDfUfpMESrQv93+nDz08X2glwHYD7jY
+sRQJm0GyQAKKEZYvpJo2mrP5c7ZJD971d9+qYJsjZaTtU0eAZ2HiHGU32V7NKG7TzKFUmGCuPwt
3N0RaPauyBL8FmZDvNUqNdKMt9GaNmX70A4vWnxKCkmyFV4aL2Oyc/di/PM6KjTWMMHnpfDr5/Pa
hssa0TSc8J5DWoD72h+yMP8z5TZ7eqOWBHzCdcgp9npzVgvULHLHT5o33f5++6PyolofInCbtGoV
w87ZRIKvvJn3Q9jngXYy0k16SHdQdd11sZ/KxVVE2Qeghv8MDDin64H1izq0bpejEDf6mUlf9Sma
j+owfqfVuJ97ppJP5q+EPhFoOa4q9NVsScIVf07G9zAYgBQP9eufYKLDk5UoY5zsvv6dj7T2nUXb
FFkFPMH8qXCKLYEAKvq7Ctl1RD/oVN9JJp/d9PjDlMlcgJyBqQCr7/onLFkx16RD7V/Rkq/g68Ch
BLlxVYIS8BK9BadBR1uftsGQKZvZ/Jt8eRmeW13FqGICXBwBFvxDzbgOGgt69L+0xAxUI1Db0HD+
ENPzz3K7GDG33LQss5q5Zofq8ApGLTC0OU5xmda66CBgoLn33jiEPbhMldK+UhctBtB6LfxeHQEN
jtrp2SAvanUqrWZjmK2kxiLMSIAHwEEMghy41rIVf5Ed8tzLraRTkZGAAOiM536G8l/2nJZxuFKY
w7fneIJ67DhJqk2inQQygQnBBxfUcD6uk4x6szgOSsG57bszbrWy5yrLpfwqNZneC1yEWI+K2yjj
pC1driAJ1d7ZUCA9k34d5safydvt7cBW+6043LuoTPQ+UQiK89Scw6KP08AooPdm6QOOFZyweE/k
k+SOIrp2XY5Nv/5q/Vq3qlujhrrmG7f5Ov9yq5ch1JmG7ChTzxJ9KVwP0GQHBRtlI24eSVsaIGO1
SLXVmxI3vm39mZDG++bCuwf/MfVylXeT9Gagz50VZfT1c9adlRkS8L0MCMKjYf4J4oE64iJpgivH
JY1MpYR4BYoXfdrruxRcmXBJqz4EI1kJOsXQdstEoHNLUy8wxmIInQlAtdZqLFB52/qlGHOAhtyw
InEcJM7EbktLG81V6wZxp5SBVxBDskdEVyNcinAnxK9mWi3XXzkfjCRLVQVXo34O8m7vur492pKl
JAwCPisaP9gjYJpeB1E8C93pvClOUEGuSzx1X8z+/vYOEa0gJuTK6qyMOsztkHSITRfkjeIEkoCv
jW+0kmFnRfsBr3hkEpCSsUS5E2nuutpMVAwCtaJAwdujhJpzZ5+RrgcdvbJJkjaFk3YRj1tNcNDy
ZhcloRPRH9rS3IzVFEhr06JB4eaPpYu2DECU3MZLrNGiutOBpqfb/pIjpWhrZKlz5EEIYqgyaFvI
/HFEX+oyJPelrFHpKtjOFqeavKJOHarun0owvm/EyxDcovbUwurbeCpOQwO6E2SP9CBVk+noNQ3Z
UrzsoLvfr9tadaqDktYovhhYLmVSaA9N76ky2yHZiLn3ZLEWyuBYGHGC117uAuIhQzCITnXIVEFp
AbhTgN64U91yJ3Dyqr449dUDjp841LIzFPhOYDzHEmkd0bLElRC6/uCoQ2iLe170Nlil5VgXJ2s8
6oC5DmCVKk+3N7PoWIWAhYPeATT+Png354nVtrHGvl/lBSOdgDPaD5oXSveYcN5w6DBHTDQr+Ow3
tEa9jBRwGWyRYJ3Xram+ZNZLQq1DnEApaHGiRMr+E16vcUwAsod7A9x72Hq5uA9BPkhRas0pTnoH
/M5kPVR0AlTSPFTGl2lcI2P5Vjp54GTokyZTGHtQo749waL7BBDdwLvg+QSsKpeQcQyNYHbGbNwJ
wGzYhvCfoFnQz+5hcWikdH9IumNbkskxQUwIWvAArHPZbDWnqtLnEh1ZZQU2++hAcsH8tKx5YBcv
UDX44/ExDQmmoI5vC/7b9QzHdGiSqcB3TfSTnn+j88/2ta7uVllrTzCPsHeC3CMYjwyHzo0qp7mD
NrANXB49mjFIbNanpeuerGH1Idb5entQonIKUzeBnOM73pa3Ns691HVGFq1zSt1fR8hW1B00TvI2
gwhJ7n0pvHI8TIXTBxWoa4GamPBZLto/JDm8f0tsT+iSMJm1D9+yqbVW1YayPCltE4z1z3UIXdxG
B5mIuWB32tA+Qq+G6cdoNrdKe3hJ03muy1Nrosg5wSLd3Td7wwsAwDTN3zSXXeeFn/PfgPy7d6o6
2iQaC9iEaRWhw75+U/uDJrPUEpXibawapDjNYS1S7gzEXocDcIwZ7LIdAPo6vKNjM+yTwNX94pGg
1PBt3c5vdupbwQ4GsbJegCDBXsXnDsg6S8s5hVvRCX4wvqF+Vuo01DzIemarJNMILhgocOLSjRYI
OEHvM3GR6wyiTQ4dAXys4khRs02e6cCj28lmqrwdhQwiata6bKOwA5V7Ltk4BMEQwVUNPAQuwcJ0
FQzQuC9PjjZld3OnftdiG+AJL048fyqqOnBrMBPiwrXuBrLWW92d6dOc0wRw12mNYDOEx/ft3Ss4
N2GGA1g6I6ugv8h9cnOKqe7GeXmiZCwhLFMMQZogITmjLoPziJYxLqnvyQ9QDh5l1ebQXEoyrzg5
62+7XQ6jCiloPOa2oyIDpojwazhDQNYHzwKXAl6KoNaMVBtTWp60tp3uxsSJoxhMQWAPExJZupZC
2xKM3RSIgGDRJmA+cEpE8zTUUTG1XaRNdAQUQp2O80rnjdo1lWTihbPByHUeEM7MR/X6LOgNWqrL
0pbovlbVNq9qY2vRxNvklV2Aimym92Yc0/3try3aYAB6MmAfiN4fSh5dnxprDzTmaXWGO+IY98vy
3MK601ehg3o7lOB2yVwkYIFrvBO1uLufVgAXDaB6earbg2U/FJVsCwvG4kBHkXGa3pXL2L9fbGHw
C9x+JfjEtfU4po9K7E8a+FXm7vY4BN/pnZoI3TLWlOeRkH1KUEjRFnynBOepe1eATmaBMLXoMIyZ
f94OJpg0qMPiVsfcE8H15XajRkuP2ImG3Ug/Zf25pDItG1EAA/mOSWag18oj0OaOwjwzw2g6SFVH
uaGBBdT1zvb2MESfBvxUJhOFNy+6LNefJrchiD7GiPICJJ1XQmfSL8zwdgzRd7mMwX1+m9YpaWY2
EqCFmLpyVNKgAw7gD+1t2bWCkW3/Oxhuoy5YxtBPR6ABLQNjXgNtfkIBU7JdZMPhrmxqNy5lXCGK
Mmzn+tDCv8Hdr1WQVn9GQvowHO72Eut2o0wmAk3LdgUH8a1+mZbQlu1O4UIDlAWtZ81GWYL9+8Xu
BLEOGuTULU+eiU59i0dihC6aTCNWtNCY1LoBiR+g9nh+dwcyR4V2fXVSu/jVi+/jxIEVlbuDXIdk
SQvOScByUE3FMwG0FN74vTfa1GhWE9+nbpxja3ad7yRmuUtNYkS3V7ZgUOjWIwRD/aMuxb3Lm9ad
E6p45clVinBpnuryzegy6JVKXiOiBx+avToMbeHnxMzwrr+RVdLayWu9PLG646Nifh3sH+16opbq
T8rRDVYjmOBx30t2rqjwDnqwgeQNSirGyGW5ZI7Z7cIoT2rVw4QN1mHjo0en4wQpBXsm58pqUcE6
OrAg/POZBb4b4HWkP7Cg9esBk8GL0cLComQv3N40fFJ9n2df1Z/+Ig58Sy1ov0J9hn9/1Uprz42G
L0gaWM3NftUdhvZMZXg80Zp8Z/WChIIcxR9NpAM0ux5Seir0t2Y6e/OLJpOUFocAxgF+CihG8LJ/
w4r7quqU9DQrL9R5SYALm4qH27MlSBUubCJw4DFqOo6m66+SlLObZDa0xjEMC23Ervybz3ERgMvg
Va3OrQ1R/lPrnYHwXtfcb9qztBsi2resg4U9BRAKRCeux1ETrQZPq6anRjsDs2s4IV5osSwRiaKg
hgB9LQO4gQ/GaFRdxtbWMnrSxmPtwnA9/zGS57R6vv1RhGFQ5kUNHlVlYMWuB6MsOlwyh4GegB7e
llEHBlij94FU05+XcmbnEZTR/xvoPVlcHBSLk+etUo1YYYMH5cU+QsBNkacPuDR245G9e9IJLmzW
l6wI081K7JPbeYd1hijFb9X78sfDBpzn/XoMHBMuYtfDhgJQvfQJOmeUvpjj99h+VOz71Przw+Qq
CnfYk3qYKo2ikV1408GLrHyBCpVMo1WUZpmnswkrdrYqea1JMMv01DHRvQLiooK32LTFXDaqGsQF
bHhg/Wj7uiHzrBYkDKYO7bLMB1SUzq2brKy1JtMBRk7VbcKomMq91ksOLsHaBIsafENcs2w0zVhC
uVgyaNc6Dh0WULzMJRwnEixVtclBuIqh6HB7PbCfyz3Zr0Kx4V6E8lrA0xsXoRb1bGfjMS16XGb2
qHmBz/k76eiOaNHtkGyJ3QrJRn8RMjao2s09sP/u/NSAG36EorzfWWuoLbXk0ikbHbfak3ZVdcVB
qNqK4q9LU91n9pEOL6193+TfY6+WzKaoVAgtRvAsmDEQPBi4AxibIm4XaPed1g5CALrfKom/1E20
mka4JIlvpjAjDnQHD4aycf+8RXAVnLtXQUyk1PQa31Knb5MOzX/jwZYaTLAR8F/vcoTc2nT6xEpc
l40Q9bMstF8VLXDgtaf60Ln0VH9RfFpsG0tm9cf+7q243ELFI5ksE8XgNOiLjfUQEruRzB/LSrdC
cAtz6deYqDHwEl0STFsAEO2gC7u9rMEvGwm3KOFuAZwY0fLTdNjIFBjEf9t+fwFDv55vMIBB2VWx
h1lCjVY/yQ4P0VmGFfbfP89b4VSdPWox67QX++XJ3Ja/y4MXFJ+BYPnURodKCZbI2/cwh72dMSSj
8riLBxyZu3oyUUlU+ra76wgsHmJNcfa3owjPk8vRcZu39LoCTgsYHXDifh/OfuFXgekXkUz2XpSW
GH6XWbihFscTnxWq9hrJLVRGz2j4KMdEAQQgRPsf1RfJ1MlCcScx2jQGVPsQatIr3/CmgCRuqLUo
O+vPXb/Ph0cKpZzbEymLyf79IsEr6gJZ+wYxK/Sy22kDUJvfZptugUeVdxzU356yvx1RuED+ndAP
DwU9UZCUTYxS2+b9FkTd239fVG4FDBoXDTxE4MLGP3hg0tDFNAY7xzEC7/RYH/ODEjk/qm3n/zQa
v3+E5d0mDW9HFV01LoNy8+jSSRlGB0HbkESPMgdI0TEMDRloTEHGhBl8XX8lPcXLWTE9gA317xos
JlV1Z5dPePwUmQQjIrrOXEbi1mDsJJqWZMC6OE1YpbP/o0FuNcvN7dkSrrqL8XCzhQfWiKMhZgfT
HExTHczWce2OJH/SqQbeFsNZyIpaH9cdk9/D/R7vO7xFLW5kVCepq1hAv3QAPGw0bYL+kipbBoJL
BYuC2qwKc4mPftj2UjSzURQF2mPwcyqUTTYGjWFt9VHzO/JzGcCCndPj+DW2JPvq45dDZJTR34up
gLBzc4r7tT24FNibUfP8DaTkIekVytygJUHe4V0X6cLu6hT3aSAbTP08QVwTT9fOeIpNCa5HwIG9
Ggzf/CvmVC1WHcCeolF3FXnOhhqPyzzKAStt+29686ShauLNJ3gVltuROsA/aBBMUmoJ/Uu4alDR
Q09eBdfqAw9OaQ0bFj7FyS7vDDQfrfXp9laQBOCJb0bptXVTVMBxOI0f05dMxvsUHJWYSyYOwiCe
rC1+nTxy1xjK1sFc6om5yztrU3f3VD2P9D5bBh+KL8Ws+mTJJCfLxxsawjLcOcruTF+K22+L5bEb
yIywRYQnWPtLhzxMWka96oZS7KJwFuFhwCAjbPtxt44ZAjz5OLNgieM7yj0e05LhfEzwGA5rvoCo
hiflu0nQxcrPYktP1gQR8sTGDXrxB/Agq0pmKygLwwZ6EQYFNMA8WZgSECsmmNDR82INfzUYhlx1
4aSBEuR1lKwFP3qIV/SQSuiNTQ+gUypEUtsXkKxhw4glB6k31OvAleWCFGh7mirk7cs7s/RBevA6
PBvvsmFr6i9WZwQkht3OkkOfhACqLtlXwhRyGZ6bSWjsaWlcYmO5S4A3+l1pf9ZhuemqZ6XQ/HIM
FSjtlcOLm1lRrzc7p4IMmcJED6WSHh+Pb2ZIiYo9KljQP+Otz9yucuPSxA40t037k6Qt6OS/MzDL
5ZPOwIjX76LrUNyum0lhKVmDUWct3cbNJiF3S5pvqmkJyjSs4NugTQH9+ec57HJ8XIapY7sfl6Us
WGHWMZ+qUXZ2sz/wcVQuWA64/eAM50bVtGqlqivQgaqKL+hETfpIyBMxd/Z2flIUye4QZS4D3kXw
1wHtDPTn64VbrGpNzQXRUjImG62G+ka8KAsCd/neHpzCHwcQ9GG+E96eR0lgHlvjtAa1XILAJet3
7MgUFrBQt7ZW/jkBCvR2MLb+P8zpv6PkU6bb6nVm5wg2pb/c8hwvkr8vuipczCIPJ88KAEm7kt1H
Kte3zCdiEQgEU1+jksukONEwDxtW6mOq+tffy4F6jaPCMOe0oIo49W8l6e/q5Nz9rJSDDitzY6sb
caRCNW00DrYMqyv8aHBHgY4DKuGoGl1HZ6i9chiQsQ1wWckexRTtES6wQTP9vv3BhFnkIhA3zDFT
zDq3gPhs59+jGdinjEbd4BegoP9vgbjdlpXLPKw9RpR9T2CW4y9hChKK5JkmOugAxkDZFI1MaPGy
5Xlx0OmNk9VGjdHM5Qto7Gl3psnb7XEIVyCalgxSjwOIl2lwq2Su4SSDG3+k+GWgBbIrjvCLXATg
xjACLJPPOgLUey2EnWMAV0XJ/fOdHvNhm17E4I5qRXWKuTIQozrY/pPp5wcAtQ/3XlTvfkPhPYh9
CLZGbfCL4nUbBG7wbGya6M3cKZJfIvxgFz+EW+fqmhWZseCHGNY+6+/UaaM2n29/sPc3yq3Bcksc
0ldt1lWI0Z7gGNsdm2P+mvw03rrZnyPIom7GwGr9+lH57O6acJDIEfCWzliLODwvhsgtfCayWGor
wg+Rs8G6D1a/PECUoIRI7dH0Fd8Jqg0Qc8TPvtZR66fYGG2ofUo32pa+rl/1H+UPLdL2Ov7l9swI
kwwgOEwGABAGXgtgKHMjGxQDyfrVCC1AHk/azt476e5/C8NNgJ2pRCcNwuTFoUzOxvTWQiqG7ozm
F1C1f5MBLsbEHbPr3LprzIDl1kx8iFND9TKYDEl7RrhqYZUDmz4oTUPL5DrNmLFXKO6AIE7yBNqe
bytfu1ZmkyUAL2DhXETh1q1Wgrad6UCrO/g26RAO8c4wT5P1fXRe0HptejeALF4O2CpUPG9/MmGS
g+sYCIsAWENq4HqABjwsUxjS4bKiDfOWrIbpL26rhVrZNtRvXEMGABZwfjFYtODxGn4/b7msZ7qk
hw+4i7e5uYZDAyaRX4T5EFrGeaoHH7fPoMVl33rICZo3OVAUpmTlCHfDxS/gcqIGkTQImuIXqMFk
fWvhn5vRbXEAeMPJZJdB8fz+O1puAXl2MuElESMlrdAoSX7P+WclhgZI9vX2dxRdcSH0oTFRH4YH
4XeDYwHb12flyXpOYADvhJ3zjabLvUU+6XAH1xuZP4SAkA/Jb5yKrEwF2X/eVWHWLegkFQkAKF5r
HroJoq690WdRCl8ZyInlJfSh7HWDJ366H5YqiUDeU3Ze3w2fprw2AmYWcJj6WPlSefErdcoB7XJU
rC2Y+AQUvFKfQtghGssB/CI6uIc8aU1glGbv7GqpdwSMlexvT6LoY0HwH3JFADXDKIujahVwiegA
IS1OitttUI2Fn08a9Goete6fK5lg9mBR9M7xwStXv953sFOechtqrycLh5PeRoQ2vqJubo9HWLth
yEjG8oFWPC+CwUiBcZcgscw/hxdw66stGpQzbpjQlO0kqVI4ef/G4nWlqj4z01zHrkJhnjYHqzpY
2l61ZKU90QsVukK4k+E9B9I6t9BVc7UdwnD1K9HjYJ0WEtbu+N2kaxp41fSa5UOx0doiMM0SgpTj
EknmlGVE/pJx8QM+jLMee/BCgDKvQ5RxwH/5ogfet/EHGX1lCse/qehA2gi2oTC1Ak6AS1Y6jP8q
ArPtU1nsgEBdNpYnG5FwSoGhhh4LaLVoi12vxdS0666ZFOSoNoSi2wr/t01hnhPjwf2WU3/8fnsG
RddeBtn+/3DcaZfNRQo8N1IimvS/2uJJi8ct0evILrOw7yWXMrYcPnwtrHx03mz4K/EiBzNMgFoP
HgmQgYFH6Eb5WXTzXebuLTf7BJTqtxl69X8xPGZMgfXJIMNcEllipxm7ZCxPedmHpDnaA+hloICg
+5fkkpOMffwPowPgCFQjyHN8kBZvh1xftBwY+KppN41SR2rlHapadmYLv9hFGG6BOCuqUmU2sDBg
CFXJdoTOCZBFoR6vhxSG3pIXpLANwhBLjDTosJbV9YpUkxhanw5YQnr1de53GQQsW9ruTDhNWmrQ
0mqL5lXSPPedKQktuhtcRua3W5GghWpX5WkkIcTEQzitWWTe9p1ywIcJvOnh9moRfUHosenoDuNC
BLOZ65FqhZLpjQnqhNY9UDsNaHqGJ5lkmYi+32UQbjrtGb4KToxlUji7pNL8LKvCaQi8fDuUMkyf
cEA4PuHbBuYqoH3cgOy2MofEAuLXLs1g1BYarArkL2GrIRuWMBSMlhjHEyPg5d+ctdOcYZywLI3R
PmbauoSV6u51APYle5otcH6fgcbAGIh4CaBRez2oyljsdaljoHzdGq5pczgkX1VIkOUy93PRkLDo
MRasBWQtbjnUtICBPFTyT0t+qCCoCxPyvxnKRQRuLfQD7d3FAFA66c5VHo3wqI/3VFa9F22jy3Gw
cV6UZ7JcHSENiXGk1kZZobI/Pqqm3zy5MY3cYfxyexMJP8/FmNi/X0RLoAg/OAzQjqfgHK2pAaLk
4ARz7SQb08GD6nY4weCwDuDVqoHcC1sHLpydTRa8T3CmdMnsL+thsn9A5FLvD7S5K3NJghCMDUV/
4Df/MVvhRZi8aqjqaWAJqdkt3Ql88MSOg9GNbo9JsPDQycHpD3zleza6nsIc9AdCgSo7qWBDW27Q
DAdLkW1YQR66CsJNHJoLs2UwNkBOo6ENlvEMqW3aQHJFksVFgdBng38vk+9DdrgejbFY6+Ll2K/o
HCbEjJT5xVYKf7BfgDaWrAbRBwLIFoBvNPcAmOaWuq4vpZLFCkgo2jbOo6w6QOBxlTm+yaJwU+fU
Vq51K6KU2sGikBXy9eYhk102BeAX8EehXAmkP+pEeKBfT9ygNNBKaXN6KnU0dY0vrouK1WDi1Heq
k9eZJ6N7UwA4U9HLJqb7lqvmNtnGaGkk2tGgsiaAqDICLRngLSAuxEQXuGdST5eemiAwoh8VJXPi
uy5gpEp71iriJ+TeLALDC4fxmXgUzpXa79ub4l1Ohsv7CA9cLnDA8Kq0uGRpKv0ykw6AbpqnsIA+
TNO+UY5toqDlNz7g1NmQbkF9pgvaeVADiz5NagP3gPNsQ1ThaCm/Y2cz5NtpuKPA9E5wazF+UxQ1
FP2Y6tuyh3O15KwXSORAzoGBDcCMVIEp5qasLVVlSNYO0H2Y5qTondhkV3hmAIJPEji/SsuvyRIp
2ho4yujjV42qX6V3+XTW5szv4P2C5+qnqZO9eNlcfZhL3UA/H7RsSEVxS0ud7RFvXoC0Fb0i0YxL
8rY2m17SNhbsfFdFvR5UdoMRPdi/XxwFZDbbxKtTANKKgwphY+MV7yXPuZe1wAX8cuD8UThj7xim
v80FGrS4M60Wagve52Q6jMlPh36nEMapjCwo1LCd1uPckU/ea9b+hjkZTI8/D/BUxdnnqPkO1HTJ
dxckCNYIASUZ4CHQurjfM2EpOICSMz3+POiL4W1Y9e2aOY9TLUvjolBQeGQupGCPYRKu53iM0zVu
mJdBmeahm+x1K/OrOQs8KkNNiCPhYQPCDj7pB9Eqc01dswbs/7n3tlNzV9vPiwz4JOoaQLHz3yDc
5Q4tXIVOQwOYv+7CZsoLlOKH4tLAItadM//qtpmFasIyblyj/5zEXZjAXMkYNwT1YHxOIMGUU//n
QDrYTjJWK1pbjLbCfc5McW34vQIQuLbPWrxJp4Ndf59l9DXBnryKwu1JqtZWD44gKAHbeidZkOwX
cvsdlonA0oCOh0ITT5G3tLFb+xgQ2747gAhaHizv2LrHt9spWnBvQZoD+xuPRLBz+fr1Ankl9PYh
QIc+oLvWPrBcfvz4FzFwHHpo7rhAWnOXcrsF0h9+NaiR61+s9VQSsIBldALRSmfs0v+PwZ00i1qU
cdMiBoq7AEyaQZZvsNehfumFt0cj+uZYVri9AtEFXBW3spAoxtpOAAZNqzszhf44kUnvCu7H7mUE
blXFHvD7ZYkIy7pTZwCqvA1UoEAbADHCsiTDEU4caNlwugCpFTya62QEW2RM3AiYUPpopdFioph6
SKLbUyZaylAZwN9n1W4I/F7HAKqn1ZcYMbRnx/0Bx7/hqSFgfEpurcJ5uwjDlTYdiqenMzCk3YsC
tCd8BqEGr35RncdOdksQlMVwR4DxEcPdAPPJLbdKp8RdKXDbtOg+OWb32SPqXWGj/+Jm9hdNUbfg
7oPAUs6S/Sr4XFeBuduyAmWQIq2RcXQyh52po77f+ZBq9U21lSQg0RhxjdWZBwGg3HylmMDGjigj
9E1X3BlXbe9Nv+pPzMLuyVC7oLD1ze1VIroSoGvw34D8qwO1lCEvelwJ4qrR7i2nh2W8QfM7Mvdl
VLZDtmkLvYdvngb2RAwPKAOok8Cb2yVIIQTmT2M6bhYU7L+UU5HaIChatNroEIncwHRsljTkRUW2
q5/L7xyIrxougQCrWxqnxHtKmvQ+g6WsER9Tz+/Qu8lKEg7z4rvWnz9qPZZ6sKAByvpgD5GDmZjr
CWbKwkuw1xZ/1H64KtqrtiLJ3TpLztwxxNyDcCVyXaQHj9tUMaWNU+u4rBgdJIabyM16f7bcEGKp
8C09GuWRwIsOPcGgc+k2S3zN2dDmJ013feyFar317KCaUT6GSPnS+5lXPxuDbOeL3jkXv/KDOme/
dKSIqwF8lDIau++omPnL8mk0ho0CkVwAwb8l0/pM23033hlDfn975QoSDzDt7/aU0B/AE/06v+lr
rTRJjmtWwZTDHuyYBgp8RsfFJ7ERAtb6P8bjVl5RT7myTvgmfXoCx8g3JnNPvH3dl/6I5p/yV+GA
xoNCOnr474/eizdBqiTunDuYXEiU+or7pBidbzuTr8D0Q9G/DKSTnEnv+PIPi+5d+ITR83GuX09o
jWRGrQXmMtaEru+Yg5KYpX5i9IdWscMacnsG3S30qc3aXTGpmzR2ArdZn8ol3sfaY7measOAKHL2
qa82lbchhvv19icX5WEDZSVcBNCkgLfW9S907YY4bQoajT6OwGcoIPbrTr+p9SWyV2OR0O1EqRhT
z6YfV21gUK6jJbUz6BXsEk55VUVmYcDKC5sdnDKD3Ded5Xed/nul9u72GAV3Q/bNAVBmgo34DtdR
+55CjQkIYQgnfVEc6q/zzlmfb8cQziNou4zfBWw8XzCp1AZ8/Ab3Tyd77XubMRqYVGkqc2gQxcFD
AJJwDCcCsOD1WOKStP+IyOrZofYWHz6mAR02NpGVs9gf4pfuZSAuXyp6Z1Bi4yLaJcOmbMiX2X2A
g8lo9tu5jSOjI9vbMyi4XEHTCuApcNUZAJ9bGwC3VGP/jv6Nn2Zinql5Vsegdp1Dqcvk7oSxoMKK
jjiEliBedj2L8KUfSa+BjuGmJjTepyGqIFdae3d9nu7g3CXTKxaesShC/DcgtwTbuC+W0gaeOi1/
rcqmSMwnTf0Bx4awGoKZPKyZGcbY5lAj/otZtdGCZHIUMDHh3iy08MYOtrrgldOw8E0jWJKwlD0l
RNBZD68vFHPAuYNeKfftIMVsdZkJqGfreGQ3KgwW3zVr6KyDifaSq2ypHRdHmjfkaNvNHGXu+JBo
xPucNrp11qCNIEm9oj1vqeBnQX8DWtd8wbBzxsRriglY+Q4cC+/NbR9mIrtZCj8r2nWsmIX/gfB2
vY6a3rHHwdCAIDKnuwmGhNXshNZYHjRi4//9Vk+9sFPMgzU85P26uf1txdMONR3Gv0A25UmldDWo
M08OHgqkgPNbrI9hs6RFpNYJHo9TMwZIfX1g5jQOs2F2wXmaadDbeLiOQ62c1BXWwrd/k3DegWFD
jclGDZx/VarlXBWpxXBkMEzOM8dfl5d8kKlci/YvvqyrQXCQmf1x+9f1aDdUExMd7ZpwBfgjUrPa
8+N0yLbNUN515cPtYYkCosiFdcRkXHGSX39oz4ZY8TiCj9dl9rmcvmsqqM9nc20Pdprvb8diP57P
vJexuEW1enY8r4xo1SXMGFaPlYgspiM5FIVrF76QwDLi/Y9XMztpLm5DlekWE/GwZzOvqTcQrMmi
JHHjDTTh4OS6TPPOUoclMmaNRnaxeppPadyeFre0t7cHLDpqGCUK/gHoOuF7Xv8So2oXewQP+2Su
NXR4RwAOCYSxNyPJ56Awkh4WBt6XKe1HSZIQHaa4BkIAC1xYB6+Q68CUNImZxZjp0XhrUbD3zHM3
ZKH7F5hn1L88hEFtwv7gBFHreTebMQYIyBAuOa6Z79AnaMJ+IbIHvXBIqLTZgBqqUInk8v0y4hDo
apxslgF4b9ufcwPWv/kbnv+S7CPa6SiWAorE7KmQ9a8nz6zNeOoYYaFsH0HS91O4fOnl8hf5BMZN
BpR/sTJQa76OAko5hGJH9Fgr3NLPeC489Ubi7FaPxJKqi2jmcEdELVt/h+RxW1yvEo9YLhqsGUvn
je9Ud3Px00okz23htF2E4Xb3stIxLVxIPKKDq6dvZLJ8T9Z1Fw6FdQHQ/IHRAM88AtA/79/xi177
kMR1CNk9B75ySfl6e+MKx/JvHP69iGYdbV2K4y/tWmZkncD8o84l2UGUDvFkRxuXyaBbvEodElOd
4yBBOtQMSCWVYYzFdnsc4vn6NwT794tUOC0KVXoKEGYdb2nshqZ+DyKh+hcgcjwM/o+072pyHde1
/kWqUg6vpCRbDh1sd9j9ouodWjln/fpvqc/9zrZpX7PmTs1UzUNPGQIJgCAIrPVXDGPLJvK/Wq6h
SYpOC+mls7za/3NfE95iMaF0rOuuCDBRtpNCkwhVRQPR4ATN25v+VwvG7310pghqtUBjSwawHOvQ
NjFsBtz4/0uAsZDc4MjVMfLIcnyg+9wKDB+COjVxFflTSTAfY37dX7BbW4/nQeCbAdERU1fLgp5t
faGHeZAMaImCO1rGR6MJBOM+9hi3HDNeloU91RfUMVx+LXRKs+Ey0svJny0ABOrIDNPnqP/EfH0B
ppFQeKvHwJHGf5yyoA8cHVFonMO/V/0IVYIuD2OAcyYjRjymp9lsiBigl19OvKH+8U+XEYNrGHr5
hqxE4wBjd8lYAXAkR79Ak4Po8msqduXwEQAr676Y60wBkM4oVSz4whJ2iwmeQirPs1yjQCWvIgfG
7ZSORFOOD13vFIQgnccYBDhsVLb7WyyMzLJqdIwMwPfQRdsUM7fuSxxwE2CPdIoTBCzL0/q+ajfy
sQWuGkiOgGU1UD1m/EpThmnIQpTiAV0bRytN+VIGPyZobqMCIHASNSFjVNBknnai/499GrJReIRX
Y2kxtX3pBVEqogqU4qUGh6tXKoCJHkaMjvJ84NrZLsUwcVYtolY1y+UyWjUkztwWNX9dOuime38t
l0B66WuXcphAq2uVlM8Ywt6ZQ+YkFdpvh/2gtHScToPIowm9joeLsIXtEAaD3IHJuKRqjmNhCJFx
5Y9p+ig1LVAQdvcVYmSYGMvBSCqeL2CXeEplZ+AlVW5COYujA+6VT7EZOUHyCZCz3/elLLHubNkW
KYi3+H3gz+lAeGAyoEzLKivBQ8ABpJhvgt8+mAMmYe/LYEzgPzJMXFi/2/Qg59LSfEXqA3UU4kOd
xbQPt9mwMa3Rrv9hK+B/5KAtA6CSyzsTWycTFL8FGGGaHFpALI5B6JoRaCMqzLpx8rmbi3YmiHHb
cQxyyS/j5CC2P/38Za5f7i8Y5/dZYI8enDnoOS2SA7rXf1qiQCy940xssKNY7GKxvbqlNhWYJsqS
Q0LMfd3TEP+AtNnVByp6wJ/RFghy3uQuO5RyJZUJ5n6lpYIiQDMQMLvTH/9J9cBKtvPfZs7hdMN7
YAP/tQWV8dBAF3q9UWELI8Z5QLo+kzbq3NFCX9D9vWJOjv/RCJdYsD4v6B6MAwGwTm3BNpEc4pTK
1IyJPJA6I+ouRwcORxYLTHEljFm+PkTz6Qwit0NpPmafw4MQEBRDUssG6cMGsW6fryZid5xj6vZa
/lWRXctIneRBqJJDp5Z416/WZYYJraTzvftLyZz039qhd8uSgRqNrWPnNfwKvQmlb5jPqS8/zaik
+6VGOkXfTO1zm/2IJB5pxC0/k5EuqajuKAi1jGJRHOV+2gXWszIcJVDzAJ/1vkY3BUARBCSM36Jp
7DLyyWLf6HLQW8+NtVPNxxl4kPcF3FoyVHkXxh+UezV29K/TMGtfG77/XLQy9cFiP08kajK3QyVg
fFErkTeCxRyz33uEphv0w2MIa0kdLjUCNPCsyFUoPKPUl01EBx5+F73Wwyuoub2sIyNmq7ujVbjm
9CpGpAB8i2+5WlXSuOBEyWuzXA5gtDFg/zBz8x1rztP4ok+KqhyFZ8ziUKUenQxssVbMeb5iC67Q
GMUi8Fos3M46ir7LFpyJSYXKqPw8Dg7bn9Mhftf0zbzSRqfwol+qT5sSHnd/T68jyvdAj4qOIFB6
iuwcgKFOuRpqaXTQW9VOEEuqeZU/pV9hJLlB7kY8LoUbQRmFFhRBUFBehhzYHMAQxHHME2QahaKB
eiBbqdabhSqIrUm0k9LNbIR7kKxx1LwlFtxgqEICcm+BUmXSgthQikLvQHnR4E3c1s05czOrNxxf
qYdDnFW5Z1gAHbfKIfSSqJJerCTnZY3XNmTgGzAfiWI+WtXYx0mhzzCW08zRoYwmDFoLBtynLQSv
1PzKvr+t156D5tclzQIWH1662H5Go5+GXhLj/GAcg4YAEjQ+NJyU8dpyLkUwZ5HSaX6a94sIiZjo
U+6IgQfW3Hye53SbBmtMlzj3lbolEaHzG60LXFXsHbAPoswE3lp+qGXbDMhsYXB3F1jLC1evqnhp
5xgNT97y9zNnBBWDpCQa5KmmnYkzCUtH1pw52eBsMNOTfLiv3o0DFwW1v/qxoHV+Ws5REkEe4G/N
9lOvidZtwxmNK+U6K2iPaYzIazG2rtQqDZ8xMpzxxoLYpm4EoKUGJuOMQoIOrJrFhs90zppU7BPD
zw94kAB6Qz099MKnH+yl7pQV26781ZQ/QU5ifo3ScwsyoLyQaBOl4PiItnhzB8pLtpnRR8RZmhv2
jM/C1iM+YjxVZD6rq/GAh/MBn5XZQrDTzV32Q/pUwKxKxJ/BsQEY6ErbD17jyruZFzxu2MHSPbQ4
LpYHHV6XaxK3qVQZelwcJKCtt8ASQPAH3whShmRXpXuD41jXNxhswTeiE8o4aJtjHCvvulivFSE/
hGp+Sg6yiTQoewm4dU8Wefd7rzGHA55qXP0Whq1LvZqmbqdYTovD0H6q6kAsfzvY8KvM+fFVOdZX
5O9T89RoOyMqQCcGlJP7u8p2rwCdDoEQTRqgL1j621lM8qlTxEhvRPVQOeWueEg99Vl/ljexF2zA
4/JsfYSH4aStfFe1a2p5OieesBWRK/mMVWnmOFYZhlQOud6QvsFbcUSC3gafI/7zZEQymMofrSkH
ja7Pkf19D724CzO6MwdSXQb5iAiuHmSae6WbbLJVu83XmEF1x+24jlaBp7vxOnjUPPlZeQI0mguy
9FW64jUEXx+Ny5csbQrLGz5aSxh7GypxBiE1VkGX9mr5qcobXJoAHehpwkopDq3mDiMPuontQ/te
esA+4/EcQxQoSDHJaqWX5VhFlXYAX/JXieEsO9sHO5B/PPmkeExX9y3teqeRaCCPRIKDLGepo1ya
ujiZetPJgn54Tx+DDzUH1TzRH8s9rmpzbIucNO4qWi19M6jrASADbW5oXLiUlqD8lgRpYh1ky+l6
LxW2lUonzIjw8OauXXiRBNpGTOIs6RvrQU1fNSjIp9ahX/fb/i0/Vnv5h+8OO3OdPMarxgl3+R+V
121yU78zqYzfJFOKkroPqVP45T8Lwxc6H0i7MsKaF/eXX7rwEkY/xkuyrg6ascFKlrXtF29g3NbW
lU66Qy3uANdiTa9y+BFqKsx1Dc7KBKi89y3n6s6Dq/byooopew3cD+yN2y/F2JiU0T90GonWyjah
QbB60F/uS7mh5oUU+dJgpNQvs2Ee/ENG3Dd6/7ev/ZtRgbl4ml0hiOKEH+8eJo0Yj6fhye9ISWRs
GUfU8lPMdqHDCqEcrDegYmJHwqo0lkdhUPyD+IwmW+GX5eZH/4fowfDjiPpv1tPMablkBwlB+YR7
BPBZAKGJhj+A0lwunT+JgdppUnAU1sE26u1xa1nOuMncY7cWf9Z786F402zeMMCtRcXMOaqY6C7G
rZ5tzNGGSptDNQyPYPPGbaWhQ0wUMDAppHYqt+GclDesEJ1GeJVAwMRsyHfmeJaVgd3KqoY8Co/5
rlsZGRkU0jz64NvkFOquUg/sHNKsZfDcQLO0xmS8Okhao1lIElwa8Bjwu+iPk9ASkLtwvOr6ngt8
ETwcobtmOfYRmC93rS589IU2YXrETIi50v/UIgnfwjcBp8EucsM/2u+Rg89xtYSMRMbFRtkPwJ0c
pEfpV47pnbcZaKuYtiQ9j4rhKjgyghiDVIexCsQAqkUBGYl2MBowxqzvO9pVvGBkMJnbJPdGKuGI
OfYLwB6vUsXdnUX8mbmNeESpYgU/H56Kh4bGtvGQ6Ovu3QZGBbgP0cXOA46/rhAzGjGBvvcVP2hm
iBycn8NLKlM8Yj47Zrvx6e9nX+EEqquMnpG27OGZgpbYzwAxhbQK5pcS/ynuXGR78956UnmvzLdk
4QEYeS6eSPGmyCymJHdWJTUy9qogGCYWUGIBvDo118JA0Ct83zCuaoCIRsgFvvvIUNhh0Z7CUUnm
Ae/NR1MI48cuHhobCJY8lqRrE0dowNOKai2yMDB9uXyh2ArVEObqMcnsXnM0XAq3bfE0q8/3tbk2
c8jBdQ+nCbI2AItcylG1KU1joVOPaHuWWkyQCTQyf9yXcZ0aqpdCmP3JslmtqmFUj+/JJ8whOoRu
+pa/6r/6z+TtvqzrC8+3LKAsLWgByA0ZWbkog+NYmtVj647Jh/qR9wQXa0v5lflPSeJpANRJk+2Q
UR01b+lZlgNSAwfQszSiAz5zl/LYq2/uJOic//8HMW43gLsrnlJJPVav2eQUZUxi4AGmsisqHkf3
xSgucoNFd7QIL1MKSw/vEqDPfE4p5w6jMJp63A703SLB+kN1ZpChhHZER/qjOX1+fk3k2BGF4xPX
kf9S8OKgZ4KDSs+TNlTUo/mC9iHTjj8DL+QE5Ov7zIV2AHe/FCICFswwZhlC9uWx9H76XrKyNoJn
rQBU595fyutCESOMOT3xAoDyLLLeY1+vRRSGHo2DEpAVaTfRTifBU/+g+7bAW8fbnvLfHbxye7AR
W7MYYyGTVwVYZCqNHOnZ2At7FFSd+ypeJSKMhswhaoFqQIoRFY529ez1rwKnxHKdNTK/z0QWQxq7
pPVh9/JzVtFYtsOnKbO7mQbEcBp4ZWYDgvnXPDlg17qv2q1lxGEAqkMUwdEKwfIclIow4E031I71
DkitW3/XOv4j7GTVbKfVv5P1ncae2X5sFVmla756FFfjLrbJryeN1k6x45HQsyOJaGNBieyvUt9K
nwlqwmhWhchAqD7WJ1dpSbsVf6hP+baxO9skCq1fQscCptET5k05Sl7dOhjZS+Q5k92DyWRSM0s9
1qETbP2nJzKvhA+Q9X0Buz9cBlzvC7wRUC50ZYyzQh8n+BexqBqZXdHp19aqJol9X8iNjOhyRRkT
zUoQG1ejoB4HGnv5U7UPwLth11hQhfYv4aZ7azhB7MZhcKEXczphsKnO/QqGaa4Kshsdjk8vH3xx
AGhL9RY5kIguZTBxLst6tk1q0o7KGKv6MQQjhVS+BSnPq5eNvpKARu+FJg8wDuxMRmSl2XJDNI7l
u/hluHEMZxYaMrkpUnEnsUNepnxlCZqCRxb0gCy9aWgiZlSqo0LLIkUKTg0QvU51gVJhDeemeWjE
rlmj0wEswuqht0JeML4KkItk5HqY/QNuBLi2LxczVID5P2djcDIKz8RNt0LqOnCJ+ZZT63JBFyko
DQOjFNdcNp30/SAs4xj6aVXoKhHgSSNQn6PxYKU2s6cbiZ2upJY3qHVrVdEuiRdJ1BJUQM1e6qag
sabVkfuc0DBEZ32PVzMKllgCPEAp/qWkM8efr+wej+Wo7yz1T4RjcDpfymsVJayBGB6epo3oBJvA
k5yBc4G/rhcsMmD9KEAutFXs218mjJEV9Wp4Cj11M+7Gre41O9WNHW6b3w3LuJDErJ6vVKCHVbXw
VLvCWlhj6npT7et1QkvHX0vPkSdt4k3N6w24ToAYBZlFTMQ46oYZYodN+BStVZo/Sc8/4ofKM10e
NRt3NRnrz8NuFgS01p6ShxNIdtXjTLGW+2rNI03gqsXExEoWAz/xoZawNleGG2z837jwbCRHXId7
HtTxTUM8M5Jla88i5JCZSpjmUCt6eJTe8k+M5K7vnypXl9HvXQJsEzwLfXgsVEGuYJAuEZXwBERq
R98E63GtrPxH1EHuy7nOByAIL2Vor/mmwGbtHUX/Qk/0OjoVzuzKdLZTW9v2W91OvJkqYDgowEs8
kG79yhF8HbJUYDTiAU1fkGwRvC7XsCtAv+GXcvxt/sFBw0tK+mWs1G1M/6UkZrfUUQKMSg9Jrd17
M/Hd0nlTnGZbcM7N60wAE6TnKi1mc2YW4VBE/ryopODa9PDRP/1ygV69n9zwEPzAwxjvGOUtIXOq
lVM8C2ULeRMilUANp3M7GxVViXMlvOHGUAygmoCSwowYJqgvFYvSTK0wSh+fUNbE87otPZiPkhOS
6qge7m/Wd4Px5Ul2KYq5BBbRbKRouYlPlVPvUreiqf3RuxnJ1pEzroeSTE/yo/lYeRoV14Y3HcZf
vzEmxpuW5X2HztwT4wznbdXiO4ZN6knwjHaHseeCiKA5zd3ACVaRN7jde+Klr/GDtVJoSwHQ43GN
6vqYuFgQnblDhmZlIsPEh5R2azfoAqfCoX379SMm9b5eRa7v+E78jxu6YMkKZvOXLmDwveuMyySZ
DM6lAZbVu+huABgI+Cpmn5q2+Fjt2s8NjZ/LffUm8TibrwPrpVzGg7I0X4pZkBt8qhtpK0t4TxY5
JnYdWi9lMMY8lmFkYrZg8RqBzOSnbvvHzOUdEUv4Yu0YhKHg79HQlI1s9tJlBDkChEerwmU0jIo+
Tdpvf+IFbxbKBGwJUOVMCHO8lr5U1t0EIeJK3fgrcTN8v8k3boQGi27lr5pVvZY2swPAfLewC3dY
88pF15cFFVMeCmp+gJkDKx9jKZPVBkqUNulJzycyKj1JeJDWy36wK3kugbGJtItjkK7X6ak3E/Bp
P2RAYgOIu5AQpT8oLRd55ZY89PUBiUY2RFFnX4xAuxF3jaYmp0Z5HjvaCmi1c4LhICgYnZccDS0I
fiZ6RSevas2NMVWeq51dYKy83OlhQcrCvR8Tb5kSbhALlgQmLHWRMaVazjq4oowl9kF9jfrqbGdp
Cu7Kvv68L+m65AGDwjP4cjEDYCSM69JqhxnwnvpQZqfuq3mQthndBV71S3qJ9zzEl5uHJbpfAcKB
p0GgTTPpb5nELcgUquw0p/Mkg+U+KP+oQxcJtAuF4o/RtuCsCI123mHEvHmf5HHSaRr4w16X2kJG
K5sV46LTCOmvRtO7asVZikVV1uzOv49ZikiPpyCo2uyUFNsxn3aWj4GwGbA04HiV098FzgQVuKtT
UNnKSziiEWPgVNVvuZalAwEDLcKAsGT7hDUxEoZsTrNTaWoba+yPQqPyHvhuyLCQfaGrR8FjxBXB
RZllXYA6cHYywQ25QpdRAM6E3uJY8K3NtjC5u7QQIWhhbv7SrpYBVVWbs/xU27092xLSWdPTbRUt
6tYGD95rndPZcf00htALEEBVVfDoLGNg5lJiLmWqIEt5fmpIhfpn4Fj0yfksV2vjiZdg3lpDYCQB
TwwNUjgwl7+fpX2a0Vdl6xfoAaNPvPrq7ZU7+3FGD8sfjXyqy/zkN93waAm1/K5Ncf0slF1Hw2Vn
ibRAaxN5NErYZNlIIZHRGKvQUUdNYNWamZTSpkyXXvDQAubVfUe5fisBVhCaIlCuQZsYevSZL2x9
YwoAztKfxJIu859hHQ20mp+r4E8buwPaoazD0HuxHB2F0CJVF9pTcwq6EHDPq8C3FcGxFPQ5VOCh
4zjxdwPPpRPj21DFwms5ehEx0Xa5NeIsVqku1MNJqNZVILml/7MDSl8ZgzhpoP4MyKXGSbSKZIYb
CZHn9+jbAr5BBu6Vgmbvo/XeCju0rRSpq2tOmK3T8KsDDJ75CBIoB/93V+9jgDL2aDIH2GQ4Uh2Y
YEXpCKhoiXjUK98F1W20fVU2tuj/ysXCCR+iP1m/qpOfevxuDaRBO/z9Pbk+wgCjpmI3MEeIMQA2
tiKItjHm/4dThm4Ekuu97ohdKrpqHH01KlBXetn83XdC4tyX+33aM+uNYqiCwQOUg1DXY85qEKTq
Efh40Qw4vvna6I2iC06eIj9MxUGMnhSDRP6rNb5GAvLlkJSW5JSPyk/dk4UNkMaPsWHHpknjh3Gi
ZUA16TFs0MnpqVvVdDXdlvZTZNiYkDUmTHxGTzKAJAHfVtZk3Bf6qo9opbxYf2Qers11u+2CtAi1
gPsMvH+TbWnOtWYw/FoYTmISosEXNMfqo6WuG50awLue910FntfINp41qm+14Kgb+6oeiRGvzIds
wV3g9boqS8hkl/r8ixjTHmt1TKbQH059BA5Md6jcpHpKLNoELQVL4WrSd2DCwatIsdM9PfwEQ3hI
auEJdBlZ+y70Nma2fXMNY9xPoTMbtpwBaQnHqi2hcdlfJyn4lnQ6tdvAbsOn+4ZynWigvV6SUTIE
JDOAN9j3jgSET+Msj8lJI7Y/OdOIm6tznIj2FHLuMkv4uVgnRhJzf0pkI1KBr5acAMmueaMmSbSe
gYAzAGSf43ZXN4tFFPqqvlmccNAxB0Hlm31azXNySghwU8AtiDaZeiK8O/LVebOIAQkyKst4mwL6
12VQa8wuTtGBDTHgAqDIkDoqmy3vVPuuGbMLh9CBbTLwLmuwNxjJksvMkJvi1NSjsM4DtZBpKUZ+
spIqvdBoMRmY5UlbtV7NaQf0/lQFujgdkikBhHglovdJAFpzSXPZ1Caa+xPQxP3QGND7VUZNvIq7
rg8eIkEIQzJiZEciiuLLx6pULJimhgZ3mukTaNnLbgZpiBgmA6Js7VsoSIX68JlagNl3uzkPFTD5
CP1HVMSVQMV6MgROYLs+hrHmysLZjjEn9Jaz2BOiWudDZknpaXRbr3pQ7GYVuhGe6OKHT3WdjiDN
5HjIVf7JSGR2GXBS/dwHyPqBwbfbR8omG2jkIcDNbksF2z9w+4tvSISSYC1APR/sf2y3SDfVYGFD
QxTuGQ+tOzQuuosHlP7cpnfa/FXdNr9DjDIgD+aoelXHwhmNUWZMM4AdBjgyTAYhlaY/SVGWnRrH
IOpmH1Lda53pZN+Xsxw+jEFfiGFWNDXCKWs75NMdzV5+HL94DWXXZTJGD+b0a6wyTIMSAvyVsW3J
7kFxYkL/eUsjI4YpYIhGP5dls+jhVCRGmDHJQ4iGDHp/ua5TaEYOc8JoAHVvrAzbgiYYFyq5bkBU
zwQtrbGJCW/A7daRAHwKgGnjNrh0ujPRs69Fs46URZw9OK0n/2ls0r8CFfLt933FrrKjRa8zQYy5
heMcT0MZZaf3isxbcD06mcsxtevniEXGwjuAJlCUrNhnduRIeNyZCshwH7Fs3i7ZHZ+5ddlbHnsu
Rb48CWKzqjBTBikoO0jEldaY70RryctLSb84l9Fbi7ZgQmBMDdhIeJO4FDVKZpJKUZCfhJC8FyMF
NEVA1uv7O3PjAEV1DyMuIh5MgTXM6FPUllKpSoebFPE/lMfc64nYrmjDoYS46ajncpZ1PbuxdUh9
BSGHnPfZJ9aeBKc2JZujyRsDv7Vo53IYky5SZVSsCHL8Z5k2VH/Eg4rDMbWrPBCWdi6DsWa1Cruu
1Nv8tPU1grmu32POuUXd9MxzEUxcE0D10ltdg+VKPXklUsERPhR65D29LqvBxudzMctqnu2KOLeK
FknQJPb0jVvvliFFz6gPak6O4QuveHrrNDiXxhi0JPWSNTVQCtMIn0lE6BdnY5aFv6MOS4qRolio
1zpu7q2n2vGG8+s3o/PZ97PTQGWumiis4ef1zYIK7+jkoabr3xNVSPV23y15BsCWRI1aD/o6rPLT
RJFwgsNaoJUNhjrMynDrgreSgXO9GN+0RrHvi75e9gWJgCvHJHEjV7A51sZxTbZoEw/6KNQzjK21
x2OPcFbTyA54m8SzAcY5i3SchinBwlVfsat6f6yth6FMzUmO01reyrhavd7fKp5aTI4zxIIWlBME
2tHhT7bbrHkqcdzGYmJB4aeir4gQ8K5Saa3+At+Sd18FngQmDAxlJXSzCMc099vZHQku2zzf55wz
7GEWgjYyTTRs/gB0jmpVOxtc0QnnxLyZA/y1ZEzQXcazqUsF2QBXFCx5ov2uItPvwd2sTSp4v+8v
GScYXAH21AG47moFTmOHNLaed86LKJKBqG9NSHLKm3LhnJ/XNwVgPkuisIQ219ZM9AaXn5mdbkrK
W8JbCc75EjLBAOTxkh+U38FAI71t0tqdbW1db1UM+FKaUs46LsWA/z1mY4rncsuCxlSLWlncJyEf
yja2dXv3kjzynOj+mY2x3ksxrV/FQzth/VA2VL3GE8mao8j9KKqyDL7iII5yVMP2cFFtj+ZTuKUO
NY3/y83tfH+YaJCXTTsIgP84iV+ENO5MaYiLAS+K3o8IgLC7XK4+V6R80pFGDRTPnCZFB/BjSCOq
kv4zx/3U+Op2AJZ2eBe623KXbkhUqjAEwATTJAAcH6oTiN5Obe8bkkWEE65vB6K/Epj1y0D6LYpF
mp+kY3EQaLtR8FAbr+4bA08NZvmkShtqERgQyKo/UIp318rTvxPApFKiPkaomkBANpOU5MT8Fb/c
l/C/RJz/LhTbjmF1GJeZJojYD6at0/nBUXJnQ6d/3DL8nU3/lbMEiLMc1A975FWAL0SNQHwFAPDj
S+pwfJOz5yx0IWzNVKsWVjVQiwiYcBudTbnnCPlfUra/ijCRMy57baqNGCHGNVcZ+p8FkqwaO35I
1zz3XG5l10HzrygmaKZDnSlZi6thvNt2jgZWNNLTH/M+p2teVex24PwrigmcUtX2Q6xFeNXbvEdE
P3JUue76Ybaf8fjcaiKp7rA3UrMxiCTbkkakB+EBbzcE2I/EAXaufTgkfyJqjERGdsUJCLcNHZSb
35hK6ORlIoKs9VoZdstjIpHp6EnEWKPZCOhhlHfWLRZwtW1nkpiwgGnPLi01vMnKf6qA1ijphMSy
t+O+pGtOsn2rfLo8x/5XKyZCGFmeZlEPrSaMvQR02H1SJ11vvl4VZCkyx/YXI7ijGAtZgNrYgHIw
hIVeeKSVez8U3Yymf1VRmQhhVlbhI0Dkp9ePOSSH7Nfx/u/fDA8ohS6QC0vxndmWCl3BQIBA+muP
tp2tp5c4I8is7gtZfuRqic6EMPtRllVdSiPyHHOFg3T1gpmPfyeBJb2vBYwghQFS7PB9JipMq12J
a056eHOj/2qhMFuhlN3/ZL2H1TPHYm/u8tlPM5UoeYrQx9lggeTXYaVtZKKuOfvMk6Bgi85OmrIt
rQTDrQhl6K1rnaN/+JcqMGHZR5cbemQgIH3q6WA73Cv07Vh1tkhMNAZC2jCFBkwVQDuHnwV9Gmxx
V1OOHhxbZZ+7UqsGFJMKKdPz+0/rExnm73/lDGzIDS2hlToZAsLTvE5Wu8KtV/cl3Dy2zhaK8elp
arNCwxPSKfWCF5FE3HLzYul3/Flh/NkswNeVLvckdfVa28rWDJeYEdm8R0GOImxoNdRhjpMKblE9
BCQ55ZR3M7+x2Wg30jQFTRtAnGHf2bLKx4WiVQqkLbiZF3RySR7wLOpWcnQhZVHz3PcwUm6VNaQ0
juL+lIiXeGCiwc3l9f6+3/DxCznL38/kSEWVj+KiDe7/3rJgE892b2wICMzQ5IL+QFxR2C76RFXy
EC12BW7irpyinXXkcfteD7Fi5uZcBLNY81QCbUWACP+jc4bXx9JtXkpHtKVXmvwOCcfbbxx/F9KY
JbPKQprbUi9O7/7eFSuqAkGjR/ZT/7m/NTw5jEvWsjm0abPIQY/5SJQH6j/wLl48GYxX4gwRNL3H
yk1UX/nPqDTa6J0HbeDpvi43zsHzNWMrzUlrDEayyAF6Mil6bjHhRnQBTRsuwGgMRTsdS8titYMk
CTPWKnodnIaYXuQRBfki3/1vFbIuRDFL5gsD8NtkiNIwBWvg0uKGNKOwgNABxdkbr+Bzc4f+avZ9
wp05aBODOjFeNAP3hivQnj4k7hfneLkdbc6EMGmKrAZj140QkpDY207O/IA6ycvzfRvgSmEylklr
LSMUIaVy1NU+2QIU/0X6epneOIJ4S8bkLWM5J2iT+F6y7lNa60cn//i6r8t1t9XC8aH/h6IT+Ibs
U3AxSEM9GOpyRfb3yUPpTZvswV+dfDvaR3u0Qux+jK/TrrDRB+Hcl/3928xReiGbSWrA/GKCmR6y
s5Cmv2s7spvS6e06XGVOoK67eltUmOSvQfFuoxW8Ge1eoaIzUWCGjD+KbMEKibYY01C/so3hVBvF
TQti1iTbm3t5k6gk+FMlpI5J9rNWiDqR+H3Y5YEd+OsuyKiyTzOLSGvx0zdXApja3syEhuMnug6j
+tTOqz534tQDs2DPY4u5cfgC1ULDbCXGFtDzwxSs+zwHAHgt4fYr2eUWBEUvkW3fX16eCMYXegNX
W8Ualpq4TF1993nkDV7cykovtGAcQRFkfZJbMT8VNXmvHJkqAdglsY7PvNneW9HqQhTjC12rFmBl
hzaNE3tlSt+BhljTKqXLu4vhZZyz8UacvxCnXqYTVigDMz+DuK34B61Q0o/7e3MrhFz8PmP6YK1K
2xkdo6f5Ea/8Bjq6QpqT9Wuxlg/3Rd1IjC4kMTlFhc4FJZAgaVrJdN+szF/rfyeASSPURKtjRZ+X
RySR/tSfao4CN6LghQJM+jBKTZHnMVwFpWFPdeqUfK6/ONvN85XlG84Op2qI5KFLYMgRZu7cqXMm
Zc2rN93fCHQNXsqoE7/WCwMyuq99sVLt8tXndOLfXymAc19KSJS5NX0RO+G/FKQ/DRahhU05ZyxP
Dcbn/UrvJbOCGtsehfqX4Z9iki2oGf8NjFcTOKnUjEol4jWlIPuIxPbBchLeJAZPBca5gaKfB2Mz
oe4j4lEytSu753TC3rgrXGjBuLcv5DpYgJbwEW3QJ+zKvLZzTgDR2VenMYka2fchQdiKm/3yagIo
rdF9CWze7Ot939BFxr9F1OhnUHvC/ypiEhqgE6Fac+P7jVe0ixVjvLwsAAOdtNiTd9ytZJzyBq12
xuuGk1Ldj+s6CzSDEbRCyVUoc/LAJ766Hwk5K8WmuLBq1YpT/LjY2+5Msj/Rvq24xWTOSn1bxlms
KrJMbYYQ8XCgivuxzFXqBOTxvOsuJ5h8P7mfifFVI9T8AgamEdcVj/R34XCC7k0JMsC1QWYAioar
u45uAh+hV+AkBrqpiploz2T4zcmCbvVWYy7jrxQmtDe5MkeBJcNR1gaxm3RdofrgtkDXBWB2QXw8
bvcrEU3FBRKL5EFfrVuM4ndvX86n+Ljh1VFvhp6/X8OaCHLxSBFE6JyQ4qOyf6C/mrOqN43wTAJz
CBRyUQSVDwltSyzQuW8HuOt9O78Z3c5EMEcAhiHLXM4h4hXbpkNKweOF5CnBZHsxHocEtYWNp7Xt
RsTchSA5pBzT4Njf90vKmYWnXVjJwwAhGgl70uDmYT26GIspTveXiyeHOQzUzmyiqsVyTfSjnl0L
QxHU0V7uC+GtGJPm1aMZNTp25bStdy56E+36lce8zLNd5iCI+mFMigEijEe338ZrXmTjmdWi4tl+
NLpRWFWD/cCg8Wi3ABc+/j/SvrO3daTJ+g8tAebwtRkkKjrItuwvhH1tMycx89fvod93H9Ntrhp7
LwYzg8HMqNjd1VXVFc65vkcsAZQpMLIRdW3Y/9N4f1buGofZV71omr8vxtdje7YCOeqDOJ0g6oG9
7xrkHB96grJmsvGd6ythHMXXoOBMUNNLGOjlICj7k5Mjbnr4zrjjAkNrReqSV1zTqI2A0y7t2hIc
3lRQV8pMDoXmEDOl7cXUbu0LuX9nNcMzNJlmT1fkoJlmIKdNFKwqIk+bjijv1/ePtTj5p6qBQ6kY
ihIyIrez9cc/wkpbjR//Zl++KuCzQ+r1xigyDUI6U8kBu2UJ5vPl8I9CqHsveeWQAHYF9758hAE7
pC6GrkxWe85SVXnuRelpQzjYemgnhbN6Y4Vx2NZ061N5jh35bSuvWeJ+oy1Mr4DZRaJMQVR5bddW
UL5zuxNUO9ztT5hCvIl7TBf3G+nRNPvewjqF2P7E9OhfZjZmH0CZiqjxEwVAAJMS7v21v5HvdXKv
WfrfvNi+xdClW7ntuyyYnPWZX22HryYVTBLmb9e1fTlPMxNDxQRjoGVF6eH0ergG9MG9v3pmtmLc
qaXqxfzQviKxmb7zMBaDFmDP0Eva2aAvAqsv0ogoLAXiPiIFrAcLO4a5MipQCL1Qw3AcNtCqM5JH
5BV5tNBZg/zkH7eQshhBF5WDHGIL8SpNH8LV02tmajesjBrD9tE1uYTnPC0VlK+W3574bmvzd/+4
EMpgaGDgS5UeIvbp2nGi96xyzOR8XcjiMjDIOHXW6CDEpq6vHhplf8l1RAoAdX7OAR6nrsO/MXwz
GdQNLeJQ5QSQep/AfBQDLVfYyOdhy0qiLjqKbym/PHqpKChYq1PsFj1Lt+jDn5p9NcZall/zMzHU
BVXBmTpqiN9O1mAGNwaRzZoIm/qwvn4uXx0tVMYdQ+P/ORjaqYO5QffrHHLiYqXZ2otHJtQxYtrA
0HQ3h+q0jVzO0TcV0fAiKgDUi4lqxhN8OZU7+wjqzk6c72oRTosV861/CwIh9R4+5Ckg3Cq1WL5k
2UTMxFE3dwQZe88NUJTtXsS0rCW0U5OMuGItazH4m8mhwvwwzbs0r7TpaYfKBDm3lr8ZPz+vnyDj
ZtFUrpe0TULQi6OBIifl41bsCF5GGEa5LmWyAdfUhI70eyPwAN6MlhwADZEOVDR/FevPNouyEEOW
BkPZToqoEtnCcPP7v62Asg6hWGO8qcPv95gFOWTMtoYp+r2yQ7TjxhD4MMQKduirTOu8+Xbomq+R
zUJDWJpsmN9YuvEq6ERkxTgsZOprEM3jSND1C7o3Zv8/Q7No7932qpd7PlaUEgA/mw0Jbh8bDAlz
x+CmcC/8qkVVGGM72un6STEsLD37zuldNpWhp1e4cc8d2xPwAhw1sBgqvbg8gHRMvX5oMqf3EfNn
F9hXA0aneay3sfsQW0wrvmgBZjImpZkFQEMXxlzXQcZWXWU7fiNYPRkk8/Xv3pk65neBVwnoKBr9
ALBZceiHYY6zekxOAFx+9EkIzBS4puuHs/jOnAmibJrapk1V8tEkSAOfC6YDWW3Gywo+E0HFI2By
HoVkjKc2JAHR6WBX5kdvwpdbAWFlmRd1bSaLsmt93Q/g2MK+tbF5AKofXhChZbBihmWPMxNDGTdj
1MdCiyDmPFrj7kY9NrvbnJHmW943sHZiih/aDLqCn8pWteMAIohsanVonfy1e0VcalbWkBPZES2m
yk0RyC+D9y1Om3R/pttVBLowji9yPGZHZ3gESiG5GU3vLNgMD7e8ezNJVCxUGpnRRgok8WDEPgaW
DF6mFAtiKcOibs/kULcVlKsNJ4E68mSBeoGDn+P+YvbZ0NChAUKQaUSdLvI3ndzGXXqBugFNUjWn
uGNKN7M72Zf89VwQtWWZ5/Vq6tXTNY0PIRiz2otV7956UlriH2hEtStPtfk3BzWXSm0gz9WePA7Y
QImM5xTvyhog8y1yQixB0w/RujcXRAWMvdBy/ZA2+UlDXjB5ls2K3GVktC+HYsNIES5eq7ksKlpM
It7P6hJnVjuI4AZbmG6VU1kFrAWLtGLJHM1lUdZVGRoooYpjaye03DUmOXILcP3WdRsusLRj+vez
q6tVkgFib4gpUO+cUIeBa3oEUwVUvjVrGyxkPswgExaOJZYytuiRFbTaqCYDNToXFyCHlvwq2+hd
ru3k0L8Ijyqb337pUs+3lDK9cYL25Rh4hrgJY06ax8HWHM0xzt1rYPoolGm6ySt2esMcNWIqDmWP
w1bqdeWC5V6wyxhgM4stIGSAHVusmGAUkxL+7xfiF7OKlCaqmMiT4jjihJy+c4SdaqaKTYZ7lvYs
BTXfOwqU7J/ag2d2xNUYk4GSJu+i7ZM/ndW43vaWoaXT71xbE2VNuq7oajWBHKAQvaV24HzUdnYQ
QSLBjKlZS6LsiTHGhd/lEDU6Msr/IBhCYTtD1yMzuJl+6dqiKGuicLLIByUOStMjonStI0kfg3xr
oPiY8dYFcfXFUtt1V6+M5rUs2v8zbDXyqCBMlb9w1ABuTCllooXhJaiGqelSQ01IgjO1C7z4M/P6
6S1fu//I+fLpMxODiFvh/OZLTvXSOYKdrf6ifxSwmUDIAoC6jgEnaimcLnN1ovWTHmL2cTozbq+8
slkMl/QQnK8aavW8aIh0VdrvDK7ygXULtALedDJox42yeoid9+s7tmgv5nKo9ShCNQStBjnA0f8D
ql0SuoNjrAQUn32L1ev/dQC0Is6k0QfUh7KceiKkgVSYvPXbP+PjhoWWJC6ZpbkQylSMXncpg8ks
daCoS4n0B885Sx0IsIys491oOXi93viuLNv9Z7TeGC6LrWWxTDH/AsqIJCEvpi2PLxjbjZJvH7a3
/qEhPDl0LsIunaH1Sx5uLo2yI97YxBo3QpoC1AEkMppz/XpdS5bu1VwCZT96eeihpHAq/it669rA
1NzrAn5zLsNCzCVQMYgmDnytVFjDxRInUJvRytAHrhHFTcl579+GZkI650b2rf7Btl43mfnJspJL
T/P5J1DxScNpxugrU8gFvIEYiVyRfLKw3VkyqGBEC1NwuUyhVvPoFnZtv/oWaxmLec35OqjYo6yy
etCVL3XQwH56Qhex7Vktuk0e+K1xc/3gWAuizEeQ8EKeTuZDOjqTmN4cUPi4LmP6jStGg05+137u
VUMNP4lEkPgqkxTUbeBWsK5LYeg4XcsWh1EM+xBSOqgdwJ3HwDx8XhfBWghlFjK5r3SOw2ZZIYJd
EpujGaNjitVXuGgPgBepq4AulBX6SW5EhZDnLZ+fXiRndOMbeX19Gb+prafL+i2AfoQXHMicw3LE
OrLAdtSNavYAgYiImJMLvPohu5hMurRFoz6TSRn1SEr8SCvhd4EIb+ZExbD2FN2qVmvyjlke/3WN
1FmJZV5c4hSbiPhdNjmQIooPiROb6qk1XwObc/lpwLVdMbRw2UMCXF8UcYcliVb2tiskgG0KSDus
Wit6rsyAJ/lpE/XM+sdS+Alo2/9IonaUk2GMBgmSFBEaXzsK2fe5Na4akTlOxBJFbWanqXkvBOLk
oZzIive7DSD02VXY6Wd+GYrZiihHCDjfUE8lnFkVr5EuBvezTOQ/gm12o8PSD5YsyiUioM2KKMGS
RqcF4ngUAFJOMqvjbYgRFVaOaLGmPT8ryj1WnZKlQNLEqA8QmCQ73RkXJALq1fQqQcvgNl+jXGYG
q+sXfdFezfaT8ohAZe1zvoVUSV9V1WPR3Oj1Snngkwe+cVKeXJe2WH1EuhJ8X8BcRnKc2tK40HiO
jyW8Uo6ug3a7br/r0T32NxXbuRhqL0GBVwDaUJ7e5gZpZCJsixf1jXWPp9vzWxe/F0PtXVwDOl7w
sRj09JUkOE/DoDuPaI9AN7y+b8un9C2JiikaUP6OlYFHD2+n9kdCdtMTkhVjMg9nCgRmT6uLUTR+
OR2Olez2mQWEfXh6yWZdq2Xf9b2YabEzMYGnyZwaQEx2Yzm91djVQ+ny9/1rRyLzYjWM9PX01VdO
ia6fcQkoJ3IPt/g8ZqQ4FOjuzJgYU182+5cUGRzmACGdaKYn8zhblMABfDQooXETlJ7gnEPLfGxC
M15L68ART+jMd9u7xPZYSrioGTO5lIVH+4OsFgnkXlDReCkfbsqb2+u6t7h/MwmUYS/QxRgpFSRs
vT2GD03YdcYJsdZA2fQBpPcol0ECWFfStX/oPcDDHbtq7Xd/M72LFPn3OVEGSMku/lDykIUBPku4
40m2umVNG07W5acuAMQb49UAQFdAj0En42XZr5PckJuT5bLc7PR5137653FfP9jf0fDPz6QOVhmb
IfBHqQGiSuWk+84xWQVX1kZQB9sBArrzZWzE290Nqy+V9dvUQap9naqNht9OTSZP2ML76ufW0P7D
N7gGYNrNSbLuKgtwPfbOh/O9f79/vH4GCzMDPyVRPqSAJeTaaYti4gK1uCNbGIx71SKOeX+XrbYv
Fu6bbdkYPbQZHYFfhehrykR5FQ8TlfGlhQLsnZfuIXzQ7dT8APj03mqPd4EFunfXXIf3ttlY9+tD
anmm7xju+/UdYJ0j5XTAGhvx7QUf4dwhN8rwm79dzc/dpVxN0+oDP+j48Z58sG75Qlpt/uO/puz0
RlEq31ea02Nsc4d0VbwlBBju0YPFsRjUrl97etzuXzYcfJc/PZUoeONFEacNv2EcJesrqetecpXn
hSV0+Z9/eZI8867t2EiGN5kqYEezGjuvK6BKwzYOHJ+G3YCvVgghjKz4Qp7yp45Q1zuL0zo0Jh0B
+v1dZdhi/nCb3NUOUsrW7n3XADd02O6kx1oxtX3wFvQk2kUsKP6vXrv//aL/mqvrBG/Q9OmOgcza
lEgM1kVnN+W1K5KtS+f8MJDV2v78R3WgbvagaVnL8djYnpiMn5ZYqkZd7L5A42es4rfxKItLEt/m
q4193A3kzrRuG7Jbv5rv983WXFkTtttGiqySFccyPoHKc1+/k7/plvQfevIVms8UPAwEjHOMWM/2
pSGocEeWs/fcCxGJ/QEWgOvSwLN3NYxQv0zbTFwnGqPWJVDLkriWQdze4t5i8h6jZFqtOeJeHIwV
piQviSxb8WGPBhnF5Ww3cLbugPS26BPp7agcznVmNuL21APUH2y5qb1XCO+T0vYLez2um9W5Wh11
3pb+qLcC2N1WMih8V8ZOAp8eCXQSgnyy35RAtiD6XrgDKgjxA7SlJm6TkPpG/RTQRekCfgH/wWiF
2x5MnaD+WiW7p08pQoleP1ws4b7KrOim9UDhcZftitrOHzUnN2t8LvdHf1Wir46IKCPdSnLALVqZ
+c5DcildCeD72N/kE17ax553a2dVOB8GUTDh6qJiZvKb0t53EBrG696KGtS0kdJQ3nh73PbHkrT3
R90OTCSywUSmmoFVOJFOzm5JQDANb5ab/RE9vA5XE9dRVtBUIzXxHDUBGyyR191qDSyIO20V2rZm
IyO9N279bZGhjHGrb1Ib0J6dU6B0nrwpYNAbyWD1gml8aFvRlWuipKj4Hm4CK++Jq4ZT35S6RYLu
tga9ZudZ7wqmM3RSdubulX9LV5uncnsoLeXxKLZ2S+5Bn5ZZKfCeJJezbr1N8aCdlIIAcRWQxiAN
sjmExisADguoa6iHtrOGNW+7zeYhf0srU1kFlqk3wI0JHe0A32fXplYAyQtzbWjRgI6ATCAekb3z
XLtY33dEAiZu9vneWeJx/f7QPSkSIcHGUjeDq99h4GKDbtk1uXyoHVltVCj/yJF6b5IMkYcpw3T9
AUXTSZOIcwF1RfShmYYbHdDqciT2/YUkdmnFFpC+WnAcP7VmCx6nTWx9NgJgoNYX4m6kvTneHkKH
J8Ld5SGABTwh8MV5tIeDi//Z6UjRY9OQuWrxLZZvYvfX6vtBQWeQqeNHsROceQ6s7G1cOUBnz/CP
gr1NiQOupScOxf53z87fOkBcJ2jOlUlnhYVtJPZh/WQmH/LqmG8PjYmVAlBCQ0l4FYIf5VSsjBtB
2CakseKHD3i5AZq/83YAjy327xgUJXJB3vm1SKr1qDmbVbLJyZ3x7mck+Ayt4ew5D9oNKKuLhwY1
102OkWMLF40nvY18/ZpIq43LZZbnQysDuzGzPQreK1N5f41NoMdKdxPsz6axqsok64Rga/8gE8q5
h6Qmw7HaJvYlJmTt2iVA4g0LM9O+Ld5wiHfiY0HWg+lhbz5hq4BHSurtw/s5PT6mTn8b7KNXK+ud
cc3jMjTJfqNi/dcN2pKbVQBkJGuyJGPIlzafahBpHBd6LXpwJQdXvycv4WFqyEisOiX6UXUmGHjD
xVFtQvR9M9wRUz4VUwljJV0S2WgBHymkprANTycnBJ5+46B36CZ3C0TO0o0BM5rtGS+Ir7VRzv3H
2qmoS02DiM90yC4H8nIygGIQmh5BlnJ9fZMXmnswgTDb5MkhzpwGz/saxsG59nS2QnsP1BvpUJ5x
WRTQ+WrsGtfv7NpPcdQbzNfrZFQvONOiIE/PwmNEtoKDC8Ba1kL8h2VJoFSRREkFRN3PZYlFG4it
53cng6Dan/EOLCRG6fMb9LpHwMMqb5gIcgsVgGlt3zKprYzLqEl9HTKB7J4FcIPgdgmdz46xNlaI
8nNp14+f9VvUJ/dSLkZtgQjFumN85e/0z8/YhzrowK+EC+jcpgDcILGtHBQA93ckZ4gRWXKoWBwQ
ZDlXJZBzdgCoRsj+yJkv+5Nvw9WRNciWHrc2T+4f1yx8xQUNm+WD1K9a2+zi+HFVCun0ekExi/V6
YUXC9ACUpvdFx03Pl8dt6ziBdYrQR5KRpxMCEOeOrG1XWW0eA2ICKv59MDe+xWqX+eoBpyzQj/VR
wbgni0lZ91jf2bL2d+/H47okzwgtnW1OUhtNlI4DPc/Nbbv1LFBNAf/NJ9aI4qj5ubrtTfve3sjb
e7gGchNad59w1u7mY/1x4OGhniSy3wcIwda6fV2jvyZJr3w3XYfjjLYCYAOiYME5etbe3VsdPvXF
UdYVng0YVksdiezAYJgfWRV8xm36eg/MVCIaBZBRT2mf1LRZ6ib/LsX9uFD06JXaBVlfTo8J6+ST
vTvt9Mq0305oiQkIwrTMaizrPcRbcEBOZ4rWFMtEaKUSPJ0Yud0vGP9rm/zTBv2XVKgJF4v4GPAu
WO757sm/ld3zam+5panf1MRer0xyj79jcgZtBapt4wPN1foeJJuAyViztJVxGekKFBdoutpOhw5E
RZYrntZCr9VA+l8CWSpGJn65kmDw0zoFaS4eLBcBYVB31tcYE+Wsass65SVrNpdF2WMlQF8ZIO1a
WM3Qbtd/PHI/neX1K7IUXICq+ntFlG0evDCNe1UBwpO5j+/eUjN5xTQDEwF+AQIA3nAmh7LNRqJX
uaFAjoYHX2e/SG8XUIIA7TYDcDmHlnywnBL74fPiXF8gaxepFGhTRajwJl+7yNv+iwbfc691hNUU
xxKj/4wxgsgYxrDA8qzEI1JKvD8plCLBDby+nMVMDwZ1wCEqGl/kiz8FKYEW516vI0bbCxjegj+4
rDm8OAM0B13wikgt3+nWmpt8TAgLJeOyL1UU5tKpuy4UUjGE5SS9ubur3Mx+v768xZTrXACl9ENS
XYRKggAhddLByjVb9Mxn3+Ur23gcPAtHxyIu+l9kAh9SEzUBXOfU2fGjF3ODgUu9NwBPpG4iJMZr
e7TN7OGvVvctifKjHNhaGynC6izvMRqtysLjNbaaNY8D4xiZycUU0DSd+/+XRTs/QIhnlzbEsgpL
IR04JwXiuTwmlQDhrwGViDAWt+SU5vJ+Vq7+K5b70U8FLC55HtfKYWWKKMQGG//+upylpxgsyfe6
6KeYF1SeHOI5hERKvpYtqXU4u9iilULcpiDoSvYe4gq86zcRaujqodQIy6gshfc/voG6BwHYX6pg
OsgBCaPYrtf6TrDvy7d/3lTqPngRx2E6HYc4gEMH8yOg0nEe9MNfTPJP5vl7Uyk3EIliabTD14Im
FLsUQAudA3atFXNF02367UK/JVGOIFR1eUh6rGjiCzUAndViPB3Tc4dpes5DrBQhTxFioJIpmaWg
lCvIeO5iGMJ0zx1AV96oFrfyIVG4ua6gy67ge4GUOYnkIOMCH0+/FDMj8SoB5vJryOwmEicVu7aP
lC1pJN0A5RJOTL7tkFEF568JAGEUGAsEtobpOSGgRlctrOcm2XOuf6zWrH4+xlHSjRcJV6WiJ8O3
Dmb10DTAjFH9wlIDu/U+/897CnxbVRZFBF4AuaWOLu2G4pJzWGzrnCuAhF0weXDP8q3L+Y+ZFOrk
1MYYRx9s4KdHgwRm3JMeiK0+qSwRTTKJHTr+/fDGlLpwkD/WRh2knCaSnMpQy9b5iinxVhVs5CKd
DZN5Y+HAZqJ+zfpUnhj65XT3UsJjNlaxReue1YIrsYRQfkBQ1dL3AfKI4Qpjmz1nyJPVa9kub427
8TbRpxFm9LuZBQKVfP15uRXXO1jvjGwekCO1LIygWkCvsfi1wWyyX4pCf2wA7TvydMiy6YSx17xu
lqaBXp43b3fzUWyfCnQAEnU9EM4dPFTRrqvwks9QBDSDGjKGZ0D/TsnOFN6Powh2YTAxC+jtdq8F
Mzz8mnCnrMIPIZRjSruoQz8ohJR2ejAO8rF58DeqW64UO7yNMdM7+cRDZq+3PVLhnw0asj6zWw4p
dDJg0IKVvFh6Xvz4Hsp/GbHSl5WG77k4e9HmZbLq7fZQo0GLNV7O3F/KhaWcVjRqBVGWN9VhYmAg
P9wbz6wX04J5/7Eiyn/x6LdNlABi9m/+5kaHynREta/ryuIVmqkKZe7EpuRLeYCM4sbbXWzZucUb
nhHKs9ZBGbtYFSKfr5F93Uc3of2HW13wBPsbn/tjtyjjhjEeMbrwWElpV3ZuNzaasOHeUzah8lIY
PxdFN7QnvtArcLzdCTPKRNtKWx8lt0Pu1A/FnrWupaTHD2GUkTNG9ELLHHZPOApnHoZk72qofgqW
g2HDF3kz7P1NYqmwJ9Zz45rZq7LOTc7c2ZJMYNo8YpbuJthLqEOhCGZ7zmGzbp+va9FS+uvHR9IW
J2jFIpl2RO8xrPAUSih+YdZZ65y8XQfqqpFILlnhZQXM+Eg4hgMZFTMYzQtvJqntRSgeoXF+KOwo
sKJxcyluq3LFF/eMz5w+44rN0iibFWEn1bpG2YE3vY3y5G/7r8rnyua3AAheR8TEBr29lwBECZ1H
hvDlq6ZqEoYsZLDXUAfZq+qg5AEOcjC71zNqlR2pUTDPrHDT7RMd9b3RLEZihyf5CM/V4N/GpNsa
VmExvmSS9GsbwAGrIszRxV90mbzIST4HZkkExlGLRLmAMjiqtx+le9OvQ4wyPaP2dh8ReYspOIs1
1LRsqb+LPzxlqTPp4hlBi2eV1JjxB4hHUxeX9J6xykWrM5NCGWk/LlQh87HdvHl558z4GVl5Fi7u
sieYCaFMdAJIKFGPIASRxKOKIZ0Qr8HuxJPb60e2kA2Z18toNOuGL/mLXEAOMIfvxHsJL8D1dQnL
Rm22FMpKj5dUT+tJPeHU2uPHc7LOLUZszdwuykZLCkZ7LxlkDGDOENbFtt1U72a0YvEgLF6177V8
fccsJe4HLWpmXxoG7e5d7k51WuSoru/YstFTNElWkSCTkaPFNZtJCWU+zJoi7pA2BbaI92jEprRF
rwjCat1J1ubz9B4T0Z0lI0ugPF5W7wwVXw4yZ19A6bgcJH49SkF3OvcZAZSgv2m3BjoXprG6iPDb
bK8fgEMJ5uVsxXxNLBrTmXBK9wdDkrk+hvC+wZC2mxFvZ5PWthlGe6mtFf3PmqrIID41DJlaZBgF
jRQolw53TEanQhviTAGmYfYZuNj24VrelEQZrfqpiUh1AovgtihhtvgIYJHqU3yPv64LVtfYonWZ
fRS1eJR6tFFNWsRN4GxKYlM+PQDwv3q6rmLLF0YXJAy4CLIkfHHRzFQMXDNZmIBA5DRsRlSSns0H
ZqFh2r5fzkCHG+B5FdMGNNW5B1KEPvD6aSXZWX3ZyrfJUXX7uz4lGbh6X25ZjbRL+QQFI/ESjhN5
IFmjDjTH/LrCeUl3Cj/jx4l3dsosh+bOefpzQBXHJ9peuB3Rd3MfrIqIMLZ08vH0egEqijqELqqK
JFER75DzeR/xaQdTOmC+4nKKbWBW7niQt/are9aksjAZgWviKLMa5kIR6nHZAW4G3BDlwekB4e+h
+8rkVgoLDu2r1vdLmgheBUXTcF3ocQE/u3RlpkNfLlbvRKc6NX3NVCEtWdvm7vl5RDCYP/OYiH5n
bOuSGokzyVR0U3ujl4dt1f0/WHx0VO2mzAYocN9FRyQlMnwMl7h0A+cCqZDTHyQv5xosNfDIXtol
REkI79QsI79k5aCqhqRpk9aolLq08TgmFwCIo5tNJxLoAMvMrOTbtACHMf/a647KGSZG7UwDWE/5
wUueU249aK9RIJK22OQC2huztiVqvhYCDPPzjA9cmPVT0GL9/YGUglViHkrFdJtwlTQn3vjE3394
gMx49k1+nZRs2M+lYGQukfLiapS1ku5j5yUg35WbpIJVrqSpC5HzzqrqHsa9gYJQYLaI8YFHwUS1
XYpfRdhE3lBVQ1E16gOCkJO0IcIHKMCr3N0ZGCrozQPHzOMuW6pvQfqU552ZX727DGM96dgjkN0x
FHWOiWwbTnYvALt8I0MTrMOruC3MJiPRxrip96wc11IVDsf7n7XSrwapFduYL/EJ2wnPvHW7j3Jf
PGXbcZW6r5giBb392o7sdbTyDqxE0lIYJcqqiulKQRN/AeKOiScmSTHgSV1OWTP0+jH7WRaGw6G+
MxnUWcp6gh68HDL29U0Wm1MuZYPAZfWAvCRBCw1nsVIeyzfmWyRdrvKEsuiGbuxQiFa2KV5hU7Os
fQPA9mDPWYJbvjELf4tOZyaSso6eFxeDF8HJWhOtWXULxm5gjmHUGFrDBoNZlKZIIElVVNmQdWpP
+TFpwVIiw6W7TsibmQX4I/XY7eqXaDMwkjuLrznkyv9HGO1yvCYFfkoFYY8aci2oDQugbxIBTJSw
IsHFrPlcFLWLapjEwKoVu5O3qt8BIBUcRM2tcgd/lHaAclz/oKxGpB27hlFpWSpxgp73e5WUtzGa
ZFC7FKJrRyPHSLTrmqBPIrmt0ZOBrnBWkLQY+c0FTmc8Mz1pVqYx+EqmHFMkIMUIAweYNcKhdfFv
PLeiToR+kq6JKhXKxniTDamhTAEgoEzQTjW9IXrzj2itA5vdV7D40ESgIIt4g+FPhdJOKVY5Dgg0
sCq9hEZgveHakfCXeDyqKTiQSdvkRm0VqQYQ0tYrw5LUyUW4gAhRb1Tba8T6U+I04c/1bfhiQP4V
OmHkVp9omA3xq+VvtuH8GHO50MX9KcGTTTaF5jyIm0QifdMRI8gdHZgyyQsPAFYBkzX6XTT+aWJS
SrcJSkTJWXk1EvS0K+VbItyKGRGHJ6Tu7Oqyz6XPVCzNBG2Z4ltckJhHYziJM1O9rIbKBVSDpjIq
8ouGGwA5iLKBCWXQa8mViNc6KepPoByM1I/2PssBS/oa30sP13dt+TC/JdGFuVIT/IsoQlLkGoD/
xiSG/zb0mxhcWDi9lzBYRchqdS5D7EKBVUF17n8W+DWOODusKVrzAU7WY9RRQI8d6nSSuamZmf6l
SGeiTUarhgF+Vo2KraJeGnkONeRTCCLT8VDdsHJhX68NWuvmEqjLoEtcHmN8pj9pOfpVOY+ogz3Y
lwzjIOFm3PUGad3sWMimchYDNwlWXoG5FpCzhKTp14Bnq0xRsngJ1KLdnkc+LYK2juZQuLq/4jYg
gWzVQ6JbTbE2mE+ppdgYNlHiJVlAR5VCG0Wp4+O0gCO9WOnnvuVM1S3At2KbxUe7Z4d9S1o9F0eZ
xDGTuwsnd5MNnl5u+1MGSDDNfprqIrr9eY+kKTPJsaQBc5lUjmfwlL5Cp3oH3nTkEY9AA8vB76K6
KcA7drGVW4j91goLkmcx8JyLpZ7IWdGk4ThCbA4sa+BBHAGhAFNE5A7RvWxNkRG/7tDQWG7z7cWK
9rmNKicjvTTpHq2bU9IFPWCqBvpwSjdzpfFSveKn9oK3xNLs0XxNVqx5i8Uc1kwKnavLIjzi/FLq
cJVL8nbkCEooJqj6alLfx7toq5WsEYvFAHAukooj8lpMABGFhQ22/DGeLOfFaney5d+0K3kd/wls
hrVaisfm8qh70nMZj05OyNsX4FcKC/NjPMQg+kZBZnqfvbPSn0tvcQVIToKAi8mDmPtn7FBzcZEO
LUIyufUSK9DwQu3DOjG5EfCN19e2rCPfoqjncTd4vCg0OlLeK+lcKaTULA1DWhzAfEVnlBnSFt2N
AohDWQN4tI4Wmp8r82s19AIZK7MQ2lZ3+caz4F7u1G3E7A9c3sRvUZTtb9qBE7oIYdEAts3eHUri
WeguQAkts63qnnPRNMBSlKWH7Xx51I3jy7EP0eA8PWx5szn49p/GGtE6kTHL9/KkA78v93+WRz+C
LmVXSZwEUUkKvahNQQ6sRDUF9GGNm7ixiiyxk/c+3ed5aDaNVdvdeI70kXTAIMs2krw3OqvzkCHc
hJWr+D5U2bw0jteYxktjnJJ866l2m/ypg3NV7I3gfQSASbYeYicAxphv53h5XTxl18lHvjpE/dpL
GHSmi29LdFpqgmYosgSUoJ/agsSxridAYT6dty+8aubo6LTNW8P6LDA+ZzGblL6iDnpP5/Ko4/N4
Ka9ayeuBzT2gC9IA9sgjSnuWe+feaeaN/fSsDcRUzGS9qVfAJwF1sn/ELML79Tv5FXT9+g70fqDN
TpQUTaa+I49Bd5vp3XA6n5GzGAGgCly/cY1WhR5jI2RH7NcI3QTt6r4wi9UnmMVRi9zeXv8KyjIA
4R2sBVO6npcR6hsKtfmpl/R85AfJTs4P4mgaKeFeIw7Hbg4nWSPXhVGX9ZcwasUDfxkLXfCTXRHx
d1JpEL0u92JXMewPY00qlQ9KL3quyznW5AF0ciQjT4aOeInpo9c1Nzv/31alUn6qbDkvxahcslMx
wpxU+0K4VTWGslB24GvnAOqm6yro6WSeDnEbVeO7YEyTHR+BUb56MRqf5MPH9eNhCaGOp66AKZ8A
/3mXSsiEdndCCmQ8OTYHVrps6YBUTCsY8A+agkv/88aXWE7RJnmy61Jg18durxOl/egEZaNxilOk
6DhNU4ZSLC0OLwSFn/J0/03atzXHiTtvfyKqOEriFubgGeMkjmNvkhsq2U0AAQIEiMOn/z9k693M
yLxDxb+L3RvvTtOtVquPT+Nfy98vYhFLEjrOqi4iys2giE81Sw6Z4ruWbNizNSW/JKQ9fg4Z7MEu
2yJibRHm5rnK/jGJs8HNKhECa4nudHh9TPNVfG8GDNFCxE5TCOtHZx/9ZGPFwAoNC31ptrd0pzmm
p+k1uu57brZmGVGXH0RznnwsH0JnyB8rnWVbLhrhzKW0pZdn5ZAVk+e7ZSQG45EAq5C1LKTeFz4e
bxNyr5/S5QqBEPXI0gfrur6mdLFivQAabBl1/biw09B6g8JyshcG/V8KtmXCoLrM9vUaHYs7yYfa
KiOrfcyHOkT2PSyyh8ZPDq339TY3a4eDuPpfWovortV5nEiuuInDEYW/H/i+c7H0ffhzVV5SE667
ZFrgpi4fcXFnkiK1VFw7ZdQS2kXCqYqDIZUZua36Q3Cnf2WHVwh1AoJV1nr5mAtTGLYqRJSZx64r
d71/yqTc0LU1oSEOtpeXzgFKlya0jHnM6QQXUZI9Yg9DYCE9SC0n/POj8TCYDskRIIrrS4fcpCQp
HjYR7Yz27ruVn97w84hT0DZqmS7RM7nKH2RfV5WIZLq3vAcqjm71hpsPs/wfCe3md5S7U87BwTDv
3fmzKM6s//kGLhD6EOJ4qJzrrTI5N0yzRpUuyuo5BEBkULoE2xM2FHjF6FtIrgPyyAGoO2Gad8OF
BQdHgUprkd2QofRlP3reF+zPecuZA9AdKwxQ7USF/vqmkELWtE0sEU3V3neXQ1Hi222JrVkX7zcJ
PRSgqm3cIrdF5CcfPfe5dZBEz0hgmuhPNur9bWJrglukhooW1Aw9Itf8FAAPsqj0RTRm4sQBxIH7
aFVil87qcJvSmlm+pKTZmN4y6jnpiYis4MtWC/AWF8vfL+xXRgCwk9ZURF62N9yHNt235cMoN2S1
cjDokYAKU7JUuh2NCreAxZDWRhHNxddp7E+WuJvN7K4slibKjTLACkdXtJZvueDInAgzUgO0hrM7
ZbsO4DhRYW1p8xoVvC0emnks1Kw9jSNpt0ZlKFFGZieA7WMkWL/T/D0jj72jZrkFq/ZLc7V3c3nK
/iOnMTVPPM0BJgxyX9u0Ddr2Y1vKg5tgn5E8us0nb/zHk4GDUIwfWBK5R4Lx2iHynSSEGdmZ052x
JYGVl+LqkzTDUSYVL7kPCaTqvhfRPLxPyd0fKz5IAL8Erf94x33NhUO/goNlXnUZ2RM2KyUfLfl8
m8A6D78JaA5PVShvSBcClGKQwTkJ+WHwD/8bDc1ONFQ6U2vIMurZk0qeBwYcknLDiOvNOYtvcCWp
hdELpbd6V3HAVkJSHulD28q6J9b6bEe8MQnHquneO3VSHdDBnu7nIq8C2zCtQ+Z2+akb/QIwzraH
2r/KP95mfsV0XX2Xdk0SAHrQfBEwY09i+sdQ3/+339fuRWZ2kxsnEC4p5r3vtfd9mm+UoFZ1BF1l
WEVCHLg/2vnNRpuT3oRHNAL2/Mmwzo9vYAE1GXjdiFVMTzs6NeY0MXL8vgXEczs9j+3WTV09hAsK
2iEoJxM0njIRVb0MS9TR6VbgsCojePPmv2GQ7gU7eJ4SYsxlZPBv2Xg2xddWbNiC5SNfWcALEhoT
kzMSMUmQ6NFJV6JYYR/Mp4m1G/7vmqxQBnJQKDCJj37F64vkmq3iTY8AJeu/md3X1hk3CKyJ6oLA
L5yKi5s6xf1gmRmCOd+tj8bQP5TEfOBJ/vO2Vm2R0fzTluQJHwjIuAoY9+hDTI1NIIQNWbn2taym
wXWMcbbBStIHFvtks39uM7F25o7lEBdRApZt6h6wUL1nqkVWYrDvsIfxBzHe1TSZg27eGiVY5cVG
BI+8BMFN1+IeS7g0TbG9Jmrrl1GRoPK24A6W91BXYKw1+I+CdiJG7fkjTcFMPDc/Bc0xEjGcqqb9
RN3PY/4w03SL4hZP2vlgWfHcU3vhqcgDgNcX/dazs3zza54cH50G2IzBfO1S9iW3UPCiZaSSQu2k
lf7wbbmbczTROSTMkaY2GcZgvM+VOZ3MmB1u68eaW+nY1GFodXCw53wRwMVdElM9T6PLSriVNdKX
aXpulHum4mUe3KM0x61G+XWB/qanmepkrhE/EbyyynvmKA2rjadgVd8v+NHE2dr9XBEDv3+wf7qf
v2z8+qpJgMCRrQBcBNqVr6Xl9Z3rIGNVRqNx8FgWTOZ9UW3p3OqRLNkJlNJNJMs1nXMSBFwVTURU
Tvx7UyC1nIx70t4Vtrvbyvj+Qpl4pX5YwAtQD1B81eli5X0ydBkyIkOh0FCA8b9ATcl8N7NJhRZa
s0Mz98gT69DXBGx9fuBt81hz/kUxowtlPbuhSpJkZ/ncv8vjDpO2TY0VNX4/bsVwq8JH4wWyXmRx
5DXhl6SWfdPliLOUF7Q/uNlDMn+e9gBYG7obXRRL8FRqHvlYVC6VpYAnkcShNfthBVojf7l96VaV
9IKK9kL6Xe+UtgsqdbLrhmPmvpvlM/v7NpF1cf3LCkCk9TQURwPzVCCajmh37vxDNjx1fIPELT4W
Epo9Ngkf8mSRVi72Y30W7kNdh5spiS1G9PuAPKiRpKDS9N+n+lnJd708/m+y0oIYj6OJeBgWRuxH
1HJ86zzP+zeQwOI/B0jQNgXiw7XpcEVVcZZKEcUMzbmTB1hVA3uAkP/a3Sa0eig+gj2GE3Hhc18T
SmKnwd4DhJODKw/WmAUitQJCgB46brj1i5rqtmMJ3TG5QZD20n0Lk3e2aXWwHRRwvQaA7Icdi/8x
pr8Hxu/S8ttE4w3e1l6PS4ra9SwYWnXrthQRM40g91/ipgpuS2+LJ+1qMlUPsjRAwRjGO6k+NLUZ
dOTcMCCkysjt9jn/cpvimrn/ZW08ir0uyExfnxd2U5ki93FPRxPxSzBVIVq0xFc3/nSbzppeIMmO
DDvAKK1XCugM1UzrBgo4s7uavy/u+/mQ5xtE1g4IWWnbN7HnC7M7mvimsuRlP7uwbPSHw9G/yd9w
jZAAw4wSHnmCPZrX0mp7i3Ba43EcU1F+oUUjQ0LLNOIKMMa3Baa33f7KCBDPdJZpKBc4NRoz1Oli
7MeBVfBmPw2qxxYgngnP9qYd1SamkgBhK70fJZpBbxNeM3gLUgPxkXvHoNfy9wufrOEVrdt0wL1q
pn3N09DPfmAQ+o+JOCjIo/Jmm3DWdW+dpnwY7XTMI+oV5EnWCSBuR2c8152Kt3zcFb8dDi7afJe8
tYsSzzVDdSb7IWFTHlVZfGjS7L2Tjgdld7u5OY70HFcjXA0TzffOsz0CXNlXj0T1wLRlPhp+cwt9
8n6GUjS2t9wWwsqduPqwRZ0vJE0G1Zm5r/IIK+q/pD42mGJckGT8jtMNW6k3jS/KdEVKO9RuEjT1
+j6P8n46CDNo0nM2P/fMDxznveXcxXVERszuZ/sx53h+st1bWEVPM8GkjI3bc81q5SmziJEpwVvd
BlPy00brceWd7OLzbTorygs+f9PRLijqhZPfEi+PgJ4Tv++Gsjx52fSpVaLbuJ+rlDBua9kmbijV
19wybza8oZ7zyEnEzvO+pik2CI7kcJsffdDg34O7IKNZAdWQuKhtO48IxhCpn4XINgSziA+zpb7n
yoUNaPZ5Jx9UgtneajhQvzu69lgHpTnvWdKH5rA1SbjKOq4uzLi/lJ60b5KEzA0dcKEywFjZJ4yU
BHyj9LvyLMHkEYKefExGwm+51pe5MKoJlW7cWZNld1LIXeGNz0Q2j6XZv4xs3OoeXCWIRXVwjpZK
na/dxTEemhSRWx4lxl9p5e3MOai+9Pmwy8eft4901RxdUNKuouPBNyYNKE3TJ9v6ZHA0jmOWgjAk
+6cDhhFuk1vLLDtI7OEfJEUorO61KHnu87ThRh4N3JxDsyn53qsHtNg5ZhJ2I6AbxybHRBcmb4O8
L9DkrZLmzq2FhU2i+fe47sZdKjFyePu7VpUIk68ojTquh+1V15/FBntUnonPasUZdeagmWVg90//
GxFd1lPfpxagDiOAo2AQMRqsjcdyxYS7cHQpCmPwCTxPc3cFmvpqblF0B0/S37nTY79k0pL6EWh5
0/42M4tENIcXtFxYcjR4wMHWbKiIQX6sYds84XyVsrtL+/bDbRJ6n+JibkCDwhmEF4VHU4sTeKWU
SQUE1s3NSTBgeioE3STwW4zD2ej1aV4qTEqXVdCQ4os98DAZxx1FAWLA4KmYULbqtr5pRVOuvsm+
1pTG9lCoYyyP/Nz5PGfzXYGmCbfMQvShD+NTibXLwlI71b2TsoUym9+4XX11YStzN9twJlbMxNW3
aHapizn2PSfog0M7oXsiqqCBmU/1mfY1RrBmA7sBynk43j6V1YPH9AyyMTC4r+BaRJbWQzfgUBqP
t2Gdtog+LHM+3aayKuYLKpqYzQTrZ/rEh0uWHn3+ngDpNH65TWLNp3XRmvIfJ5r4hqwFJm4N8ZXY
zAWfyobvZcqfLPkZA5lMTlgaS507o9mC5Fq9pjZbRkMAegOAgWsVyntbih5dWJFrHkl5TtW37tls
N2zBmqUFd7+paJenrtJmnt25iIzMw+SWPXb7osCOFVl3VrHLlDXfU+LLv/jA5anuR+MdslsYtTGa
JLQMQA8x3mInKo/jDfdvXYF+f5h2tEVbpWKoeBG1e/XB2HjP1vXm949rZ0r6dophBNG2aYqg9Zrd
NP7I6ONtzdk6QO21GNzcaSWD4vQJBlYTGvTTzzYFtD7bGnjZorSwe+GUm6LzFyxLdDqMh8R+mO/U
fCedPw9/rjRl+YgLIl2bDz1PoI9jf24W+Mj4xADdcVtmq7YKAZyDnX4oTeqzt3nfINe99Ox2HNt9
+gPMJW+/+0Bgqb7dprSqX78p6e1adtnNOHy85RYdznP/kWfkLcbpgoJ2tUiCvP1kwzjthPnOUh8q
8nybhcVnffW4XhDQrkhSKs47DmFZgwfrei6bNCjpB25+WhyTBMOg01YEsX4+nkmoZ6MrVM+0k8qK
eTqhv3VWZXuc2zh5bMv4mKBZv4Sxghff8w0uV++qhygYJZBfM4vXelfBDEIhEE007pfcv28JDzxj
qwNRHxn714m4oKLJciZsGsuR4CUZ0sgdw4rvBgC4jC7GTW3AA81uG2Dz71MPB3RgEmsx8hZTqIhZ
FPK4fgloCw/ozR62I8lx56Alq/N2oo+Ra+mfqCW2sm4rHjlKHUv5HptSiKcnR9Wolm4gfG9WpwFp
p92Q/u0458L83D0QuhUKr54BWcaNHeQiAMF2fQZZx8FKv/jjTD6YeJaOXW+HjTv4G31UW4SWv18Y
GUVHsysr+E1oHQg9+kg7RBrJFNy+OKt3/4IdzZRhN7qhCgJ2cvMOrfT9hu+jD/X/q0w4FATaDKVX
W+PCaNF5xiW4aMTZAuKJJU656MOuRAnmk8jILun2T3RzmmydLd9F2wiaaFFvuxZeVZR1C78zj2z7
0aXJA1X+xqO8qnVIsv0/ClqqoqB0xCwC3oDer4LRoYGdmV+z5N6oG6wMTaPR3XKkFyP5ysZdUNTi
9knEWT0toylFatzVJMVknNrTXsCzB+Bv6t+R4cQtczenxV9ts5UBvi1R71VFCPtUzJyCX0nEye7K
u6rZeFVXn+7/+PP0gpDkLVy/Efw1gxP0c/KBZe77ziWBy7dmE7aY0Uxcn/ajny+izFCvedgKW7d+
XXOpeqMDcMYIUTXn8Xh3+76uXyiMUxBs88BQhS4llRnVMOf49KrpQ8nVUVVkl07zSczW56xyhhCF
1Cfp90+pTKO03+rqX2XOR2sOxrF8QvW8NhsMaljLYEyLxQeBjXGVj6KR4/fbbK41XCJ/je4IIOIh
R/dr8vbC+vl2WjoFF0WEzGc4o1o+ltZu9hA1JnZY1fdooesmAEueMXiYdfM+V+YhLtK7LscqUZoc
Jqs5SW4dxiaLhpS8wWO6/DrNatadKHk24uvMtgiSlgV1/nJbAGsODaJ503d9i8HR0wyY01MnrxvM
ApXFKZHtnmfNQQ0ThrXhHSCeV3fC5bvbNNc8mkuamknLCROVQReZJ9+4csMk78Oy/hRDnHn78zat
VT22lolwE3VNPBPaJVFuITm14D5R56VEA2HZ+KcqGb/kwHqaBXlwgWojk/2Yel+zHJsDN8ivy/c3
+UXNL/SLVTwtWTIVEebIAOWRH1G6x7hac1SN+dB1HxMj3Y0EjbvyvkGFSAwpdpUgebDr013aywOa
OA8+fK85nkNXbC3CWHv7rWUwg7GlsVQv4lhpN6SlB+FY06HK3pWf8nbDu1iN5S0HRMAdQ6eIHlPn
xJGVj2i3ws7HIgbGVvvR8qqwTMyPLbNCGcd71mIAW22JfjlZ/R27pKwFA1YBTHdlmzC+wxxkLdbo
DO9E92OsfzTjD8cBhItAh1lzb8CttGJ3324Zl/8P78suIoo5CNS6rw/ftBNWKSrxdpt1SJvHigFm
xTBDNc3hbKNn3S/PSXcvM7VhvVdvGDJALsB70eem58W70huUSgYIPbaj0sNcTOuEfSUDytpjk20N
Ma6q0QU5TcnRwFHILB3hMSQf86E5GumjvzlXssWT5uHNmSRW5fZImzgyaBofCwG+WeW59OuTlZf7
2/d2lRhmsDBSiLyzSzSrwaqhwZQcdMeWfpgNe+lh+Yb5tUYib8423qAtWpr0KtUwIZd8UCb2vEU8
136fjKBH9EPcZmuZ+przY10wpkmxzke8KQuxtMRuGHpmln1Au29Y4C7cFuG65b0gpT1eTqbMxDRs
JBbI91JW97l9H3vGPuFVONHvcF0VR698E9W12vDwVvXRZUCtRpen/WrAdTaIJL6A0bVYGnbDT5k1
4VBvEFm17IjObJSlAfCg90QCBq6yuh6StFJ2ZMm55eUuVzDm8aFTn5BKDDprCztx9fQuaC6qdPGa
UHSXkXwATV+eSvurcDFl7ZRH5tGPtw9vlRBEh54Cilr4L8t2QQhDb0yorsETXYzTsZqAB9mhC3PX
mokfdH21EXOsHhhDTvTf8jPTrlvaJbLpBrxDRVIGlv2sMhmQreTgL1/u1YOA5lX4tC582leTaSZX
VVfDKg5AvupY259iinKsV1th2bOgJcWz5GYVzH/ztjjWaKdQ1iEt87sZmOIT2yptrcrYx9NoY/Qb
MtYOU3Zm0fc+tFT275oW61dZ1QeuO+8dDifg9nmuCdi2MF8DZETAQ+kj34kXV31su/CC0HEKUko9
q80bvxgqXb6XRDSGXNvs2mz0MP2f1jspziV6um6zsWYqLyloniPgTQa7SwlOsCpCu//HUkeSOkGH
Oq+N4b/bxNbOx8Y+EoBSoO6IVtrryzb5iLQTuG9oPqnCRvBzPU6nNn3n9LgNt0mtHs+yFHfBs3MQ
jVyTqtFCAieAFVFOeCgBn9Kiu2prBHCLiHbJStpNZUogPM9/FqoNsmxflMX/yIn2mLmxNdDMocC1
UGdmWCERD4bcujmrinYhLu1kRI5hoFpCXOYQsrtmC6510aJXeoxGdyAMuvDbPI2Huefc82dMFirS
fEJ6NZRzjh1O7nm0zWNb1X8nqb8htlXFRq+26SHUNtFhd60AwEw1cgexaJRlTeQRtNY4p6xG5RCd
zkhy3ta2VfERtA8DZgaTTp6mCLXjxk3b5RjONzu8xUDeOzLu1OFtKqvqRtApgWFQzDvpOq1KR6TG
WGJuMAe4LrcbN3RJb+E9HsTxNqnVm0oY5tPxWGFaW8tYjQb3PWliRNEf3EPtvsg0OYzAOqT83W1C
6zz9R0iv43foWKVxhTG3uvcDqca9PzznPdk4nw12dLSJpmsRM81NGXk0DoaSfZfsQ1pgaxFJ9rf5
WdMEwKShxQ75RSBqagFKPlVF65KkjIDKj44r4vb535hM2FK4Ne3GAhFAQQCvBaMxGplCOW7fE7w+
w6TuJwNPbJ3UP9Le+uhKVMbL+Ok2W2sChMV2/GXUHV3GmoKzoUySxsQUbSNlKNgPbiN7YrQHMTze
JrRay72kpJkKQH4m82C2ZcQBtBPaU4qOab/1HluXkUNisjysJ9md3CRXmMPwf/QkTsLeMQ1g7/gR
NxoStqWTvOE+XH6VZk2MjGdqHHEfaueFsn8sE1Cf57TcQsJbuw3MgzMBDxujGa7GvD2IMkVzIuxI
Xu9Jd15ek6HbwhRas8aAqECfLvq8lh7ua9NICsac0cZAoF21CcBXd0lffaVdc25tY8975KQza+Na
rOkP7gSmBTyGVigdrFN6SSdQRywxSDk7Qao+YOEx8FULE9iqW2Zyi5Z9zR4ayjqGfcaLl0E/i2zf
F3yXICEQx/PutrKu3UKk+TCVj4YdGwjZ15TgOVXABvXKyLHHiHtWhA2ae6vtjtgBfKiLfKMHZi0+
Qi8ZQ+8uNo6gC/CanGtJty47NEEDq7cMSE/eteNnp/fvU+/eQQsQ/q+zP5INC60D7v0qBKGPzSaY
f6KAHdHuPjaMkNFIMWbrpcgqpd1jnLXvBZIEJXOOjoeM7SzCsuIPZjPckzkOsqF9g/nxgegKxGCM
APm6ubMnnk02xRyuPzXnoaF/ldwJ61zd0WarOrSqPchco2kZR4uWr2shQyfzyvIw3SDmCdirwzuK
5kA1eQ9s0/deIYVqDPCCsNmDIKzXzlN0gvg+VgRGTLwwiU1Y/bhrBEW/wPNtPV0lhEgQjhAgvjDF
ds2TbdWeaChOsLEePOZ9EOVPMZ0NQv886PRMTBoASMSykOfQXiWvZTnSYpiicA3zlKCtsTTb41tG
pq+oaLeucce0ZQqTEzXSVpw+Zl4S8OoNLusVFc2KOHOX1ukyBaCU8V6hJ5MYT7aBxT5IKXfZLqZb
aybW7hkoLrA+/q83QDslgOwPXlYvEzyUYJ0OKUI/fyTey0Twotf7SlZBlaigMf9KADOHAZ3TbS1Z
eXyAxg23ZUGZwX3XNL/yhaGGysQ9d8egLn8i0HgL+M8VDS3cbAkqI3YPGqVbByiNO8wNvPLbGxhB
jR/bcijeHL2/IysK1CJrgNlw+ycVSEXIR+5vNVus3SnbBIAJQ2kcJXJNWv3cmKqpiiqaM7c69hOp
g7h0ftRm8x6IWnLjpVmlBhxXoByggghy1ze45+7o+TnDbEgyn6SNDTlN84SdSDshtrYNrjxqWM2z
mFp0x2BCVFN80wNoY+YmVZT6zzIO5vLEyT0d7pwt7Og1fbPxjiFbgxSSr4+iNKZd1yQ2RESaai/i
7oz88EOunI9/rg2XZDRzMXLioyCbV1E7I1I60jLwh415kuVmauEtxqh/c6KJzGbtKDyHV9GgisBS
P3ssy3gLE0AvY+iUQQS46MdF9rBvU7OiPZggzQsIEP/ZVD9vk1jxLpZZ8P9IaApNx47NGSZhIwsD
yEE2KRn43Yz2hH2eAWN7dHdGU98bJXm5TXfN40fOFzNCFkorHlJD17zVAs5hRz2AbFTSOfp1WR/r
zOmDLMY6s9JkML1wtI7jaHsvg0MxglzTMBfc2TNO3RNKnzw06wmglbc/bO3OYRSbousbk45oNte+
Sw7p4CNrG9nNdPR8imBkPkzOQzVv5cXWur8BsA0MvMWtwxO9XJWL4x0t1SIgwFWwuHeaWHOY85PT
sD0d/JB1oYlS6pD5d0D6CZMPfucdYjrspir7MLAxtOUTcbeapdZUGsAEWBwA9pFJ1W6NnIAekWRV
FYnGawIm3SRM3ViFt0W8ZgIuqWgXRw6DXSkHOjeOrYT9lF5op0CCZPFUH26TWn1e8b5iiNABLC4y
NdcydqrKzqxZVEgG/aSNFQ5oM6uzpUg5mEAwuq+tu9G+nwQavX16Is34BhOO3jy2QJ5h0OTXSP7F
GddJyUkpZIXS5RlrJcqvbV0HG3d4TZ6I6yhCEceHS6md2jRgZUjXNzi11thlxXGW8S4dN8KQLSLa
oXljCegICkYqtLfB/2LAxba3wPVWiSDZgKcIsJ2IQa5Pyzfj1inoCCLpI3ICYSMfhBrecCToh0ET
KKpNkJdmefyhnCu4PDUG8tsqoMVDrfgP28NEYvEWdwEdUsu2VfQGoGBwzU/LAUPXdU0dcdkeuTC+
T/bfVpnd4/Le1vOV5xsvhOvgWqGKRvX9thM3M+AudRVQcro48GvjYHTJmVGEFnzYeeVft8mtnNMV
ucWOXGg17eISebC2ilg/BXH1zcpRZ6qaP7cTmMj9VWhicOx+7by7oBKPZWOmsQm9Rk+w6Npjcpd5
+cYrvjarSRhmGJfzcTExufB6ScVModFjXUetwY6D735Ik+e6zx4AOH+Y23pXVd/QShsKLoM2Lo9o
Hgnzotu4XSuGF+U0oMj+QhFFg8f1R2CQQhRZ39YRq+pTJeVZbEHvrmgIBvyQE0dr52KNtKuFqkVf
9LyoI7mA9cfvUveYYIeYU6ZBPG49bSvsIFkNtwJ1MocyfQCEkkQwWkw1UiOWM++g/c1XL00Rst3W
wzWmUFXH+iLMZ6HpTDNKg9vH8zzZsBd+VxzKxhYnMgh+UMK1grjGnB+bU3dDLVeYgy+OChO4A3C2
vmShRN1vUABpi7yi3udzj5Wk3H7D6DtE5+KolvFIgPZcK0RnMc/wR7/GBIbPjl1t5Ocs9Y2zW43t
xg1YEeJySsRehmko1kdckxLS7JHURb0kw39wGD3lnN2mzwIyE+cgROYHtOqcjaTBmhBBEFk0iuIQ
8FSviY6d3xtlLJqoiOU3I11a1P34eFs7VqwUpgQx8I5MHSYfdTjELPZMOaZuE6XtAwP0hvRrIFds
IWGtUUGOjP1qsER/lnZ1cy/moqJcRg7Qc+n8jJKwNPZ/zsklDe3y8mS0W4fnMioqJzw2mP+z8o02
jLUDQecAolp4Sz7RM2CdmuyWDZnEq8jv2Cx/lPwtQ9yAnsJMGNrkcCZ6kOl0lid7p5aYZCbHhGLl
XpPs+z6+uy2tRXeuAzMwYS5ZbhehBQCNr3VLVLKdgeSJIJ0kkXS/EksGsuywQHgLcHOLkn5LeV3g
dU8rjF48Uf6ljDFjR97nxpfbDL0+GzAEO4CjQbD26mxaTkk3OQqv+3drCrqtkHzr57U0Qw1cp6SH
RxRhO9vOozuRk93/xoDmcrkNyZK0BwPDvg370+0ff30BEaoA7x7uFR4doOVeHzcaFqauJvh8GR+p
j3XY3QtLN2zkKg3kapE1cKBYehe32QgkhhOKE5CPLHsBdLFpP99mY+0UYEP+I6G9ZZ4t26QZCbSW
TYFQLwCgu03gtbIChQoGd7kWeDD1a+EKM50KLKyN8naUQUrMPpJWjap8XfNwNIZ545385VJc38Nr
gtrtqMcBY0mAoomkCtl0rOtd+6yavUwOxjkTD5baUIQtBjU9ToRwRxP1yohUsRMyt4lPY2l8ESYa
Ux1Zyg2LuSjta/aAAoEZbgoXfznQC8exjI1U9M4M9gxn2IkOo1Yu/ABrkHtb/dM43W60KiOIp2HD
vr1+sBe5Lou54F55GB+/JqziOaNYNoOcjTqW9aEUyQ47AeI2DbP88bbOrPG41A8WTHUMUOlo5xgd
472w4WD5VEYl0O8oNi9hdwMrD3bMg4rRgGw5da8vAqYLASmEVwKPNqGaXKu8cuDkmG3kOD+6BWJ7
o5V6RXxXv6+JT9icDrmD3x/GDImHd3HAk/dVFuRsQ3gr+oiHDmKDB4JeMR0KYoHo9J3ZbuHU/zMU
76ALHmbyys1E0ipDCxmAa8PP0XeflGWLnfRj3EYp8e5qClyUT71RhXOjzoW3URdchKMpPZ5wEIKj
gFhJ73TAvt5yts2sw9uaBRVgbdwU0cSX21q3SgR7SJa854L1orlUsjLmhLkgkkBeFX9R/aFoX27T
WNFsxi5oaC6VYQFTqk+KDoAyZsgKfsa+0XDEmogpM/dp/cMZ8mDs7GwjYllVbkbh8sLXws3SlE8q
NybTVHZAH/koxOMwbOWMV5UO0SyW3KNKAdzKa+NQsArDdFXbRWbzoRhj5GjGHSzSaNv72wJc4QT1
YSzYAkQrcrivOBGN6UzD2EcZIBz2ztCoU9tl/tYjsrzemsKhrwYxKyrf6IDSX63O6NLY790+msQc
Fn7xUqXsQVnWYci7gJTDx6kvP7qzOHvZkeRni70Q9fU2p69VBW1XaO9Z0GgR9+mGHu8jKpvEUcBO
icU+RWfBgRs2ssL2EAfSzot9mqA0j9UmJ2+cytNt6q8PFNSROPSw1AK5JP12dzXcwq5hKsLAXaj8
OSiwcY9htpdshGSvzcg1Ic3uWoqJOImpinJ+J4rDUB8GjPYkDwbZOtPl/l6fKSrteLhQbQRWMZz0
ax1ts1iylijspR54kwPEu2jOpiPYXgA4N8xmIFj6fhmH6D6XQT0m1sEw2+p4W66vjQw+AtM0CHgR
jaBueP0RmVUS3kGDo3KOd2MCBAks5DWku3HhV44PeVl09+CioGioJ6DHOBaTNwCOkQ17/qFNllHJ
KK3FBpnXOrrE7gAAxdYIBD/e8hkXzkiL2klBcwlUQa8x72unnx9SA7NOjiq+dRSo3GQy2zu3mJ7Q
iO5sOCS/MnHXBwqYVkznAGIOTeFYu3dNvZ7VzMaKWpEH4KLJxTKsGRuIH4p/Br7L7/3542TzwMR6
yP7g5efuI37oOMWf1E/hPuXxySRZuIXB9lrubBljBsoi5hKR+V8EdiGQ0hYeJopTO8rGtt5P0pT0
0RdcNaGXehUG82pUdDZM4sqgEsD1AOSzDEzgqPXysOrtQnXFjHVGVAUORs9Kv8d4IwsAahq4jb+r
CrqfZr6X5M/NMYq22BmC0UMkwjCld81vYvGiagvLipzSwBa8nHhRm3XNp9uXZkWqaAZCJxfCB2Cb
6rmippAK/e8JpCoy62QqIo2gwjhe0DsItAdAEWwYpde3FG8Y/EE0kS3Yo3oerOHzyGg92RGmK21A
9hFgaX0vpCfLBz5WGdvQ5JWYBdUv/xdeGCr8r8p/lURdg1etFZlkVzahS7HNLaidHeDzseDNf/d/
pF3XjtvKsv0iAczhtZtBeYI08YWwPR7mnPn1d3HOOdtSD7cae1/YDwYMqFjdlbrCqhRjOMM/tvDX
NJlQRIg8teqNXPwCwyj6+9bKVawN50FNL5gIoMRCKtGLB5QSg3lgxiUeFcj0iXs9VbqKTmojpjTJ
qwzvliQuc4p+XewNMYpmsvxgwghaugJ0420B+u5kEHuLXzl9YEB8w3XG4jJjNaw6fMRKlFzkmAxr
AOaZI0aVvlGn0OlbJeSo5RLNOQYHKBvyJ6jGXasGgPKnAfB64n4Yjf2oBYcRFUCSy2aFVR/C3jcj
DpNLJ41uDRT8dLTPAeLummCykmulAZbhPsv6X0GAYUWgTUopWiwBO7nOopiu8pqUccWR3gVlgReA
+sO7og2G7dcVq0CqwgE2D12CK9sY+uZHLqUmbaK6GzlOfMESAMADThzzP+iRZdHRzTRFoIltBsB4
8h+bDmPscWm3GrCIEJvclpnvkSa8GuqnSLtgjuAbaG7cr4qqAyAcNgEowY9SqzpHWlUC5/CWqSBR
jKZO6D3bl+erYT6JsEB79FWHJB2Ldh0XPa9TfOmK8HrHD0EsUBicj/XCLfV9k/eJHsl7I0mnvSC3
n0rgN7REJyXHqixTmkeF0XqL0gjrk6FpcRQn8t5L1J9Dr55GtTmuOu/37ctZJAOvj+ADITow064Z
Qjka5dMkldFoIwHAZ/BNd86WrItSmDhJuNmFMVEGeNHgXhGGw7HPT4WLs5sCQV3VviYBEz7ZojGK
yuVLWQk07e7l1crF33/MGipysBoippawTJdhrdR1KWjRiL9vh7dsSoiJ4TaJBxvzXexQhYbEoQMT
uUvdYIgIShKqAAjXAKKsYES9GN8ibYg5BmmRCDquUGiZVxkYjEHKwwryPPggotStYJVljrJfbxRG
+G8IARwcSq6imsSOxJhtXOSZWmozuGZJpSxF3ONPWfPxT28G1496KVadwKxj7u9aEoSpUiIs+dSw
ELVOBbs29a5cdyNCINJmpRg9/nNykDsBtThURvCwvibXNl4FTLdA3yd61ZJO705KYKy1fw7Vgb6b
/wQf87SozJCZ2rIHCHWo74NVuZ+pAITtH6dvTPR6IrOGbT1oSmDhfcwk1fJk5ev7rgmf8GjxUOXT
P8rE4E3ifXcPMyGg1n4lKWG0r49MiVD+9YxYR1HxvY5X5xwrjlLFCUVegmCJkIp6NjyDgm1T7IbU
qm8FrwgA4azlJvV7IPT6GGsXgOzMu57blL6t+uzRoim0Aq4HsFm21LzLRmH1LdAwDZ5v/R6wIFD5
iycsgLw+vKApTTxIQUn2DmJeHYHFVKzqo+iXeKRysqHLXMEoYNUe4LrZt3hfQo2nEucnRWFAM18K
nKoI7/M0z3aZUXMUd8EQobkMfRboMkWbD8tZC+D2NhV6RA0BKvNkJfrPOjqdf93W10Uqc6UMcSYi
MHbqOowl1cukUgIyUVSUJJOlyhUR/P2+TWY2zdf+CDDxX23bOD7EloyMl4XY+EUKgPhGTxIrMjG2
k6wEmZaaONi3SS1yhBEQQK9gDgS99tcSkYeSmPV1g8hOCTsKjOAO+B+6waloLFOZlz/DPMCAz/9/
4WABuzsZRtAB6iJKzUdMWEaOlgWGdZuXb9IN5F4YbQyw6QISiGyH5aoHEJ8P0KN9m/qk8pRHLIyz
ahnuXFdOcl5zjo5t8EEVAQEDmMHxzRlf1lmodWvkZuT1550ANCLSHgMH0biD1ka7ehjcz9vcfe0x
vZCKb+QYKw4sKSHTSpDraU60gRy0hKQVrWyZis/C3pbejhVd3VeE7nVqP4XOZ09SJ7a2PBRWdt3P
ty9h4qUcG33VfgTE9cHQrXfjd/xgOsgIP+rFjj59Nj/GPQ0Ir5GcS5URIjNpmy4tQNXyH52U1GuV
jFSy8QrqPokcUbziMzc48PI9LAziN25nbb0Q3i5Rq1IwcO7jkxyQZrXRtqu5qEMHbJ4XXvP7oaTh
W/PcfJajT1G9CB3zPCkv0REzFxmguX7eFgTmEfjtexjrAJcUxHWNc0iJnBFXcLCJgxaUY76/pnhu
iRsT5temoNVdBTKdFU802wgARyb+8TkiPzqbnFqi3gGGyn+U6LCZiE7199BND9LrUXDcN/MHOiNc
j1DafQpObx3fBEemDypH49m82H/PAlCPMJLYqMkOk3lJGseAwhzOMemsgAbUtztabnzKw8rnUmKk
L/T6NC9GUJocazhHVkLi+4bGDufY2TzRN44YadOVwQg9YIqd24q8d5tip5A6JNvYWvPSNlyWGEHC
NtS2UBOwpB3iY3tsD9PRdIuaJC5Pd1kUt29cMcJUaVoK9EdwVVgr1fZ0gXSYPRqkjaiT7PM0BOus
JMU2TSk6CEoDqOQb4BNVWz9y9Ny5rT9sUvm/H4OR1dmTo9LNfIyZYde3pEOyi/3BwEZvAsCrgMSH
e30kufNprOlk15toVx36NU9gZ9P4Xav+0J6fohfGRJvw7lNKHMRQWcaPod1V95WCdmTa2No5f1Cd
JnAUqftXZOdRMDS7CoiQGJYHgHx1dWz05zhe1z4gRE/RR+pj3jK1sy4lAoYxf8kJxZt7wxvBZh7X
/zntC9IMx0aRhZUyzm7LPK5aYGOTYbRMdTcWlsgDrlumhcUkOvobBSwEvz5d1UckOnS42cZpt5OF
1TrlJrU+bssPjwgTRCum1wxjBYakreeau4S8ic8p78KYStZ/T+0PJ4yzj9s816bZ+kr9Gb5tiGlz
p4xuk27Hca/nTwavOWJW9m+CieLx/46O8emTWWExXwuuSrv4kLcilXnhEo8l5fpymsmUqqQBBZVY
5SPWPMOGDvbg8nISLIzQt7NjTKhXIEuayCBkuKpEQnvMsFGZvklkG7VW+9ITwzbobZlgp47+S9OE
BxKxdAHLBa+ZS/HoijMPNHuqt9T7xGa24C2275MfWbFLrcQ+3SY4K+z36/pDj7muMRBirwtAr1E/
NL1/Kt5Rxe6ezKbkEFqOcjFP9z/OmGsL0BIQZ10wnF9/+gPJ6b1ivSXrfl2vB05JhscTc29mFkaB
EZkI8NSXMCfeo0drzkNk2eddcMP6PEHJlWYOGITP+CloSEaA5LjzrRXHSCz78QtCjMVNI4xVTiOO
Lfx8hZF1NlgyN1oS2f0rS4HSEqr1s+Cxs3yjIORehuVXcK3x0V/f6fQlPUdkfVvelp3mBRmGn072
lQYYGohLVAwtUzVxUKBztfNL/NHY6St2WWj7fR+Szl1tP4HMVe48ToppMe69+ALGkXRTJfmVii+I
8PyhA6kd0TXID593oLP9/qZaF3SYJ3EU+UVjlMV8oAGNHO/esJTNW/LQr0WOwHM4Yt2ViDy67NWg
lNv+MaCP3jreYG6NY5t4VBh/NeVJFLUVqMin4KzRyCotwZk+P28LyLIF/HNsrAXEQE2ENVog4/2W
75AuddPfpm1YnrN6SOzisO0Jh+Bs4m7cE4tJlwPZ29dSEOwcndzlh2btu/L2OBJzsxM3t4nxzpAx
gkIs9GLrgxbW0/4IIHyqvVdeefUoHhXGAKohqtWALxrO0mHVEpP4RDjpB4PkHBGff4c9OYyFGsh0
ox0SSyXw/xdBaC82tayM8XhuhE62Y8GrrC4Mc7creh5u1uKrHbUapB2RCUSKaeb5glamTl0iBOlw
1om/6+6LO7OwIkshuivauUeQJ3YCsjM8Grz/qwfOBW15jkguaKMmgiahBLSd5C6484L7zm5fBNMy
bC+3bwvIovhf0mK0TNVGLMUpQKvNd8r0jnVcSWiN7SaxDc+KhXutRuF9U1sStE9x/5/Emeij8fQs
MesEhuTTO+wsjfaujyf5HF81LkCwHjj0loLFS2bZ6EOIkk5JQa9Cg5P9GtorKmzUh2yXoLfKfvPp
Z+7RnOOCFuO6uf0FeEbAPMAb6vo6S8MLMWg2u6DHgwPAdoU+agRZS8k6nT5XHB1ZjBQuqTGRQiin
MbB3QC2xxmMRU0wJIqGxnUZeSLJkxy4JMZ61yv0o1rRsOFuYaEOLN5HIev3p2dqR9wxnh5a/otRL
UoziF0JUiWENnl4B/UDio/JDTi2DdDZPQHg8MVofa2EAKwNCOweA0i/6Ltw072vLoy3hhd5LRvOC
J4VR8sz3xbEYQcp/Rhmj3q8si3tuPBqMco91kIQJeu3Ozz193cXHd9lyAguFLjstCD0hGfZ8W8O+
csffTPQfWVcYjUabspa0HczJ7q6msf3zZ0k2B+ddDuyzYkWj3e6psDv51poOB7rOkFrbfET09kfw
FI7tEPUArSp74nyLh8KJfepvMNBJ12vf+Vh3GY/afIi3WGZ8bFVWctVOYHmkrzpJ7jRLIyKNiG7x
4LB518kYEtVLGqEsQSkmVnhULH9jkA+ZE598gah84we44kBvh4tVBMaAGH2RYLGwCL1WfjR3iWS3
b91PjUh7PEAfZaLZa+tU351ov0PyyRlJT3CuvHTioqu/+AjGuDRDJeZ6gI94tg7VPrgXHaf9UZJu
8/iCZJvPw3lYfC2iNPYX04yFifOuqvUI9Arr+bWzSlr+OlL6wONr/plvZ4sKPRAYgAMHFORrV5CO
Yy0XqYqzRWBh95uAUJ3nABaP7oIGc3RFDJSwHOtKz1b6I9Xtbm3amrUXn7Yt2R0AEsJ7/i5m3AHH
9hdTzNmZjVkBKwcEhfd3rJHZxr7jk8fHx4mU1N+m7t3mHFilbxXb8vS5fsh/PqwDmz5Re/jsbJ8+
renpAbaPJ8gzn7fOmrHlSWxgRyRgss6vmjvsxg3HyMyW7MbPf/nhiyAtwZZWPS3w8wDk9l3ltN2u
Hx4eOJe5qPF/jvbrtX5BJO10sawMEPnqvbSqBJUJynF6s31iGUHREY0J2NWGWidzTkIlyi2SdhD9
4FGORauIJY6JnKX6GwWAUKEPGyVHjZV6P48LJQJexjnrI6doe6qWPfW1dVbxPN5XaPyNFKDkgK0s
YUMBC5HXSWVbayjynQ8/Zc0FaGZD0t+PKQ0c01buXZfaJ+Hls3qPf9HKjezPfteTqbM/OPf21Ux2
6zsYz9s2QdeW3TCeX60DlpWSO4yrEzRZ4lOwp4G4tCInrLvHn8/k0JOhs3ecaxW/n7omA/JZR78b
0O6wwx23ciE7faQFGK5p+vMqINg3sO32qa1EpNiF+8Y2EV43rrQe/0Vcc012FrcLsh66EadeBVmV
eLgAY7M3SGLzXOFX6f36gEEGmgGjjSQ9WriuyYh9XcleO/ZnzVUF4m39zDZJdposlANMYv6M7svY
Umixz0wLE3nND/9Xhup6ja7zQ/ccDbxo+Ls5uP4eRotWzQTY9SnCUyY21c7KdayDEVu1/yyEAiBv
tQgUF1KJZXk2x844Cr2sh0ToWwxUeUquZ6RX0oxnAr9KQt9PCfO5KBihP50dME/1SPLQcYBcPMkB
KEDibSUQ+Sjd1dbxM6NP3eEUHfKX26bxu5Obj+IPUUbwBFnuNE8XUQNwy6fa8e5OCIXWt2l8N4zA
hUVDFQYGlfl5wETPpoQ9Tlqpz1I22rEdWKrrU6RQOHq8kA69psPocZI2YV0WoIOVb074PDnVi3hM
NwVpKC8x9DUrwF7WJU9M7CzGox6ZOWj122x/xgDVXYmOCd0KYlvevMJ8bHc+UUlC251BG0vbShjO
s/PHjesHVvRjshVnona4N+3Is/SHfj8S1dKtiHQHi5uj+O41rg+GueR2iDE7A/mGZCWb0j6cDUu3
pY1GtoXrUc41LEnU5ckwNqUSJjUBcth826/Q8MOPjHIZWlLgSxpMcO1F7WSuFJz+fM/zWL5vN2ud
rg6rbUH/eW7z+vSYOLDUxzIAzuV/9PKu2XmO7Vu8FUlLDuCSIyYQ9EotR+smiJQH0UVnAa+LYVkH
0UAE3Dp0L7G9k4mPrdBjilofJNX/bf/4rHfP/0bL/1Bgjqmth9UYYxIfSbjRjqxibZDU8i2umZyF
9bvm/aHDnNTYanq1mltlVOfuNaGvOXGMt+45dbjB+WwvblFi3JbvBWo1JF8c3YVuZKU0I3gG92vu
I3hZQf/wxDikWhAi2SxBCbvXziVBMN4T5aQRtNxErm+VOx7uy0LmaRbqvyiyacuxTAs1MnGKz/VD
SX9P9Jje+Ra9LRILuaBrKoxFjgIl7kwNlTCVTM7PwBLevL1I0TamWzHHkXE5YixyiGY/wZtvKyWt
7aAi+3FcWe36350cXttw0DPiKIvYoQkrv1alrzaTd/8B/rkgBlkh/Up4XWELuREc3wUpxpT22aCX
sfhFCtkKJ6fBi2dFzurob2jmpjUtOZ562YVeUGQMa635kl9kqChGm8H6GR+G7YQ2O9954AX/i/bo
ghBjLXSvzmolRna3tF8HnZDYSqi8uS1+syX4pr8XNFhLseqqMDLjAfXy1wTalGw5x8VjgjEQKnYk
616BrOou2WD5N4k3qAwZ9m0u5PlXbrHBGAdgkKntqsVRZa+VM9L34HTALDWiBN1CV81WoOImJZWF
fQrokZM+lDedYo2pYzj2m4ZdQk5tjffxZqtuAMF8+9M4X8Y+q1tRC/KyhLQclO2Eh/VohbjG2zS+
nrQ32Gef1ebQtE2qgMhzl5HDu0cTxCyqVVkH495TrIEKJLCP20di2qErnK3sN9Y2cWKarxblWx/B
GJdKD70kNr8MmUmEwwF1s5gU67d0c3yi+SZ0tEdeZL4gXMg6iTMOwtzUbDLCZSZDHQl+259fJwcJ
7mZdW/npn6fuUGJBYDF3NYuYbWT4mjfght7cxoKNWw7SCU63gy+gKxewAOTTox+3L3PpHIESOLdQ
K9hzBGQEyPrFg7OMM2U1Yp3YGfvEaYon58HJ0VWJgNQPyegA+NrKXOMReFfC423SyoI3vyLNsLqS
slDNFBjT8rOzVkh3Yao9suYveA0OhfWOBluyOpYE/wgsnfaOdK+cBvojPg1HZUdpvt+am1nyfCdx
9XtO9LRQw8RNXJwME6NLalep6VzuQp83FfF0iPE1qt1HpHVOxtE+ekd1wys5L3RczFRVdN4gGMCo
P+NhMGZelVkICyaDYmvP9RonsXxsH6M6RQF1e+pJtl1ZKinwYuNJw/zrjFZdUWe8jZrioV15yJEL
ruQeJFtcI4q3h21B9PfMzV9ynrjPd8wS1LDLC4Bk6NL7ht8dewUmwBWwq5JqI1qti3cDUber7ezj
eO+GrxGKb9SAzgB8fExegdNrYa+SduhiHaUNPLn0nePIjrTVSXRX7QBCe1y5hW2vH9BOTmz6hsWk
T9xQeT6/Gx/AwpUjqMyDZq6tNHh7iogcUhfLjA95T45b9MLKPUH9j2Ovl2I+BZjvJhAdMGaEcd5r
rodJS4NCNpAGlbajLTsOEnvHe1Q1/V+3NXqh+IHFhBeUGI0GcJAQhcCSOsfrAb0gCVzg5JQkpTLW
wVD/nKF9eqL3oW2v3iPqWxhhTklE1/pZvOfW5uckBnvWlx/D6K86CmOmdNV4Nr1h2GaFHL8rcamQ
ouyCHbYPh9QzUgxvCGnlKgBlWXs9Wt45J8L7CEadMXwadn6Js5dPkblJMtp0BLuVO6dVrQQQ3G+A
JTZIm9AC3aQAYowd1bAEGDUemtmiob88Dka1W2B0Y7GhjspJaa32ykBz2dXztRJT7DketocooON4
1P1N2Oywxc8V6PhTl63b57GUUruSECbKrBoJi7lEEwEKJNHSLAwV7D0LZ0K1HSKIB155ZclnX3LN
RJxZitFOIwPXjZUjInp569yR8JhaiLqumGICgwz5WrwKwJQsYfEnkcSC9J0dbmqdjpjWSWOiTPei
+dKaH1HnaOFj2JwFzM02D6nacqaaF3Ln1zrI2Lh4HgpOslnbp5wcUjK19D08RptDtok21Ydv63ah
W+FGd1srI2+qK1m2kVKLl99Y6P7Hh2D3jShjPGuGrLk2OyuvETw19Mfz8/D6bhzeUTs3fyTu0SKI
hueIOLR4ScBl8bqgyeh84UV6J0SgKTyoMCzi6RCuFVtOyX1gNese14NpKY/y0gVLIfEVr4yar/rx
v2Ktqyhd1+uVudZPevbemK4yWFgYjs7JDk2SThrTMtkZmSMbwHp6ksUtUIXl9AUDREHtmD0Rpp1e
1KRsDk28KSrqn25r4MITDCBF83w43K0BmPfrW6kFDZWVMhzPsqPQFTW3R16WhkeB0YapqLvV0Afj
OV1HlkmTIzU/bvMwG4lvlv2CB0bERaEdTaGaeSDyTzq4PDFaNBp//T66jq7PyMO2WakZwYE14ZCK
u4a8Ue/nbR6+AjmGCcBdzKVD4BcAXYOxx0mJ2gweAuO53kquYqug9BjvTfpbQ3tc98ANPRau5Yoe
Y3knpQEK3wr0zNOcjUd2vEZXqLbx3d4xXR0TZQLaIc63uVywjMCaxYwuenVQaPjS14vXRSzKo1qN
KOS10kO2wpCReVQqkbTNOvORXy/eb5NbuLgrcozolbWfm00EcjLUcGXoRMkeWsOgkZgTM30B8hst
Qt47YSGEvSLKSKMvlhoQxxBnANz9uXXbQ4qn4S/gTT6F6Dm8zeBsR1ihuTjPL5t7cZ7jqknNJEaB
NvCrc5wHVjUG6/8fCSZaVNpRGqUEJNI2pFn1M0o2/4IA4DZmQCTkO1kcbVPHwsB2lgkjRiCq56T+
552uMybKHwqMFzBWoR6G3jiefTSrB1bPUd2FIP7q5xljn8hGKw8yGAil95UUWyYcLSBUye1jWtLX
SyYY+1Cv2sLX53tQsXrQaIH642EcKDOpmfxSeaDtC2PG10fGWIdETPRwSsXxvNsdvkruyHmfk1/n
nJIN+bXv7H28J28Y6aSZvT1hjwbNDh/IGXOY5h0t4528lTTkUYjPEKaO1PKvvlNJU/LegYtadCEf
jJmoExUj1YkwntEtjYqg3zuDJnGE5Ate45uqXhBhzEJkhu2Y4w2CNrqD0z+GBK94Yh4HEp0eH2Xs
eab7jGzJKcR+orvTp/H4uTPPH7vRvS1GS1n4C2kFZNe1M9NXTdwNKaRVeAjuh0362N2J6/TDR5I8
59ze4rlit+vc+6Yi7pOuSSlh2gINHrfnVRkx5I+g5QZaiw7lggSj2mpkhFo6ggRCKhTlD3fT5pw5
52GH3J/r2vveKtBJ2+AJfzI3nx8cW78onhfUGc0P4r5UIx13alavavmSZXZac+5rkUGcHhKA6PgB
5sT1GQ5jpA5hF05nSRp/AUTDas2B+kP90ZZCY4txhLUhPQ8hZJEvLC3RsPIHOyh0Ru2UEo1eUxhP
56o8ePGxau7FFW95DY8Gw1ibN2IISMHpHBk/87YjprRd+TzseR4RRukUM/ESwYxgugASLsubrhDt
EuE/R6cWBR37VQDnNO8aYwV90oupFad8+qqi7Qx3RUSyop6TkZWbWyPh1WaWElczQDIAvmYwTkRT
11KBxMSoG0MxIeI9dEjjmAQArmfp+edd/uCQ0trrFXmrHtP7ioybU0bXD7c5XsrsXH0A4x8UdWjK
NKmn8+51CImPSO5+tA8/C8dJ6WNIS8turaKk2Q97K1kVKlThHYqyvJzOV1H8m1G9OAdGUGtl8jW5
Lqfz8/Oh2L/X5OeYU5+4K+piqM+/P0oYRYstoFGRCM8Cjvov6uYFdUaEjWm1Glqhms5d8aD4JyzK
2gvFk6cCv6dDUOvxFh5zr50R50EwvRFovTh1tG6M9vud6fysDwPZ/A6pa0fIQVc0P50eVtYDzxPL
i6r0h1l2EYnaxm0qmTPt3avhvkcf78rThHhqQ1y7s3vrbfvjtO3Xn1uB0LfOtp8iwiuGLKoZwDNF
wELLQFpkzG2j9H6QAqj53Em/89VjpZxvSzXv9xmt8sNeWRUd1DhK32PjSVtxsttLvw9YGmxwn995
AI+91toqkmpxaLTprGv5qxxUr2Y+0NssLN0SgKTNeUs8ilLf2hTjbprKQJjOXhkSc9y06nM+Wrdp
LGVV5uWKfxGZ+bx4dUyKWUeROkHrVEejQoJBzOp0fkkly79v7N5BN2abEv3MITuHC6yyA6gRvhBo
eUCjZZRd0KNUylv4+j4aVhHFHsURfUW+2eRE6bGOAWtFgf1MUxnGeKeNpnkII1FPCOCMFI+0YZE4
ZQIURo71lxa+C1vRgFgPLGDsQWa/K9T6KkMLhQjrv5JogBYupzykh/OESsLqCSXXiGzNLaBQtut1
u35e//NjQROwDLAKYJ8IAKW6vg3ZCNPUjybxbL0eFBpuSwsh+ecDx9YtNR5ckmGh+Usjrgx1Apel
nRL09KTvle2/8Ttt5s9lbvmKDqMknpoEY9qDzmqNeO5w93MApBCdXBvGjZwe1jwfspR4QasI2jhm
hwYESCaElH2/HDug157RNpqT4G7jwpjuBcfecnTzu7vQIR2YgURfuAn8DUZtjESTyrDFwKXl1GR8
29OJF+4sBPfXJBgL5hljNvRVguB+O+2Ivd8eT7zlawuCcE2Dcf1+GU6rUp/nRlEZLumG7EfL5hzV
Qo3qmgij61KI8CJowMhuRZS3I1oIqIUWF55X4x4Y48JXApoUEYUiKX2QMaeSPfIm83mXzminNzZ5
0VbzpdcP4+tJe+QYY87vfzF4YYvNQYPFz/H7NZ6SGaGNe+LYl1n+rxXy6irY9o5Q7tAR0IGCSuZJ
+JAG6/X6g3cTPD5mI3vBh19MadmpuIj4h/kDqGW82Y+FVq1rNmY2LwgE0SptJnQF4/2trnMXR7WF
VI3kgYfus9BMf02J0XM1ypGPVkBpuju8tvT19T2g67uc/rw7OAWGeQZMW94hSuPE5DydYTPIQuFj
+eKs/OLr+31HyN62I/LE0czv5nlmDlMQJlK4sJaMwmSR1mC/Qo6REDRjwDDjgUGmt9sitwC2dk2E
UZrJLKVVLWZflvLp8Q5AW8P68dE/tI31uH+IJ8ssiI/WVWR1OZQ57ClMdiTo5jl4CZSDffuInpd9
XZLACd1mbeBIxcc9ebHzDcZzn9Bnqr99+hNmrQwqc/VhoVx2dQZf3TIX8lqsgONUCTjoZ+Pp+QCP
4WzIvU73lf1iHylPaP/GEP51r+yoaW3Uph9kIFeWqG6gFLd7sP6VqfpDgtHAQdEw2TYnxq2SxDl9
ASxexNuHsVDWvj42RvnMBqsk+gYXeLAcx/kt3bv3e3se84roc8qJ57l3xLjbQQ90fSxwaMjpTc6d
I+KS3Gqdrfeo2RToAOVjDH0P8K/5Y7xvJyRVX6CGcp52rUPN8235/xsr+eeOGL+rdpmcjWkNjl7j
4wFTx2eUZkmwLo4Wtw9l/tTvjuUPLcaUxOiti6Qcp2cdBqBBYO0XurqIfQrRYWZaPAewUAi/PjnG
qOSRUnuCAsnY7VJiHXBdm819R93fzfoR0eUWA8YmBjx4ju1v4qW/2GSHa7AYBbNIK7CZ+lR930IU
DTSK1WuOMC470D9kmLg5B2y2ijFtZEJzImy0O2vd8xobpPk3btwYuxB3TMewMrHQ+LyzXp2aopsV
uRbNIrZNT4WLiU3eo4PHFGMy1DHo47Esx7P2pOKV6WxS+luxXAzBvWHklXeE3KtijIesiY2eqxCR
LAcwmX+oX7eYrn944FzVQivhlSiqjN0QA7nw/ZkOxBA2A3UAdMa6NrXX5saEQ+EcI8+fqozRiPRy
MoWkgC9J0aD75UvOv8kv5MfxpqJr37I+OHbke5/TNYeMHTEDRQk1HxRjcrD6Q+3Ap9xZHCIcZ80u
I4s8pGLbAtLxaqGH7Uw2yPljpBezwzvD5unxQvLtmiXGftRxLfWiAZZ2IPcOeoHzSH57jmtn6A+E
Xn8+fHwIHLirRXMvSYYqItMLtB5GIjFEVSO+h6ToLclfAaV6+wiXNfri9xlJLPox89QOGi2TZ0ww
vL/fbZDQUwiagQwc5XrNEcUFaACc4gVBRhQHoAaISPxDxVD+AkrZ/LCnjmF3b7c5mw/mm6m6oMMI
YAKEcLVrcXDqWrH6l9s/vpABu+aCcV2FVqX6Kvk6NgB4YhR6L25lul2b9z3hhoKLRvCCFUbwWn2s
tW6FgW8/QdoARUJeYmLZHv2hwLYR+Njbgx3TYKdADukOZv33bI6QPACkCM/2LVqGC1qMn+rkEU2Q
2Fp2Np3orlij2hmQhw9ecMHRm6+c3UX03CT/u375FLqqe/v6F6ofV9f/ZW8vft2vha5N5mD5efef
jtb3eO2cS3fjIhG/n2hv2cdjaqXOGq88HmsL+cZr6oxN0I2xwfofnOAOTcvTJhExhV5h+N1pKK1/
Ai5x/bE+PQk77kjQrDM3dIodUUyTqkna+XEUtTTx3hpSjXed5AQyx+hxBP7LEl8cr5mtstgHzvJZ
vzM2KrKmHBlcjtsvZJAxDpU4reImn0/QQi0DUe4d3lYNChm9Rbfjmle34JmLL3m6YKjqgE4NiOo5
ZaZjnMH5j5G1bJVurX+VBbjgjbEWqpkpembM8BCYEtCp6L7R7cNDwzGvy+/FP2TY8cRKVfQino8w
HIgAUeiBWIgZeEnnvMh5DoPF1+/N8r9Ct7MEW11727vy9al7xxgT18MvhrcXPDE5qCEUczEtZ7FI
yXNJmr2j7hFV6EgHA+DJjl+33Gf3/JM3VIpNPo+AwgV8KG4LWSli1WTYVSfzIKDZhTcKtvwyvuCO
MRt1KbWpGkGr8PqZHz+/gWaG4MWm68/dAw9RYDkJdkGNCSwEI5qwJgOMWagVHJzURuvQ5rG23Let
vR3JaY3nye6DY5fn58D305x3V6vKvCqR8S1SN2hNIeL1KgM38a44nTd4n0gbYuP61hgL/vzsvzJ+
HLLLzuYPWUZuikBeFYb0Rfb19U6jObYQ2AjqqXqcg3r6iT7eAn3mwhplGV5RcaF+MbuDP9SZN1KI
Jv5EqhqUxWizj87vhw0ZKOifj0ceOtffhIt/aDEyFMlx46sTaO2ed401d4aFxHl0G5QaYDttBN63
j/ZvhPYPQUaMSl8phWp+PM8vTphNwLBqlov814N25NBafiVdHCQTmsqpWWuaPnt1wX3FTN9hDoY9
58W1jz9sRMO2teZwN//iLXll/FBndFE0zNE3PDlJITJo3XB/VC4X5f9vYoY/58gErGUq1EWxgml7
bn7pRIZ2bNxsPSHSf8GekIkqDmCjOOz9jZv9Q5RxRXpQ/zeZWtuNtQvQoWLsiYtZ15bSD3Xz4Fsf
z7yOMI46oM6OM7/wtU0TKJ05x7KVZb0K9KCv79BHXVuD23L4+xu3/j/+sBnxmpQU6Gmazm+Zd/Pu
/0i7rt7WkaT7iwgwh9dmEBVtWQ6yX4hr+5pRDBLzr/9Oa3fHdF+O+sPMDhbzMIBL1aw+XfFU4CyJ
ipy7fY2oeY1mCj2qv7cUrDb+KaqOO1AdRDT4dDznjrroD6eFF6/fkOREBgb6bTauL9n2wXfAs+bH
zj574qXQ5rODf90Qg52sB6Qbp7NBH0jcfe8xJsjHkHGF/AH3bOff4u+zZZCmFQxBMc7UYMFMgEHL
3EeAbe44L4bOE8Pgi6mESnfuIMZMiRVh+uw42MrHidROhi2NqAe3DgbWLmSZm/gZy4/FYvO6WiEu
OrguWUZe4Hx8vGCA5Yh+WGtfbOzPAEHzauUifG4KXrg+n6CafAAGogQ9uCQBzW47oNUrl5hyFuA2
7DmwNB+ifZ89A0sxpjD7gCYdCozc2sKb6Nl7n0fqRRHnlkUziGRIeWGGNIQel5UTEMp1eluN+YTN
5LAY+GlDuZYvPdRICZKH+yN6VSh33gOmzEiNq7pz7fge1JKH/ZrLUnvbE8E468/7mpRaYIk0QtxC
6sW2XPHDXoU14ag47z7+9aWu9jIBu9S8pElPc1IgdqQ+FrzVRUs2SMie7QNIIXglHA6kG9ca5ERg
MfSIfBOk3NZvFR3FhoP1cK+DwUkmXyvsVjgki9sq8kz+Gh9MJDZlj3amay1QXwUdkfbAAa1DvOH8
S0EM4tSRWA41DauLRfCK5x7bDfwD1zBu+4oGW6RNxD41lR6G8bwuwYFi7cTX+JDZ+6tveFujazx+
44pdOe0mR9cKchhrArWO5+1WwpOPxTpkkdq5j9rwwfaVV4NnIJx36vpkTkSmmtlJVo5DXEdo6bUv
Tvi458HTba8JS15+3q0QTPZ1eoJaWyf2kfq4Ox2/qhcs10BIwaW/vS7FuXWIDIpEtdLlUg6L7z3n
bY25ye3d4/Ih3v5+zO4e0Js0KOT3b0LsC1rMwSRmbdaH9DD4Pu9kOa4w9tv9VDu5IDrN6dU7O+vj
2533eI+dPXj0D3tjmdkcZ5h37a6RwORDDko8ZhVVW/C9MiKBr7g25ablfEzOK8Dm6bQ4CbEmHdcB
VLito27NkoyZI/LuNk8MEyMlTfDfgovnaT4K6Zb9QOxfK9Twcfd4LijnDlxD48nRjeH/gGS9RaU7
uAdh3O2LzXM82URcWyPLc9Fxy4aFg4TS3TLx6vUHUJ8OOvB6vTmIxWbj+qzURrOHJcSr3xgV/+To
wvs0jLOhlSclrGgN3UH7Nn1O0D6+cOmXQeXtmSOM/rEbl5lNxEV9hrXEA3QBE8HbI/KmwWZzLXOs
T++8dNLfZK7+epxZKtihtGKlpLbdnBwRi1x1P9H8rN9k1kGpYOuVusjrhwEDbxf7tp6cM2WTc3mb
SmIrQc119yW/nndfnFs7M988zTn8sfSyaeIsyanbfPq1Rfd5ai+W3lZdeDDFh3CB8jPZuRhk6sgX
Gqw41s8VzsRCpYDe5/MF2hXuEeWKxzfPWatbqXI6eyzdoNmbd/bw4uz9r0O2TQrA1vpfoiObtqub
RB9NdEoAthyQMsNLRrtHhn84uv5NmvUvG7rO6U2w5JwrUn9R6ZeMf6GNzLDlI7rWOFJ45sIEQYjq
kqKncWxV2KWvk+Jx4PWMczBRYQKXITLMWEzRtoKoPF4ZC5+HUry4n11uJ+VWooUXSDhuTzvRfiMl
clIgBF8Iy9uXixcFsy1wjaLWjU6JRDobmy82IUkXD4v73fkBlXuOKOk2Xl3TApPPH6ZN2nV4Th4d
p9PJiB5y8guZzIjjZHMMQGVci0yomjoeoRGCyQK0tghWVE5Nh5NdA4nyT/dFEcTSzAYkSTsbxDbO
HTa2huQ34mmCKdJdcm1DuGAtG48kfj5kUbCRzdIwRGdeDWdyhnIoBUZIYdjyn73UfdSd30jUuKja
02wJv6d41j2dyGNuU9AL0SXJ8c00su596yl9v20U87m8iQDmLtUYjcgwYQ5LxxSQ9/aOoA9Vx4yQ
1x1qZfv1P7PCiUDmic4VIzWbgJ4gWS4XgYeuKRK4w8NtvWb9jIkUaqST72SWp7wvYurWjw544niQ
PZvUmPx51o8PsyyyKnqV9H28yMi1JMABUp6tsT46Nkr8N1g4rsHSRZvjfyMc39hn2z8gM8TTaTbL
8K0T66R3o2JGHc2OR5t3fBoDe6DXOrhcLEd6vfAqcbMQPhHGPLuaaOWy/B9hzjbzxA/f4ekzC3cT
EYybnumpZcXXLKdqSw8vyPIjQOW559ew9w8ncCJF/WloTdZeTrGCU8ucN6zz+d2D/oqAngctPGHp
3jZqrjAGDaqwGwbFhDDneDxvTmTd2So6Qz31VTTvqqV/aTyORPrzb6nHwkOVy6DRg8QUTPnFgiA7
TFAw8bUlz9p5n4vBBez7gitNG3pRRMegDlqiFhpKzhsUSxCWWssOg6/Pt7XjGSEDEgKaR/KiprdY
PRMhxewJt+TEOz8GKJTYKluLGmG+jLf92rJ79A9/Uecuwf85Jj+fo/k2RtZVb8ZerywL0p63yOvj
CMEh6zyAAAv/oPJEGRawVqAhIkrSt49yvkQ7Ec28yKmcCslgwVDOoCmlRKUG8qSdbR3Ku5AM9x+d
167GlbINU7jQvn9b+vy0wkQ6CydpVbQn2q+6fjv9vngaLHRvus882oz5RMZEDoMp6jiEcjHigBUS
gNJ+d+qwfGflH2JeMnY+QTORxOBKLNdWl6jUNre0PRBM8inuwgp1NZ/H+zLfsTWRxcCKelJOmhjB
Bzg7x8ZFmQsPc02wigJjcigBcb4V59b94b0XIRbAUuh30Pr4HsJxWz6gEILWAWyc5+Iz56VmPXlN
1wKhHiCtsbcVCV1pgQU3nHs378RPDpABEgMKNRXNnDerbIO1B1/KWjuREAv7dtih88X1oXhKMajS
N4EoxgbkXaenM8d6E+5vfyWeX8h68WOqUKUgwrs7uUhyteQDLb4m2SHVu/eVx9viODbB+vOmqeem
ElCFtpkj7XKiP3AzKByXkB1KaeJukGt6aOiyIw+/6SiCi25ld3/mPJo8QQxIFLp1MYwSgrbYYLuM
ORx8vL/OAEOZKLJi0oT1Wgef6WV5+0PwkPS6CWPiOGeyVeYXGX++sbuV09OF5x/jqlraa56LTi/F
n66FjkhKteiCawazYw0dUlWCGM783Th24WCXA2/j4myGTvkWwXyJQNDlwswhwpPW8n1GZC688JRg
vsZlxLzvKYDXgpbn7bZ5SxwFhA0vA8kX2MSGbijkizhfaN5R+laKQWvTTLuzMkCk/JZhjfDm3n1d
2ZwHdT72ULEUCnS2IM5l50yk0Yyktmyo33cig72FP4Z+mZpg/glzgHiGOP7DLABM5DHug9Qpp5qO
Oj6OHxkGd5QVcJNzbjwRjL0p5zauWqulnwp8Amgju8OsxBLZRuTb8LCmvGrEvDeG/T6KpVggW2a5
yLTLoBYjpQdt7BOJL2T0KZ0I9creIseM18HH6oAZjdjLt0qy3vMa2GZNcyKeMf5BD/K2iSD+LtzD
RfkKOQ/5fBJmIoCxfSHSzVYKKDMpiTbbyL7zEqd5WpIH8ROdgP3igOGr7ImXgpnPYk7EMvaPwzbC
YdT7x94ZyekpXqDP9lLDq+XoN2svEzn6z8gut3pBPJnYnff8bOCrmc5wV71wbHL2IZ/IYIIe2mJY
GxV0WTsBGIvQ/oKyt/b6yRFDv8QfUDsRQ01lAurYz3qOVLp3sHqIsazl4drDiJLVYeApRC/RLUn0
UCeSUK7qMuMEhZIWnGT1xSZe+jtchNqSF1pdS0V/L0pme7NkzYwqfYT5rdEUqv9OZfBdq/HiHCJ7
XkQEm1soy3fkibtPZ28kmM1eaxwTmXf8/jpYmW3ayuP6chkkHKzjZCUhaPDLSf5wOHDX7XCsXmZ7
tkpwsaRWgHWD67Jdo3J2Anb4xnLPsZRZ72KiEAMaXZJ1QgpWsMck88I8JJc2IwlofNulKhJJWsWO
oq+D+vgkjPe14nXmkvMDbpvqn7wWSh2NeUK/6la0y9dLvMvAPzIYyBEGrlHy4tb56udEYQZNRhQM
z5KFc1XjpSnmRErtZiF/nJ8bxRZVElekX6zkz349ulp01Hlx3qyHMhHPgIzVGYHeqSBUPn3FKYnv
VyHvKZ+PJCciGIwJsRLYuCSwUcwVg+YpXeMpJ1hiY6x+Ke7B4Q5l8VRiwCbV8lA0MvoFne4XdgzT
9Hjn9O6Z+DYH2GSeLAZu2hBLc8wYsp4duuehcLH7xSl227dmtM0DKZabTek2nn6nnUFekDq8xANH
PtuZFZ91kGxfYD25U7/vXDxDt68DT0G2J6s5VWVnpfQROh6D1TJ2gd+evEThjqY4nMJf+yvd822H
m+qglncDXtnmrB5k13FBL4azLT+XPXlsfofEK/1AtUGt7WuPtzWdDzy+zZRtzTLTBB1G/VVeQTo3
wl6MdKN7OdJkHEm3H3aZreGUsYa9rRTjqF822FhBuyn9j4zQjtvdrwILsB2OdzufN5oox6BMUehF
qca45oX7rH7VqzIjK+4s122HT75mjydvb2bFl0Yd4fBhAl74UO1+dWqxF/r26XEeiCueToT0rTmW
Cb3d3sPX7b883+IwOSQGOMqmy6qSrjM4O43hDLGdPhjq4hy4bUXKZ2uLpqjGL3g8eFzDYzDErIQi
b2scWxTBySMLwBV6v5DY4w3NcG4UW89plHPfp/T7pL+Sw/jLv318HChiyzdKrseKOODDbIOFZ3gn
DtRyjIvtrTKNtIpVekro+0tR2H8FKdttBTiWxc5BaoMghWUBBYIlpj8unC2wnGgMBKg/PVOpbdrB
6OjtOG67Fe3Grjd57F0yG4SSaDXdH2zbfd09LEqNBzizEfu3YbMdVlhDJFtaTQFndTT3iJTKzvnk
zcLOh+wTKdT8JjdTLVuMf52gIFiWJe+NEhwsQKqM8gn23djcDkJ6Xjfeh+vLNREH6pC4i1N6nplz
roktE5wjssUoTHLdbN4BMsggCSHmsAQgQ3Mmx2NxOpR+8jwGh4gX8/GAmm2zSgW9PjcU3s7eZRsg
2XFe8Ikobkd92O7980vJUhGECt2WMmDR0ku1rVpi7/liOFeWHXbM+4tsNjJisW611W3zPrVb1O8w
zzU4OLm1cs/tb+XFQyx3rZgqYnZSIdLwkTF2CaYZfDv0PnltW7y3gu2ZsjQxkS70SnWaU2CN7u7w
qX2ioEbrhP8yJmLbprROEceqhvWlKGjFzy228rVOi1ViAzjezsSsV67o3cbCqw9y43ZdCVQntyuN
0yIMMshUGpCHPGTkowZVE6iHOK8GB3TZYkzRKLIqJFiqZNUkDsiFB+p/E1+hiwSbWkxLZad8qrht
c9nC0hSwhTi5Jzyk21cbe99Wh9hzuPyL82ULkHr+TxyD8o1RmA02vNNCAp0o3KfrR3OpfsRYVWg5
/ioh/sHfc57Gv/lY30IZ764pRck60aUk493aW3qCPT5gmf0XF+Fp8P2nUXzLYRD+MpxapRXoWa5B
znm3DBy0jFNGqjO2tYFHjytwPpvzLZD6HBMrrEFlWUYBBJ7RDknn3zCgSQk0qaeMdwXPCsbpHY7p
zzsy30IZsBcxk9QoJkzyeQ2R3rbrsGvzPjjIjgg6fXtfrXmbQ/8G9b9FMi5gJVZ11In4gCCYuRDz
fkOp7kDyxdFs/sn8SwwbLUZg1BvPNPB4zjbbwR495IuK7RDTNcPccVCOsVx1nnw76yIompwIdDmY
573lj+qvNCWB96toXI5evEvHhophKta5SldUYW4oXGueh9Fzf0lW6DU4PO2apQLPgNfeM+9Mf58l
VX+inlBKgWoWsJKT4QRYPx3FHK14yMWGiUaA1dNGS6EEu1ZlclQXqOw+d+ZC95BOdzivDM82GAwp
rDTsUHwDEK8x6he/3Da961t/AzrY2LANlDBPtStEOUd5hS3aWDL6Tim3ekycxHaN8fLNaYnengz0
W062wNzn7Z/APU8GTMpaLeO0h4bl5rR7zx1gyGWzedngOfB5bbWzIb5hmNhyaWLRKevsV1izKpdl
gv7QC/jLsEnBA6UJMsC3VZp1sCZSmG+W9Z166mRwZAq1nWluVbgaloAly6Rcn2qOOc42qmu6YtBt
R9iyxrL0g4mgivSBTss7wKj2vbBBXwb8t3a/dece7cmh16xDT999hiA8NV3O55u7b1PxzNuTa5WJ
OhfEY4dqgc6s6Pfts5ytJk0FMOYhBfEAsnFUANdb7937rS9rnzb0orSZwxg/nwXvtsDZjPpUIPPO
SMYp17sT6oHgKVqrbunH9/76+baQOQuZymAelr6vVUuMIeN49Jwe/FRJxYmaZ9MXExEslX5an7tE
oR9mvS0PyUv1gf6M8GJ/cpciz73LU0E0SJsgbttIrRlTugaMKQSrwLlHg1BGNtQn9XWXc3DUnFi8
mgqjnslEmNk3vRL3EHZxMa7t8l6P2UDFUDQNxP8S6ttstkQKGwm00yJtczAwkS3VxATx2hm67IWS
YPSCo8+cIUzlMfq0Mtq4uxjylJgkLxmJ9jl4UW8b2+wVmgph3sRQOnd9K0PI2Tuu4a017lv+Grvy
68Ui8bLWkPTvoNuXH4h2sqi4xBDXV4T9atMfQB+5yVfrwjrWNWEESKTIr2zfqwVBGCgtyOj6vsRp
UeJ+QwZ+L52gobABdSHM3TrgdtcfafJugJYc9Jt18Q1VRm1Z0g1FNpmQXZElYaw6+v2g2FH6Lwgm
OzK88DDjGv7/cYoTWcxFGzBgcAoukPW8Noj3Vt4bfnLXoxbnnEHX5hwCF02AB1v3wBOIR42bR54/
2MkPYIw1TTFB10n4Ac7xLQAPIiIMH96wwfN55i759FAZe9XDU6GcSshZg/ulfAkPt+/D7J2bqMFY
Y5EKfdCf8eczxEnisnFc/8zleJ7L5Ux1YIywiYoCZBoSzgrdXm9LEi9aW3U2Lzmmae2GSMuO4yjO
pj6mEumpTi7ZGBZFFRSQSNMRR88T3ItHDgfuDBRPM+ZB7mO1k7EhhlI8Yd7bghR7pT7c/kSzr9dU
GeYRVo2hlzLkralXg5FNLKRXifzCAcZZ13MqhXmGu1IaQzQQQEqJ7uQR5nCy8/XCfVr5oceDCno7
/ri+8NHQNGWaGBNihOlFjjkrTYGwmi7RcCUUPn0AIufkqGHdEMMmEa3ASlRRUiGG9jMde8fYqQTd
5ajN/aPj+9aITSRe+kwLzNGgGnnb3EEt/Gzf2ySCS/3Z/z/68ufRdiKQAaAwklNZC2U63oURsuO7
4qhOhs7TL55qs23rxkQSA0GnTEysNMUp4ioh2xDdX8BqMKKFZH0vonINfI0P4hpyP3WXd5E5hsLm
FQuzvJhBpYNi3wnux8XmsPK/tKVp8z4ffS9uWQoDUWCgt9KxhZx1t7I8jAS8jHvJ3mtoWbxtk/MO
yOQ0GWiKYzm9VBZO8zlFnh4Ndl6PeUbLXiwWO9y1r71v2rdFck2FQalSr4u+SmEqztnRro19vac4
8jJ/lp0V7yRnIXGiH4NWSiSHZlTjIjgt5TFQdsVR0IDy3AZv3uVmMEQd9SpPTGC8iKRDuxR22fry
sfvqkLusuFtyeJ9NZZybVpDK5NTjDKs35QVzX6pCapc8uYsSDn4NKgzfVBd7JNoBNRU3Qzz7TH8f
Ktv7XfaJGktnSH++uFgpHu68bbNQTgQ7p8b9q/iyf+Z1Hs+/OhORDL4EoATNRawPpq1jAM2HV6Dm
F9ZAPHM/JOeOqwy+ZCfMilYXDUfrUnrXsiaCq774n7dvwVxoNkExVf3pEqAlUiiCDveuUhZxvRAw
T7kUX6x6e1vMrL+Gfm0sHMMmR01krjccY9McZROdx4tx5/NHQ+cP6/vvM3c5rUVZb3X8/cp1wB9N
l2U03uBgDvW2HvMO7kQR5h7HIKFoAwuC0ORuO+lDuAq3o2jrDTlv96j877THntO2/zdA9a0cc6WN
9pwlkgKZGsi3iehikTOK0B8mWUUV+fzksgrM2oSuwIxFCedmMoepYpFzG1DLO8Mzfc/vTk8a5ipq
pGLrp9IOQWPNH7mkOvzx0uiWaaKjH7m3K0HaxDWVMZZQWwH2i4JMAfzfAtH8SLLlZX/GgpyBpJ6/
z2xZ/EdvwEQsc52j89hasZyM8FRxx6TEfnmy/WbtK1xg1uh9vaUhc5+VGrt45ASiHP2tIIqXO1g+
4j1gSOLlNwqs9+7L6+BJdkCeVqsVOk6PNLSBC4Pq1+cnuNzs3StiqT2AhvP2ztvX5BAYDAiR8E/N
Ar9sq/gaEG2HBYqgy5CWnLtD/86tE2C8iUYEzZpIvzFU2xZbWSHh0i7tL+W+WOsuR9jsOzhRikGc
Tm31Ss6gFDzPI7YeIZmwk3CAmc1LT8+SImJl21+2y9yXYIxaUx+oKLDgmIujgp0UYeoGG58y+/i+
DXLbmugdBv0x6k/9QiyWwnhHs0Y8zs1PzULt5NewCGVEoZaJWJp7dN7GtdJ4ln19/qMnNSTciaWr
q3nrozLgVAtGLckKxNEq7ehE3vJhGd2ZuY2sWJw4PkAxsE3ZL8FKATM+rOjGqf0zzyOedQW+tWZz
mWKnRFIaw7bwCTr37YINYcFGWWC6HvVNusfr85+FUROR1HmeQNZ4ScwhG6B5kBKvWokJEeCDLNwY
2zp87bXhdhNwvqzBgFUYRBi3ESBwrS7gfEgn1FxW4jrGBirwVXzysknz6YKJggxiqQk2hY4tlYc2
+eQw3Pk+yDw56MMBfoMBn7SM+0IzIAQF1BMoRFGm5eafOdBrMMCDVL2cNHVI1xSvPcvTRNvFQwbe
Vx4nBg9KDQZ1GgFvp3CBNs/wR7FTpSchePjp0Dvn2K5p5hv3jt2NfeqMFt29Ae0c6OxkY2AuCaiD
jK20E0HdfVl+7VHKCWzd5XqmHBw3GITRguYiCmccZ4plHU68Vx7o3CXGT+xcIP8Oxg0GXhJVD3Gx
qawzWR+3cm6LnyVK7FhhSjTnn8WE3ybPJmvLPK+NPKWP9NtlkT6FWxAwHkDf1BFhw8v2zLtZfz0b
JoMfcR6dyq4AZG2BWd57jog3X4PjND7463/oIU80Y8ADM7lDKoBdhzYxRncjQmqcIG9wjGf/JgMZ
fW/JZhFSGHbSfW+gLoIGSQf5At72Ca4kBjeaTjbl5gz7x4jVNc0I/qMNigVrLs7Tk7lx00wGPYw0
TJVEjUYUlNA7A2oqSsINv4XXM8PDW5MBDzkvMyFRYOvr42XbktwvCfiIZO4882zXxcRhYR38QC3y
/NTi7IZFVBA4Y7EruIZlB5u8JuXglGeik8sG3tLnOop3VmvfvtXXZr5bR8ogiGBYRZAMMBMkezAi
qtvKGpuUMyd2QaO2DCo7ANmx16ExVI7d0DZ9vKghfAka7/CZkri2xIBMI8mnVK9w64eV51W2NWBV
PLiVhSUqJNiqeFv5+ZTy901kNxinozQWigh7QoJyi4VRSzA8bx9eTILdZdbykyONGg171KaKNRi6
YmIP9zWgnXgpVSNr7WhkcAcVp9gqGBRc+PFdbn8m20+EORxpc3dlKo0x4RFJvKK1IA1TNSR3Yvtl
gHfCjVDn8pJTMYzHPWZFi66U09VpEEgKPkh/eOfVmGbNYiqFsdI8yuO8067+Dxr8Y3C4gZwe1Sxu
gXy2AXsqiTHAoUqktA2gzxnlwXrEyjfMtdu00RHxwxdiFgvrRnnfai5Cmgi9/qiJZWRaHgyRRr/V
0WlF6LeJKE8iAqRPnhHyRDFPnWaOOShWIIomd4+OhfRFRy5H9QRpz5/Z8d9ZITtxYEjIXpzphwsW
0UEZiX5CXZdWGxIef8dsd9T0EJkH7wwW9NC8QLNhUWGEbO1hstjE5gv0OoZEs5wKXfS2uKbijaWB
FuPgmvTl8svM+oPTH8K8h2kkt1FNb56zdeqaQDrWlON/X8gZIAH7+cxxQGebYEzVtBDdaTq66Zjb
EZ0ELRbKC5xqTFDDWv/HtMT5lvR3/4lf32KYqxFadSOYbQ78wmwXBu5Bl/dEyzk8b4wjh70NqjRK
tUmvIOKQcB9iXVEMskOCg7ut0OzjOzm364ecXDsjQkNAqEAhvLseZVrq/R488Mjm0TcHaYE1L8c7
O8c5FUlReyKy1LDHyswgEo3NoLJ52yreaaVtm6WISlyMd9W5reNsV+xUIHMrlLYVzK6jOmZ3FWiU
/f2w4IjgfS/63yc6dYM6Zk1TQqfjuEkrYu0TeEu0b9T55G0RkuYf0b+MkB3DyVQ9FcUWtv58BGQ5
OjoCQG/kg3mBoxW15hvWfp1cn2ilmWKoy3FF40dHtO8iu6jI2VcfjdXXwXile2H/H5thedoxr6mg
yTp4nCB0vHvGPgeaYk6ccp1u0kfwqvBaH2c5o6bGwQBHWBdxnknUGo9ee0gCB24eVnahJvzy+fXF
Je6fd0m+vx0DIOIlRAVahTjKR3J04Gv6ht09cgFk1icxFRmM6Bb8LZExyOFy6vWzaiKVDPaybq+5
2spOZC9bcOPvWY0mkpiApJFTNTShFA5Qe0kwQIXhKWEJngIOVM0VuzR0wEoqFr1IJlZV/rxjcnTK
66BWcY3VxWP5bj10r+cKbUPr8P223c/VEX9IYhyE/qwLQm5qkLQ+3nnvj/XLg+X+/iCI9EFin9kd
0bie8cxdw8ybJEqmpdPiCvPBAjEqqiK0xkcduZpngRR21dkmyHTdynk6lNty8d9Zzk8eeM35e6iB
gRxANhRVRCPhz4ONh+EkpWohApC9YPVI11uT18HZ/cIWEC6333WiiQGVH9IY+A/L/JwNfSNeU7QF
VpLhhv+yvAt5D0niPYDHJrvuHHz9dd6ZHkb+Shv8K/4aodbtzzwX+ugyFJfBQiEZ+tUMJvAWt1rZ
5F0konq23spupaIQDq9ahET/y1rSRUwciRRMGN1/SGQ+ci0Ocd9jdcdjdo/CsGGAbxXpYPQ8DS97
+NXP/ETLjK/7QyJzO4dWSMIxSERaitwqTvBImc+QbuEuN57zJH5Iorg+Oc08O40g+U1hRS3ys3fj
6MifL77d+NbjJ95BmRIM2ugW5b1S6syDocuSbKE6DIonmPBPwedCVhDmZTAojfReCyMeN6DTcbHq
3iB4IRObVkeRlcGkQLUwX010BbxnL9bCTnq7W/tYdgNKbDt6Lh/s093BaXlpw7mW9x+/kPkIbXTq
zliJhV/YrFCYwKqKLextPC9qF1yBOBqb2ObmpBKN7to038HI2PL63ufg88ePYL5PlarpKRJxTKCz
1giGd1GT8EyScN0tet5/GPnkezAPeJKEVnG2cmiLqLs9yK+nR/fpq3rnhfdzla4fGjFPdzeOcO0i
aNSsHMe3ahCPo1ob7LdrjSgkwmBj6aVbC1MF8GgXWOG8xZ4SGITwbKS+za0azwU9P34P87bLKV5i
vaWf2XHe1dfxXXfAwwK2y5q0GHmkOaN1YHESOHMx31Qq2/QiXAL5kklU6no77OK9XIEWMHLu1eUi
3PRIE2AzV+QOBIsj0L53WX+GzrBu3nnQNgs031+d7X5JjDDqLRM/Y0AREVmQxdkPvB5bVi2sXuPA
KHXYb1gYy7jXhUVm6Vkl4n3GdQ8Sp33wkZjgDrrNY9pEKSZykJtIPQvNVZCHtHimEClEWry3BYxz
YKDDhnJhzt01dj2sWwoykJaCjEks2hIKFmRw01Vhj35I3u+8qCQaWm92WUYKB05quTis+oW9A2eT
3cSgw6IIS4N6lOxNO335J8WrH9bGQFl5KUYr0nHngKdHVK8w44Xdevx3iwMiV9CfvCZGkoZgmcDJ
B/tBKskpCIkZfJ2cMPGi4lcXkHB0hIRgnYa1GtQ3joHN+LQ/tGQgrCgttRUDnD+SUaItxJ76qcbo
Eh0Lj3dvOK+XyoAYBg6zXDLop3bo4lA3xLT+hoZzjR8teJBJf/cfdqUoumiZkqwZbOOT0AjNpTNw
qtngWSTrdnrwS1wbhvtPzm8ihzk/o5cCnB7kPHtOkBBkSUT0DlO75AiaRYKJIOb0OqXvrOhypqdH
H/h01XivEV6D22LmumvhHn6fG4PsyBjWWhBATGPXjjfslHUAcscN+VjiZcmJX2+vmYtsy02WzFri
t2R21DZRzbBtG0jusRbt5XfghZ8JGXs7AwBx17DNXrqJMCYQaHRwYUgWhTvZvdgx3q0AMIPlSQdu
NX8mPp2e6NVbmdzvrGwjrFeBXgrZriU0smvu63nBS2DwTo/Bb80INE0tIUW4g3f1imlo9Lug/cK+
bR9zKa0f2rB4bZ3BAEvtXTdsR/4dOODTVktMKTdLwfE/aatLfLffc6TOPrmTz8VgsSnnVdbF9Axb
O7szN40nH+udUz59Cc5ntOCur54rQfxQk3EhT+ZJOpcGBIKUQHIu26Yhh6/mHVjFXTsuzeLiRDkG
Qi6XXDRPGpWFpVRvFfGWIcnA9Xbg5gfnCBh/qMWAiDgmGEI4QVTp1B7dchpXNgaLLaLbqSs8nOL1
aJ/3X+OTf8gXXwZtHeK8AlTCDVy+2tfkNmDLUGRZ1H5oHFrY+sczrwNtLsifKnn97xMRJlg4TlUN
EY193QCMaFsYMdr+5YM/0/7kUd3Mu07IO5mIrEVJMpkrcUo14dJhVuVRX51L0m2L3+n29PQR+as6
dQ7NHWLeNS1ock5yriVWlydymUvRG00ilTXkRpv18fyIhJSyQiLDPqCJkHMBZ1I2P0Qx10EM+3N8
ESAqJdmjtEO5//DJueKziDzRhrkFaRCeS9OEiNLZ3rUvhotRuYOfLXj5wvkQdSKIuQNmJWZaow7w
DM4+EpMnkn6hKoS5PdpDKLtnk0gPZ7dx0kfXLTGD7gn7DmE+eeL1NM9dBUXSRaxPQwEJqRlclYmd
xkYkBpo+0mRUmdpKRRyeEzSb91FkGdGYhH+pLJX+JU3Di1ib9LZ5D0HrBmjqPS/sr32HJhSMAHO+
4ZzTNRXHHK2iFckwFBCXEuftbSR3C7BPZ2T35HM7hmZD0KksxlERBgGP+IWqhhh4e7x79EB3vQh8
FQwnSJ5z/a/Zr/V9lGzwmSHxa2rZf45St/sTnCFE2o/hondBsfq5j3i5lGtsx0LlREM2zsyUYERs
YOB+x0R5T8eVILkxdrWvzPXKXWC87zfZBGS3IpRlSNdXewepvE/9AbRov0KwkzicrzsHAtPfQ12Q
ib3K5lmoJHri4sk9X9aLxUME/t6PV3tAK+SXXcvePxri1acyGbdGGJREyy44g/XxGCFJTF52K9kP
dhz3iacaA+GmIpzOVQYxuP2NhNVWcb+v5V+hYIvnhWVsbp8kz3ZZxn5D0cMQHXa4+Y8hoYvQXCux
l4sFQQs4Qr3cTn4DwysuT8+cp6HIaEiRJJoM1pnTbFGLxN6QAMGKAGZlcgTpHKYdi570lY3SDM9g
5nzSqTjmVE8tXqfLBeLgRLWbPrET394HGGNb3j7P+av5rRbzEAZGUbQXapjGwwENipgYvf33Z1/a
qSLM8ycHWQzCLQGKOL1sRwdpoR9X6jv23vvhHXe4a9bHnopjnsKwlvXEpFCDpbiZ45SqP3ih7Q7e
a7Vc1W8+d3x8jmkR1+z7BBngPiWdiREJKIhCde5g/Q92EFHKyMU93R1g0+p4R0y3IbrLO9u58Ggq
msHxQU5D2cwi6fF5WOA5xvLGtCM6z/Q5JsK2qZ8L86IUJY60PnQOyCnQYMCBkNnIeaKIQRWdwGN1
6cphxJoXODCUqhIE5zYdpnwwNyCPwG6+Xwesav7kfru5mv/027Hd6UobD31hhjhAp3EFfDlk7RY8
t32uePxDCgMd+Shr5zaHhTw7b1lCsKc5vBfJk0jQOxE6dDsWz72lf/HP5+8vm2TLhL3Zl8rZwnk2
ZyKRYDmeaK8GKgiouX5xPt5syUDB3gzUVVR01rBUPcl41qteO0mPzWA74pNE61W74t42PR5931y3
qT4VxYBJW9dyq1uZRJ80RwyXMYYm3eZuNUgut9VsFoEnajFIYspZjf0ZOWzj6KTu2VdsB7xlnOBg
1uubCGHAQ+/6Tr40EOKYFRE/dP9weuEAMH0p/rCFiQgGJFq1HLP0jM/TwRb80H28kMo2l8abZK9q
nUv9Mm/t/8fadyxHjiTbfhHMoAJAbKFSISmSSRZZG1ixBLTW+Pp7wPtmCgxiMqznvk1vypqeEfA4
ro//lcfCRVWKcj0Y+EaopyknaV8+lJlVVqUjUDvMTuPs9INZuzSxQawvl5jcVGKn6B5uH/vDPb9x
bBZS8hw7MxQkTa+nxsGoe9kDVZaJ6S4wX/wdZhzM/P1yQTHZjl0CeintGr1ihuxwdKqDVpjdAV4+
tydnE7BXd8O4gVqWlx2ZYulaGmYy7OfZQqppMv9oGces816KzmAOrQieioCvkMt2SDFWug8f98fn
Y1WaXO69RYNuXTXjq5C007NowlUveZHz+RCD7Kw3d573djxyWRq3evjWGMAOxkTCnCGVC2nnMTKx
6zK21Ff/G49CbjMzoRBdQW4C3BYau+5c64JW6eICz8YK7hS72vkH5ZLvx4u6LN2tEdSiXob6ifIr
MbXn28q7bQ9Xwpk3G8W95qt5JcGLAb3x+V6z7uHtXlrktmpntJbq/N5WL/+V2fgrliXZKFOparEN
S7qScp/v76wxsNQT2iqW5SL/VQF4dcEfFcuVzR99qVV8CReMRpZz7xYm1m/R3kb+/8QlP9vUUE1F
kgn8eGjaYe6TKCCf8Kd6sRuu7GgWAt7LTxPrxI5Pf0CUevvrbRvEv9LYa4xkv+yyqZGQXFqKcsFx
fF9GVJPSRh8BR9amAVnJYjwnmtFyJgpOdj7Hga0NjiqjibZyn9vvTwnWwux4Fms7L7KSyGBYXPs5
mWucTjF7N5ct7wh6W2d0ZIrijf1rfrp9Qs6nUxggi+vSL2ZlkK7usMv3qvskcrZrcz8XA19RlsxC
OkBCLdjTQwt+2QQbdA4n3tTgNiavbo6JtfIwVpUux83ZSNNFDorEGINEtzyfHH3TZV9JYvyktgF3
AWlGCcmkV3uJVK+Sea2eC+tgeLsflpXc759S5wneJ6/PZhs3V6JZt6kjQyIPLQ55+n7+7l6nysQm
RdNK96EpLr36j3sebPHeAONEzUlW+mqL0+JeiWSJlRk956dl+v9pas2n+Ni9F++3tXKz8ABWiH8h
CrtdPpT0UCkpZIo7ROhoTxuc6ExrS9hZTXlMLX4SbdMf/SuRTaJ1ypDrIYGavoC8J7TQLz/vqkPz
bvDCyo8n9cWeryQxmBLX/7pPUoCVAhUOd0Hnl/4NXUnn3KUXcvl9uWKrZPc87oUQDULFQRtQveLF
t4ua3vohDNTIRavWo7ToElgd6vvUzUHp9/rxUReKU/RycL4q592w/CV6UNdFGuOFtujcd7+3B2o2
SNufBnga7lF7R5WOI3EzUlvdNQM+ad1FVBm75aVK91hwPX20oKnXueZG2QrvOhn8kZuQisYMWZVT
u8tSiNfcmywD3MyFiSE6aQcSt7fRcb7tVFAKYbYGC3FR+qG2feJdNE+ZGYAisqppYYDnk3uLjr03
lnZf48FyI8blTLdUiIEjCS3wmU9xZhDZqzvQJoJ1Lf5WwkbmjvV/1VcGiFpfknJFh7A4tc4n970i
VlnujDsbXamxFf03DNvaCoRUxq0pFu5GTYS6nuAdIq6LTGrBQu59ZJtu6+mHu3vjHtkNmWUzqaSI
FovyYhfH8L6JMfV1ONzndmUJxGx3FpzEU2qFZzBupudf3K7Yjw0bt34Bg0pB5sea1k0w0+75hK0v
5/vGeo/M5HhYSOGddH8sTdl9e37iTp1xXBDCwFCQjUbeB4Chs41+3OYbz4Bt0aysv+PHv69cYb+X
sLpV6vEde/eMXjXFLd3ieaAOddA5hajtaXjPLavfHdECuvvZWw+Xh2zXoSP1OQSHDxg6dvNOvL/r
HWw8T639yzjsRk5AvZlZxRpWbYmG0MjPdgVFTasL1SQuSCXsMcCcHka7SWwSuUJqDgf6cqyxbv30
yMsvbdak14KZJzz2IW2l4EOw+EjMPDIx8PF6FieQLxy7N7E6Y7Sel5Lc9ArXUpm3XAUplSqQDV2R
GXy9P2eXJLCkDN10KudpbbqFa0nMK86iVgNT0iKJos9dtfLW6nGXR8WRzvrb7Xe82Qe6EsZ2CoFX
u1OLBMJOGEEKKjf5Ht5r1yy0u4NV6LA5lbPHSrDMvnPuFOuYO3s8bE03eXZvKdCyr3n9O5jXLIYI
vIt6OXQd2sIlnUyrPC4sRrfPuxlJr+Uwb1cK8mrM6IzzYozs/r6yLth6tdMtxzzCti3z2bHFKx1v
4cVaJhOydG3Rh9WMs42d9e7GKAagYfvI5UjnqehHI84KNio1+X8qemqflN0bKAcfDYtnqRcH5NaH
YpyGLJ4DDR8LF0jvz+cEs9jo2A3p0tb6i1+zXD7HLWmMXxD3RaWFPqT5tYnp+uOx3/0oj48c7dty
89YfiEEUGvVt3gaSdJWTg3BBPXoOLV/gTXxvDQhpazEMhJCOyn1uLLr3gtake7QmHS7mwzcH1Epg
FDrxCal534pBknmU4iZOl291am2bgPjhGf3V95UbEvTfcrMqW77r6nxsE8Y4pCkmwCEOLErUzU8Y
kcC+GTRH3H7DmyVETcPUk0ZUWSKs7yHNJJQUMBhei3mvL2nc2Jrfh9B+PqKEH8P34GZwtjzltUQG
nVqpEMJCUuA1nmo0EQtoWEAwiUzY46PAKWhv6uLqcCxAleHcdcOiJLhFNbcILvHl9gVu4tFKBINH
tdYL2DYgS1ehM6sz+QbGnc6KsPD2v7JkK0GLfq4AKZ/FNI56nGWw7PShsOraXOZoT1xWti2vfv19
GFBqg1Dv/Qjf59T7Jrzs4x22Oyf3j08LexC3ErSp56tjMaAkKEIbj4IKW6X/LN8kLITIJDsRbSRP
uLyJPM1joCkM+1bVP9Th5H6/n80K6oAKMugNuNED71gMPFViQUFwgEssbbAUzXax05+FI2CCVyBc
XssXUF/dHwNLIgiiC6MlS8bw3F+ly1G2nxfLe1vLNzNPK6XQmJ6wooxqI8ohBglldfd6/v79/oAx
DKw69RxUJJ+tU7i7LZKHTCwDZJ8IeS8m0AwwQJ5rhLKyE9ZufHcqYxPB0P/xIjUGKwaj7hQqQtzL
q2CqB3QXoGPj9pE4cMS2uYR6NbZSDBFhbA6/RXRNWL3M04hty4iKsb7MVOuEMogUTFgkk4DxFxGV
v4NtPLiH3w+RtYNhBPmShYWk/PzZpse5ksmAEzY4qm0YaHjFGP/63nvTnQCKf57v9+F0fVX2v0dj
oGlsRzmsmkUMRjdB6zebpYvl2shV+RavuWYBg1uyGGDK6qE3MkQPV5DxSxffPHKDvm11+HsaBo4i
uSZSWOkL9CE2eT1XznkMQeqrnNXX7L7c/dnzvZhtcP8rk8El7DiqwV+PUyHd+FrLZhuaupP+CErz
Cflqjm3cxtu/whhsmuVWC9sUB1yEnaPD7de0mSbW/q10mshg0tgNcZwoOIvuvqOV+nI55PslG46+
vwL73SyOuE33eSWO8VtKQx38mUCcAG/idXDKp/RUv4DLxeYI2oJ0HcXRhRxZRfMmoxfiEObphG4M
jPHa/ttDZiOxj7lFjpQtC7WWwmjCiCmCJOsgBaUEiqS+ajqKg314nNNs9hSu5TBKEKfVoEwV5Hzs
kQHZyPWAfljM+/74gUXqvGbQzebUlTjWUCXyDBr+DOLAvWO7AfyJq3uvmx16WM7TI5oVdPN+GWUw
L83b9FAS88GZvBpLUzESvM/Pj9U38B3dvurNJMv6NzGak2EldBU2ywcd7fMVE/Ym1sGiaQiIDDLS
X9TjvDt1C7vWAhlbRkY9UVBjl+F9yLtkMtXv8A6yP6gwDM753ozOl8JK3evhcgGd/mjFL8jxEQsM
7RlFI6sjOU5u3lmonfFY+rYQYf3DGNtUklGQ6wI/7KVGGwjl8w1u4dtaAGOIprwrurFcrto9N1Yq
msruf5kNpTeeNdpMf6xlMdaop2PeiMs7RdMqBgeRAcntwxWEt+Lbz/ibZhaHEuP2L5XPa0Hj3eLy
76tQQG2HkfSLjivYOU/vUue2vm5mI9cHYwBIztKwmT6+0un1e4jlzxfd8aCtMTbNc9MSW1ZQ1ymV
KbbRgT2AuUW9lcRphMtyrbsj+Jxkt10+mpF4hs5xYjc9yrUo5t56sWunHCMx1xM4Br9/z22w2jh0
l9mYXObAK+9UzBWCejgcSQ5R4u7l/K5eE5eDq5utOuvDMPg9kxZj5ykklE+9g8mChVCCowfbJuLv
p2Ggmy4E/XoAEfaCG1jYekCDDr8HdjO4WB2F7Wob51JVYtov+uy60/ka3v82fy4dTphZ/TPt9/GO
93n+AyT/+2hsB9sMDqBRnDtYpdezC85FYOHuAS7yMrjHy3hs1nfW52Pg2JeNXhslnA/EGNfiMTCD
Yxqiud5ELXCHdYvWU1mZf0B8Ljws3cy/OLq4mctcy2dQd5nyiWcZ8qcdOhYAimhWRRTAs72LOrAe
81oMg706aXV/bqEumHtpzODcLvUSjk7+B9D9++EYuEgNsE3EFc6CNAi2ZptJB1LJ2Mxcu9y11vEP
xuge/0TYDsB5C1ve3/pwDHaU8NXrroBcqAsw3njr9+J7884Tw7tDBjem8V/Qe7KNx1dqnrsf7V5t
0ZUW46uBeXi3dM9wzrYVva3PxkBJJo1hKkc4G5YenLHsrzDDH7yD8e6PwRJN85OyXIxlYaYPKiog
H4NrPO3Ydnz+rR0sXTOp66QzFKgg9Jy4h/fkiKmB2YO7Ry087/Byd7S6k3qST5iR4Nwi54QsfbOW
EwGID0g5udIpOFKrciP3BKpFjpxt6//3jAyaoFQsd9KMmzyhkjm25iAsTRQ2clmg0HzPWlTD+fsY
NycxVjrCEjnPdBRF2uF0C2saeo8+iAqx+wzjGD8fdt6bEzofwxgNN1DhPAl2jFUsyYTS9HKv42y7
B7QWgnXjSXhY+vvBWM2txvO+I4MwyTBPeqHgftGagf2xyh572BsLXf5vy66GwEVnF3ZQ3/6oPHvE
Uj2nsl4iu4FDYjYYNJCwtdffO1DmeA5G8nlXuinNkESDKKqEiFZTGQeSxpngJ8sRz7OLFBG6DczK
/kZ2R5wQbbcm53RbV7qW9+VKW0NNlwAITHhHJA8b84rWcHtSTGLdie7RwqAiRSMML4ez5YVh+lmX
ibI4l0T6fE45LcN+wk5nKK3bfdfRoF7ynv2Wdq5FMK+RxFUkKY0E7bTt+/fBfeKA86ZztBbAGu+Z
BjJJIQA5ryXIQFsG4mfMPzmYOcE+I468LQRdi2NUQyj6qhUiXJlRm32AXvPfHAGbPa5rCYwydCQc
Mf4BCagao3L3bmaLBwQSwdtKx5XDWGzQkfV+10MOIvtXMGeG1nWnP8L1AX8BR9Tyk1nPZ30kxmqH
0ZQizfVxJBvAmLrSDqx5eEq8jNpmaLaWxJjqrq5C7JWdF3BCt6DUgKJdbRfkD80jmH1tPtv9lnOw
lsgYbkPvixpJFXyuylSvcOj4Fo3zTNmcTdGWYUIGiOiWBj34jvDGkbH+hh6Jxz8vt78VR7/ZqkJe
VkqsRyMucHLCyDUk/kLobbT7N+qwlYRCyJoi8/GNSOuI9UsS7/TRDAWrjqxKApukntqyXY7X2wfj
ABFbXCjqiebDcolg64hBS3XcW7xtDpu5vJUusHYjzTGNjHe1ZDxeXzVLBU0loMhzousdtjJztX2z
lLGWx0CF2iWJ0S9gZL9Kr+KfwqwP9+hUzXbqYM0YL9ofC8l8rkLz8ekX96nxPiODH6SZ1XmYFuH2
gN1NC2MjDze2XLn1+VjcGKsplUVoCkYnmktjLWvVsoe7PVbJosuZo/k8QNQY7Ognf5LTcNGQ1/MI
akb3atiXnTnunn9x3JnN5MT6YAxoNGWOrbUKXhnY3ZV985O8/bqt7Zv+6EoCmzOYe6xMwG5pHOYM
u6vsIxPDwU+XZfIEbQvo3Ns9DVi2euJVdjlQzyYOcjLOsxTjEqPdI7cZkgfv7MyspPRJJXb46y82
+XkKD8hXoxrZX1VipSno7pDm4VbV/oM3+G+8YsfZwtQ3iBB82BTkxbDSBESw74HzBs6WH47VHHiW
mQPB7ACtAurxUY8Xj6Z+iB6eeHzSPJRih9gSSa9TNOosel7Av0icbN+YZzMKTCUw1R588V0CJ4D3
mrn3yABGmSSjAkqIRSWx5Xreh/ayuPsHlg3vH9G58398zuzCJ7EfM20u8QLg35xdyb5W2DdMsCn8
AKj6xYMqjo1mdzz5ZCBVLH+8N+Kev4e/gsfkIbkWB2DV/4eHwABIqclBVo2LOBtO4uv5Rdy9UjeW
rKAw/QsKYhG2Tt6GFN7jY5MHeu3PoIj9QGNkXtz7y0697pzj8WNAj8v0xjEvbLqgMiJlynWccEBT
zev57KPMXDh7GjuPvP0XHNfAYGKUKmvbWVU+vp3/UHhID/DqOpuV+RUcs+mB3ijQcrCEQWCLR7AM
RvU31LaeUC7g2ZbNbOpaFBOhJFlVTmqOZ4aeLhCTITZH+jbAEtQHwzNN7w17UrCtB7t6lsVAPCoh
Hriwy5/QTRwGsoSDghDCTe16v9tZDjqkEMEsnRWcIOaDOflGZMHmBXoS9ySZIK6zkKhGahwbokcT
I5YPO/Obl/+A3/U0fXtKH8uFmZ87cbZJ4rC+bMZDSTNdG3Ud8hMzRweOavuR+QdBAOecPIfBYHwT
sM5EgqAs2InaeuaE6LXnpae5OspgyqQJOrYsLTqKEGPeK7tndI7YXCPOc03YfU4SUp2RVEFO7b6i
eQRx5zVFJdq3L4fWVG0TxVXLsfaJYPGSETx1oUzCowfn6JwoEP269OG47wcsQYNVGPfLZtnd+Oi7
O80csTPFs+4w+GA2J8H7lQ4mL+PDIA4UQsaGKZ0SouiqIn7s+1pXKMMGlKBF3Xpp6pJq/31KwIDV
KNagOhGvMYNxoj9kUeyxEhUqizohTJBAirkdJ7/tvEREJlSiFs2plblqMFm3DcQCLKu3uAhCk4ku
UqTNiETYaVl/bMB/I8md13b9S2BMmUupoHCE0I2r00RjocTHzamg/Pics+rkqSyCrpm9mhRCb2nK
lAZWmvfqe+qnZWuTWMiVuxE7cNJTHMfdhSqhQXdJr6X6ufALlZhGrRizicXKYWc36qj9UtqSlI5P
9Oi7QWJ01KGxGBtSRtrO5oihhTtlGFBIqQSpumR1ju0pbVnQl2IMlT/FVFQ/QXgw36exkVzzRK4f
03YSnDTwM/AD6AoKkPLYY6WfUqSFXc7dcImnLrsf0N+ObLROhc7plaH6KedF8p5NfnSN/TDNTZKX
xaOfzGpqYdBaOysgrAVPdl+HilXVUfgaJrJYmX4/iGhNDofJleempzv0vaXEzfoiia5YXYeVdUpK
p3MNpmjVDSNZOI7ICL5rIN1vzbBoFfEsVVH62GfCnN/lkSBl1ixOQeuEla+iVSgbhGsgRsnrjGzH
90Fv9AO4RKdXAFKSmmLc5YWl5LXxI4/TtHKarOglW/CLNHLSvuuegkruRXc0lFiyMyJVMSZI8wKJ
oLBtsH2+k7XnZsYkotPkceGbkkTpjzAqSLLvxinGnr1uFh571LWQoYyqtrBpE0qtk1SgxTTnngxv
UR4U86HD3Wkm6QelPUxjkEkc5WMbRxYV1zGEhG5wzcCGj49K4urdYvN12MjgTfE0TNuNljT1RWOq
hTaErjjTIQWVsC5eurpAhiFLafTUFq0e4UKUXDX7rsCnkCraN5YySdkPv0xHaupJLHsyNpplFpHy
OsatEFWz5VIzeidFkhozHFqU6aaU6O3ZSHQxMyPE3Vh9reh9ZamiLJ4NrKRx6nKufnb+XFc2RQXk
t1AGeWLnvQHX3hh0iqGeRA5PQ0n9Jz3KMmEvdWnWuXrT1+OupXU32UqajrmJVRT6ZWwGUbSFiQSp
04/zVGBBVxPMpdlVio7FUnVtTJx5+A2s0g1NJliWIAFI2CRNPPVlmGvT4A1aabXDTlNCt69+C2nO
i8CXtDADVkhsq+D9pAaAxGAMt4HmWWz4CEbPiAPpMgvaaFLaaO4Ul6KTw4cyo25sY7PKDfRECUCK
ztcFt9BRUxUJDZxBreLW/McIunBEgCRCJ9g3qTEWeFTGRGvVbPTQETZZii6An0nT/twWwoSX0GFF
xSgDjI+swyoQBkDHrmuKLlJnT9OJa/SFFertsWs0pM+n39QPOW9mSxwRRQPGQaO6zFr7edZ6tZgD
0Ss0g9x3vhq7egnlzeqpfyiyWbeUaBSd22f8qkcwQaIqE0NTwfPBGonUaPShGYXZi8qYOqTrEOLW
RXckjVrYBSES58MxWY+POyUiPpmqSToG8xdtW+FC32AnsyiHohfGkW4FgVqeaS/0NsF2k+PtozGB
5v+KkgxRBEQbsOiMe68PikJrORY9EcuMD0TLf8itgZHLCFSEqj/Pd7kmtVYqCZV7WzA7K/ghGdt3
0XlJCdZEfMT3q0OKQh4F2GQye2C9t2glO6LR74eOPoKqxprU2JbHa98m1qwcoqIZzQg8/Gbpx5xQ
++PjfX66CpFEODKqqKkUrMOfL5uKSkMxRCV5KlFEC9ssFNnUB6034zGvnFCSdKcra80CVI7WNEel
ReO+cbOoS/C/jIGZDf3vKtJVq5Pa/JR1onAWxXl+bodmcLHEqbbBJ5oe8nqk+7wKy6ccDZrmlE++
m2dxdWcERft0+3K/+k44E4wLPh6cGsrmHsUykstG7kRPGae7Uq6+taXCG/bcUFKQFxGKawOrscGS
OJRTVHfwaEZvDtr2LMujb0Ofo3dd7nhkU19FqSJEqRLqpwj5PlIJK1XJQG5XgKNC9oqkUk1K2mnf
ZHNmqSjict7DligNekAoBs5hMZjISMy1Ih7hPXiUONpgNf5uyDiv+6vLiSuDvcf2HphVrPH5rHC6
SkNcK1W8Woyqk9w2kyP2RLvkmdKc4BFoptZprUVGLbDoPPUhRz7boISXt/wAQuC9Y2DB0BhjVdO0
JoqvKJ40ugQb002fxvaQvAuqatPJaYxyp86NWYqD2weFlU+H29q5/QMoMQxFpTiuztgMIzMUmmnL
DaiZ3Y2Bk3Qg+Bero67OL5L4XEnVIdcVLxaMe3FozD5qnNs/YeMzw/VS8T50VccGTQb2qg7yp14C
7BVZ/1xLanGM9dRQrdD3pZpz4RsfXIZ3IEEMngtonj9/8EHR4zZWW9HLRAWNuLE+Y0lpr6qunjTD
yyBEvtPIfeLmepxZykwLzmG/mi9VNhR0uFNZhtKxBT8jHAUf2iR6fSPRE5mi3oGWN/BptfR7ngsF
B32+2hTII7oEelkVllpkzJcvCeJcUSJ6UR5re13K8yMaAFPXCOT+IU387E7wB/XeKPSKA+ZsYmNR
bWW5Z1mlMji1WW9ERnJ9QPuf6KUy5mAL+jjF00shgOOsGzCPSB/DIrw2MbFmteJ85Y1TQ7RhIJxc
DBprSaNADUdDwKkrMV+cAsvv34rYw+5Ks9RLK2p2t1X4P5z1r8BFx1eoqES+LKsdBNJqMIXqLTES
t1Gye6PERFXcHKMwOuZVlZuDLnFkbzwfRZc0fF/4YggI5M+i5yRVQk2oZE/DigQb3K2SlWQ9mDmR
PuOI+mrKVFVXNSwJREOJhKzDZ1FTFIWdUuWy52L8yLp9hWwNYVGX9R9nbVhUdmBWRFHQG4sCQbiZ
j93RyLXz7Ke/xKi5QwOzLSTVoayiyzCHjvw+DP23mDZOIAqOn2CBqzibc/xHriYnGLSH279v4+Gq
cN3hlS1OJ0zg57Mbk6aX8djKHlFCq9cKK6q+xzky2JhGvS1pgfzPThAuYiWJ0aVuBidJPkCSHjql
YMe6KTyE6en5thTeeRjcF4tIEysyyF6S9LbYn1utdX1yKKlu/xeCqESA8BLcS9Zh0MqKNqNfy17e
0Luh/h63pWsMxCQSJ5O6dSIYUExy6wq6nlhqRRKPo2Rg87uXxqmdaz+KUtsryuAIic7R1a13gNAS
sRwoS0SFTYdRX9d7ogaKR+I23wd69gw/ot/fvrcNy0xkrJNGyIGnpskf7VErTJESQZOCNJE8pfED
azC64YBda8Fs1prcmUVEZkfTxmZfG3p5mMqucya4oefBoO0zVfWec71fD03ghQHJFWLAbrJ+bBsK
ah/Wieg1jTyb2ADc7OSqTzja8hXNCPwAWUV0J8oGhvI+P7Mk0WE98SG9rI8Ps+af27Y7BBrHs/xq
H+DAAioV7KhFVoKdM2unTEiWhLiXyI3TZoVblQRZvPk0ieMPv5IflZEDnV+Vk2CfBO5NNHS43uys
R6bSgfaqhMgGFLKPUtn0dpL72tHQutkTBm38xyqKKAquGzGwZgKnZKBaQMLHKOYabl0r56ew0Bqv
18KCh1VflUITVRWxOBwMONFswBbXeqFG4qh6RaYSu1WTZjcUwT9/bzqyXAaWhkEpKPTis1KkQp30
YQMpoZoROxmR0Sm6zOBc2VfVgxRsv0WGmyKzwPIxzXqW+2OrqJ4x+pWH0FF6x9unj1XTKM7tt/0V
4qHGkIYUn0bgBCqfD9Rk0hzFaUw8oWzjHSkzWCwxF/dZKiu7Ke6nl1DoeNZ763wKonzYWWTZjY8i
0QpPRl/3s7xoiRfVap/ZYRfHkykiw6yaalMEhGPGvqqGbiBtQoH5AEkEN5/PWOQTVpIPFfHmDFQK
Rj93bte0PLaQrUMhvUkRiiJfoLAxIi2Tfq7QBevp4J0o5nuaBHspljmotPW9EL0bCgjXdayFYYpL
mVq2RG4zzYuMqLH6Xk0PWqoMe8MvQuz+RDGgMvqAoyQbR6O4N/juqCgRmTJaX6ja2NNOJV6ilb1t
hOF4QoRYmpNEW46oDf9VhyyK9dYywhOwr3z+WMpEklr1KfEqQ093RTYJpzRPtL0m1Z3X6XVwyNOw
20+CpljqIMenbJwkXv/5hsXTkfZCF6eKRKYETf38K6KxD9C5mmseFXNEBeOxVQNHzd+01NNyySyk
1gw0VC5MJXvSuUHD1n3DnhtLmlpB3mH599X7KGsqBv4sEi9M9MiMm3C01XAKTfjeJee+N0Uh1kat
ECu3EaN8FhWMgi50naF5hhYa4okozTg8xFOUyiYV+lHhkMF8fYoGHFZRUqkma6r+kf5bnSxL07BS
G0XzhML3r3WqN7/L0Rc5Ju7roRYp8A4IaoULrc7nQzWzJgBdRc2Ta6P+IfdUcVMF5S4zSpqO8yA3
TwQ/D3uUKCCUbW8vdIGkqZDqHm3DAXQwSjMU7lCg359jFDYFabqGYq6EKItt/pEqg+RNjy8FY52/
pL6e7UVBLM+37QHbW4HgZ7FuqAsYyErgCTIA08Qo+BRa5HsE+4tfaYlpZCNuhPt6qPtjNxDxFIyz
dMxHYXJi8DO6SSxmuybLukslpQc1BjWkmPipo8eVvzOEXv0utkn7LS6n8l4PB83u6zb5paO0yIH5
ja+uGKpqqPgUoijRBTpXuqUPNUL/qPE9PQt8qwiQTtUy8kTSifPJNzAKjxPaBdsF/56wLKqdPqIC
S2Tfa2G+JFMSw/BVg61OHeRNop9VoVVXNeyq3la0PsxdA/wwL30CpgnOkdlp2uVrwUGFOwyNQEmc
LeYUKQYuxDg0PN+IMUgbiyNInkEnaBtB4lax7u9BvejbSQa3rh6E2mkn/y7KaH0/hENyThPjRa1j
5ZQC+Dlh6sbngPsCf2yhrIH7zHgWotT1tO0CwzM6bbpqAcqSRRaUjzOSLZyn8dUoIpozYOGhuUjH
sx2bbbdkufIyOQ80s7Tsp9IGZt0lJhbYmn75j8GFYlZTwgtECC7jv5/VbFKCpiOFnp0L406jWDkx
m5rO2bz79e6WkgOyg8iiA6fYZDCOgupaIifnOUdlNhulX6rUz5YWIGd1+71/iQYUpGqQQaE4FCIq
toilJDRHM1WRnn0Y0/s0iZbUa6hbqU/iI55O796Wt5jvTymFpRGFGEv4jeogsOzz7YWinhUdquvn
PBPVpwlpFrtXOx0EdcPv2W8JulPa2ZZChV5kccw50r9EW5AOxx2JbuADqhOMYegqv1Xqti/OfRKo
5zifZ6eUx3HXhO3vRAij+yIUayukifR0+9hfNHQRDEdXgTcBW8HW7pQuU4I5o8V5rHo6m4oSlCqa
F/xAMicZ9SI3m9v6d1yO0z99hRAMgEKmGbEe6j7MK4yEuMGKl7A8d3OOPhN4lA7UKTKNdGg5D+Mr
LC6yiCgR2QACo+3o87eNSR7LqZKVZ1INvp3XJfXaEW4adiBID3Mohn+MPlaPfjvGWGEaRPKDBPqG
/e2bZtezwKfAr9BRJ0UREbDzQbO7MgODEYRoZSjL8yzV2pMqoG1FJOPSvaAruIBuPsfDlLuiWHRP
GQGbuxmlyfQIroXUnGmiHVuB6G7r03c5mHN3ppM7arVgYVav/HH7t3555h8/FRUHFF6QaGPRu4x6
QkHqVZ4TP1adVDbucnjZuzI3lPfbkr44D5AEHEY1U1RE1NyZcibKPomkCaQ4z1SK7ErrUxMJhoyD
w1/BZHldoHJVDUz6oTb3WQEio/GrSKsUVEB9rDet+lxG9rfWsse2EePB0vKWjIfbJ/t6hyCIVmS4
KkttE211n2UiFp9SvGrNq9Q5mJ/yKgF/U47+ouq+HLFy0vmn4lSUhUVoFt6zQUXmiAQs9XPbpYaX
DB0arXRUbY0z9oyLxIzEMGj+cbfG0n6GF4W/QGHF2FxXqdZNJUyG7gVyokSmLxoxllJoNAw4nvnX
e1RxJMiQYD/h/jGPFyoz10keGd6IFj+LGDoWS6JVLHka/JBEHEX5qo6fhTFWABm8kIBxGrua0d9j
IqLCQrQxNv4x2iN0W1YZwtRgvSnrmhtNEc5ZL+heBK6CnTLXPcCWSL0ZqQv52/A/pF3Xjty6sv0i
AcrhVaGjJro9M/aLME4SqRwoUfr6uzT7HLubrdOC97Vhb2AbmBLJYrHCqlUWnAWj09HRpJnpCsjo
2uDDDUXGC4UYOAtwqQW1jOjYDEbihJPN/aqPjoQToAPa09Qr21o63dbKhf0EnbBpWqqi2/JVrjLu
xnKg8BBDVmej5Y6GnEleZ5ups+IuXGmJrs8xjgMpsjWnjC6XpdsY8tnbVRnKZrojFt5r9MFLgaOu
1c3WBAkvtVnbGsawlGWYmb2vFr/K4cmqyMpbcbVtWA0iRNlQMKAArGFCrBNFY5uQiJeADXV0Q8vy
VMgsX8nwLgr5gFshce4gQrncsiaRMimyrTJkPQGQ0YgZuZfjoij+9k7Ni/mYUYd0BRJ6wtEYToaU
kWOXIY9JtB9yh3ioK7crUkS9xqsOnYYbA1CXjEKuYG6TLgdHI0Kjozl6lZJ6DCTtEQ0aa9zy+C9N
O2QBpoe52SoSMbiYws4N5mgZlREZx0x+tDvu1b7Vdf7tm3PlLnwIMeeCn4MECGAkl8czZuOcqXDM
o0xNCRjWhL5MulW89AiJDvXoxG8dYtXDBIzeNtYm4tlaq7/KzIyfTN5kWybZhdvocXsoqqzB7F/9
e1k6WuuaVI/NFYdB9F/njzWAAjFtYEPx/Mync+bbIL6LqD0V5jF+sapgY2yVoL/rv9zeEhE7DwAI
alPINOgWqgPzRClBijaNjZ1n9hGObO71uYNOyLpWNoBkgxk2KrhfjE0ddLy2fWqT9N5sW76VOrOI
kRJk0aFU7TrA5NXk3sKI1ztLIuWpk8vu2el5v4NkeT9NSUT9po1lv+sUB8NDR2a0gW4B3+0mChC9
K5ZL9E2wKGfOdNsWMJ/ImwoGBeDqfOKTaR91ULGX1VZR273EvqbIb9zevjVB4hnJI3AdrWUf++kI
aIOnDZqbk4e0f/kXcvCMIkOIrDaKmpenNKlF1xEdcixjxAx7M3AK8rXS64BP1ua2qIVLj/DwjyjB
tID6o5TzxLaPncMeo9x8sepNN951BliM1GHFXq4JEw5KslIwnJRYFzjzpNi/k5rnXbfWG7F0SA4e
RAUgP2i5GI+pGSNaD9T3MesnzPXQ8mLflo29s0d2r1ujsnJW81mcR72z8gH+AfoBHBW8K8G5knst
wSQ4iBsah7upWTC/UckaPbXIy4QIQtFm4LhiqbOii/ilFDkv6oDmMBxUUtUeMeKoCvqk61/buLcw
Odoa1Pd2aGdbOmYJ93g7MubJXO1GLy0ddmK2XCR+Ew9x7CKvrsVgtytTXUPX5jh96808ezJBVK4F
RaqrEdynWFO+y1WjAaE/smawfRR9EM4SNa7XqmJXxs9UUBKbuTiRmwS6ULhYuabzyaCGdASEv/7c
W665kxVPotuoXbnCV5EsNhIeropC6YfjKHYhVq1JC9tmcQgCjm5T39du8W1s/AMYYdfenyvVAJgX
hUsVqTIE31dwbGVkJLIUHocOBSant5+A6N/pjYFhYoXkdsrXvo79UqOojOWvE/4XxXXXWR+M0hp2
8+rmXX6KJQSJOdI1SkmGOOykQy5TuHb1NlO31mC7llRs/9KmfAiz8JwBJA7iQUHY0JWjkXRjHJLs
lWhS0I+/+uSUldmx52+3RYm+JE4TM11QuLJwmnNTz6WllDoQcbaAh4cKrX01OnD0OYzJw20hVxbF
hPuAciY4G+Ebw6W8FOIY4CWTS4uETW7fseglUtLtkOQ4qpXI4gqehOVAEtbi4P2FHyAYyN5xoijJ
OUBkinQ0LAxm0xBndLVWfhpqbdymvORBphjxxoyV9JEndrsZEzt1h8Tut+jHUZ/kAbD1UoFrXcNz
eYzg1j+wQnsue8d6BkAZs85u747IEzybJgfVf5SzZ0cbjvDl9ugRekfIQGiYoPVG3ytxyI096r35
o3NQMGTnvf0RRf4meip+4ptvC59/9oX1/ZCNCBr2F4cjZlPNIkpaBYWJkOXIuXltGU5P4Kxw6JYP
br0CTrkqHf6z0v9Kw/yty5WOBBB28JvQsKY/krjek2r01UnfWoa9sRx0Io3HPrX94hW2NLOmlbUu
ikdxGJ0AqAaiUiyIr9H+04yyQUMl7129LgFKi1C+NHoXrUpuLXM8C8ajYXyJm1fW6n5CgdC7vd8L
dsQ5/wThKpRKmhqpYWK/x/eYvliYURhJft/JnraGtFp4ExBSzcBp1PnmMP9ysxNu6RXibBpG426o
f/FocuP+a44uRzX+bKRrLdbXl1xFvny21TqiYPmjdevM/x4KrcsalSWhQsLeNj3w8fsFMOFG/u32
Fi68QJCkIvwBtAtQfTEssSMSqxQedNhvDFf16rsMQ60T0638dkVhr60jsmaALSAXDxAI6ieXWzhI
lWyXuoZRroM6d1y4ufQ5XxMi9jDj/kPKPFkLh4QknViSpUo7oYIYk3AIeBgdTO/Z1IPYlzD4kK68
LEuHdC5qVs+zQ6JZ0bE+g6i6/ClJXvxUOMeuWYnErhpV5gUBUGzDqMHn0sSak0nHlpRFS0J1Wz9r
b3KAbjy3sTZP9beMAydZfL6tEUvHdC5POKa0Hg2VMsgrQTiVVX6WoPQ0rqU3r03l5aqE+5QaY0ul
FlLIFJBgA4yTEjRPzk99Jdso9oF/6MMcZsIiW0jgig64ZMWaFZkGQS/Kq6Xlj3JcbksrebabdFNN
jkeK1mv0NyeuuGt3zcM0Sr9q9KFKbHd7XxcMJiIoBIYIrQFLwPIv1aWGG11ZeU5D60F5MF/sH6b/
vfTlXePF+H1b2JJqnsuaD/lMNSc+Vs4Mtwrb4lCpaGiyvjU1cwe+NtJlSVtwn+EhIOBAsDvbzTNB
GamTOrMHGpoYMlUMxGUGJsLTFZ/nqvw8XwK0SiDhb+EXIo9LMTMcIC7aiYYoOD/RR/MATGj+nD/3
JyWsvcgv08IdMfTs73cRYEkL7QRI+yPleSk10TG8aNJ1GsYycyX4Kmh3dpGj6fUVV2vRas14Pw2t
jBjiITqpFuJ4BWpKwjdjY47udBwe0S2JsdoIgFas1qIenssSXs1qolzJJMgavHlM3tfWfYWX4M5D
Q4eVB3reoEuHCEWas2WplxvYNrLaITtMwjYwgn/1wwGcQkUZCBy8Xpc/XFZ6NYkj9Di0tHsslRxs
ynDM/L9XAWByfwsRVoDoUDEn3sCdNGLXrLqHSivd1HmKG3tFBxb3Cll8y0GYdk3Tqeo1d5yU0ZBa
OXUbiT7I0rBW5Vl87gG+glMxc2QCdXy5abwuq6bJcF9HtefbJlHwTDqT4TcACKM8YX8fQcyBmqmR
BV3BnSAaHLqiFNdeG9qAAPEDVQSuMmKYy09AOM8xnkyGHSQGJhY69rFBG3qQyNqvsa0Mn4O9ZkXn
l6wURuSgYoyaPDwPwRxGE6YfR+l8kamzRbJm2iH4TT2KGVsri1swvPBuAHMAng+92GIZ3KxkVg9F
nIaK8avE/sEl0NLGmxtpbyvmwpIuBAkHGSeMVTqVaGioWQCM+iEajBCEGMFtMQvv9Bxrov1FmfM8
ogmM0aXf5yRNQzI4dVBFRTy44+R8M2neeihGJi61I8XtCnuI0eU/rEKgltf55wOEo5sk0iC4KdOw
VeQ3VZK3TDYeslHaRbI5uNzW76mpvdZxvRtZG7socQI/SevMyylLfJ7lskuATF4xC0tfNVPqzuEA
AAhiAboogcUDu0MaJo3hWpwG2fRsVcZKhnJJmVBuQ9UZaT0kiYRYtqZawoBhm9fe3tX1e6I9KCrZ
OUjU3D7lpeVoSJHgoIHNRK/P5ZUkyEMR2cmwHK0JFHCMwl9o678u6ZhojzuTIhpspllD1OZpyAIT
GIik+Ky0P0v0WH++vZpZ9YVXBxUqY4bVonkDfXiXqxm03qFDM2WhpDqF1/RViZB0CG4LWdqycyHC
Ykajq/S4lLMwyTwtUMHy8/c/30K6Dqkw9IDD/blcRB43WtsaFZ6D9k3NXqi6a+iv2yKW1AuVKMSY
mAcJGgUhflHqHGO2nRoi4vs8eubpnkW+me9vS1k6DYBg8dgAVKAaIktRzSKj4QYsolZO1U80r4H5
0kCf84rhXYqTAIz9I0d4qZu2KqVBSdKwesvgDUqJGykF6GQiV447r6nlbZRnh6yq3WkMMyu5LxR9
5b4uva4X3yAcWtlmrALtFMaZgEHrB6pW5k/7S3VsbD8pg+Tp9sYuvKNoXkb+HcgNYA9E1xtRIWmN
gaZhKYUjyR941nlmuxvSJEiqtdasBXVHAhWpApQD8YiKyHzWED0GjWMa5nxyO/NX3BZuZhkrl2pB
I9HCA/Qsav7IoH2Qmp5FE71UJ0PUjDhD+5ucdSjLbMBDg0Ncw7MuLgfJYHSHAbFmyoJlpbHN6par
eKZZ46pl7E3TYSzWMI8Lqj8XUefup7m7URMu2FAXpKWWBbNqm9DG2JPb5l/sGI4eNWtgd3Sg6y/N
RDa0NO5aMw3r5juZnvqe4HnGoIzm021lWzoZNOahbRqqBsdN2DCTRjpwwQ6WAj9YGxLwBMWelm1B
1bVykZeOBoZixm4i4AO/y+WKUOhpOOC8WWjkmBqlvzpg6rHo30d2s6mYcbwz0YmIcU/7uo/yvoUQ
E1yyduDED0pyV2dr6JJ5W4SnCKWkGck1F5OAsBUWg64S3uaQ06aRS0gaNA3Zp2btd2hOK+NDwuwD
GiFW3N2lEA/y0NkCtcCLftU9lrNmnAYFj1OoPqFjgLnytniwwa7isx99CkjeyqFdp0dn/MQfgYJ6
VDJFg1U6CzypQeZLn6egCLT9bR1cEjKj04CGQ5CEtsLLzUyNSc7zfszCSXlMuWt5agW83+aHXr3e
FrRkxw28isgfAuePfK9wqyi1MT271zI0q7h5YBfP6SZLXetl+hmn3rhWs1i6W+fSBI0v5KqWkDeF
MvYxUOXf9Ji5vdx668nR+SeJ6nguaTZYZ/Z1KmMlMSQdO8iOk5Xt+Fc8jcUQdKZXpl6fHgndtJXP
6kO6ub2lC4/VxY7Ot/5McmVqWs4dFV1Nd1US8qD90TLX/vb/EyLctj6eJhJbODbebr/S9/TLVHrR
820ZS+YJjdAIneH8A7IiypCbhDljlodtR3+UaL5pJ3Qzma3//xMjPB1SK/NklPI8rFpjVxTJfsrG
r5ZO19ympeXABfwAqyPKEA0hoG6RVkxpHg7ognYZ2ms26RDPhQZjLZu29Bri/QDIaeZVhGt+qQJA
jQAApRR56GjU9JQIjbompnTc3reFuwTIPSIy4EiRGBI9CB43joOZLjC4LfESA0QCreqhNApM3Iqk
pcwyOoFh9BQU71GkEa6tZdd2xmyehZQdWJu4RnevZq91uWUVkBff5f4wkm95/I7Sc60Y3tituReL
a51JfJDMmXl0hBCERk2p8QHqXso7C0FbRTZDROaBNbf3dKGmipAQNRW4fwCuoWfy8uSSFtyO+JNj
LLO20b3J/5YfuPvT1ZC3LjBLMkV5ZUXkgrJciBSUZUrjMdUHkqPq0W/kwxDIAXGTzn1UDvWebzHd
fUXiwkWAQHSPOwiGgPmYP+jMQClKaTi9DNMYZfm2BB8YqlNS8nh7WQtWEPws+kweN5+XyDzEzAp9
H12Uhammo3V3O2UYEaE9ddGL1K6kzBceS7i1YO7Q0X8CnifB4HY18DlGittWgPzG7fOYghKQ5tt8
1Pm+Yognc/Rg3hF0YP6LnUQvFpjVkJZFQkF4ppGsUdUcv0JLD/v+Jwtp//cAErSbAa+OGj/0EsRp
l4el9VFZJXGShKz7VgGGLxtohWSHHK2rDgrRtw9tQTOQkQVwBPi3ub1MuOfgMGtNaRpJOCWVV9SH
NtbdZlwJ5hbuMrxDuNAA8CIcF/OyIPnM1dTQUQ/Tn/KJ+bLxy3RQ0/h79Mjc5/VHjqAWxErgGOoo
h1nGsxlZPpPeafkMUPeKzVjQdNh4JP9n0wgdFBxCWzF4A9paEoLyNLARMPjEUFCaV+B85unXqa+U
lWNa3MHfEoEZvtQJvVW0Cn0HJKyszNMR/qv0uQDHqilnK2tbVIgzSaI5zCpaKEWEkmIbAUo1yFig
+c6ZtRKkrMkRbKDDaj5TBpIwr1HB06hv5Agj14hB5rsi+IRwZJCe0QEdRIJOuEvoX4tSwy4AomgM
vnWUdNdrw1qYuiwEyEQ06wCVKB5OOrSGPFBks1CFncz4l5WOP27f0gV7h2X8kSAcSh/HKcsUSEjl
Nsj0dzD4eo1s7STlDrwFPkI777bApSUhEkZV/iPEFwkSmEPRAmxCIEq9DwWYEeSxebkt4loBtPm1
BZBphmhg8y5VGpw/EVdy2HCpsr0ySd2u+8bXaiPXGzcLATXczAYMbLogpG+tdGLIk4dlFW0yx7in
2mdi6seE84ck70DXYu1uL+v6pgLajwcCtVwYI9jUy2U1kaQ7wHDnIZq03R4PEX+M7VNP/9ogXIoR
ro/OnKyTWJmH6CAAv7LF7qfq3lxDya0tRngdSBV1SVNUeGfNIMsM4pIWGca8ztzG+Xl7365tKhY0
F5ZQvbNQJhYWpDpSZlN5yIEIeohI9dKB26biLZYFDG1i+relLekFqAaQQIcjjQKooBeRzCR4hfCk
E4rKPkFyTOIvNaaT1k33C/1O60mZK3Wfby9KZvBm5yZFkT1Piq0OY3orFuoZbfwWEE0fTF3lTmN8
jStoQRR8BzA3ALcAB14MEyxgq8oxUfowJZF+l/PsjdNY3UyWwba3t/HKTOBJByxipviYW5nETGMT
mapU130foqTqS1blJ9lKWmR+Si8M+KUEERuRR5nZNhXWgtsquYzJLIDEZjMVabcDeI96ktyoG91o
HZ+nXPl8e4HXyaZZPp541E0BfDVEZo/ELpUCTmgf9t919Un39orlgjwFGE8wZ3oNZgrdFnilmB/y
kMZAzIXijtjnZOelmdY21stbr/yZAA0FHnrmT9LKM3913QQ5sw6dRQR9HSVo+VQhh29io3Yt9RT7
jXavrhblF7XR+rMi4appTKdq5GBF0Pj6BcSye/LTCTq3CQhmVMt+ulk5s7Wlzf9+trQ4JkndA0AR
3k3fHxNfOfw1/mjeO7B/I/OJqjGesEsB8Njjdqixd9P3kniTV6p+cFsLruyuIEEwhmWFjGM+a0Fr
HjPQmkatAWpTMCR/vy3nOswXBAkGHt3bTK0NDdeLPNPWJ82jrrvdLox6t8pczIZ45do2NX6s0Tyt
Cp4ty9khVUYdT1kMwcaD6lSu7A2bpPZeh40m74zDl+a9clf2dFEPz05t/vcziVNXp0qi4NQ6+SXV
7vT4JdNWaF/WRAiqXkZEHgnVsZvaY8+/DfZdqX1dObHZ078yiGfLELQbuMUpz2flS5PcB+2Xk3j6
W9W6qY/GsGIbqSuGYsnEgxERDenwnxGTCmsCSzrVwL3ahzLhrhzhMdaqFRFL23YuQlhSm6CdmsZk
CFXuDnvzSFYe+7UlzDb37OQxjKGADCyho1/V7oH2zytnsiZAiAcTTZHaWk+GMEL2odqjcaBO7rX3
4dTf2ffy8TN5oF72dFvoyqaJFO9ZFwM6a8VDmBW1Xyq1VwKfWJgruK1FKeDbANHhnG2x538/27qK
gHsgK3A0EfdUF0CAZiXQWHrvQDL1W4CgXiDRGbK2S4ew+AHshkeNU5tv+z5oyFZfK0UsGh2EaJgL
YqPYB3KYy9UkRRapYBIawlH5Ks805BtkqDBhEWOgbE//ikNaWd2S9/Jb4NwjLQjsU9411izQqzRP
Jp71rQNLy4DRMsiQraj58lb+Z3UQdvUssXSwaTkgkTn+clyX/3r/e20AERJiXPRjwD0WfXSbWQOa
2aBzVfNU0FOW3I30dFutFxZxIUJ4kMqyqqwUZKehqnwpsx+4rnX50KL//1EpV67twiN7IWq+1We6
rbIKXccY8RLmWYtEx7tmf+GYIKKsxaDLclDsRSn2Y8bFpZzZuA29hjsEFXAG2ytsJPIwGUZ31jRg
wfPBiv5IEgzdzIChjBYuU1dSL8W8Hr2QglTzpIi75sruLdg8kEbbSKmggdoBludyVbE8qqNdZQMw
7swt9MkdkP26rQuLG4fZPR9hNPgMBeNjKNrUpRUUepAPeR1vQJno6uZO5/nutqClfUPCGhVldMGg
Li9ogl1zY9AzxtH0z1zC91n1ahdf5vyawv7ev0d6HOX5eX7EjAO53LaspAMhWsmBk+9PreQWSlDV
HvAm6V9Dk0Ckdy5JWJRKy3iQ9ZaHmHgAJiqNJh5rirVA+rqaPIsB1AB/UDmEY3y5INA9xZZBeh52
mleFchCVW1nacdOdsm29L9e6c5fsw7k4Qe0GO7dKieOoEi09mj8kNfbJ+KrGgaJsgTJeabBYeP4u
Fiec1oi8pMNTLM7oqZ+XsptHT/1fch8CpIaCHl4l4IUBpEE7x+UOUkfiBW0nfgKyKzlpRqHv7dhc
K1wIG3clRXj7ijTJiJYp/GS80WELKpVBAc3ic6q/S8Pb7eskNjSIssTuOZM2Wi61kJVKoZR/sXOQ
kn01v6pFSFBV63o3SXf0vuSf1PEeke1atUtEy/0jH8VYkFghcr8qXibErjVwvnGM5VXBLOfnfeCC
Y87Y0zt0/dqbl9vr/cAhnfnkV/KEq1aYhUVwyPykb7PukzH5/W4cN9X2V4FaXrEdduM3/NmRzYi/
pX229deGeX6MIbz1CYKt7OecU2tgrI8tf8nshw5NPmXRByXdtWhZpUcLjReDQh5Y2vlN+cXs3keA
9qZij4KhZ5fHNPlZ1oGJYYP82FUdvJPnqdimrXFvS5h3aA9eJT22Xb3vTOUwYGj5uFIPWFYaIJZs
ZP2BPxCtfdSZJmOJxU+YLiF70Xb+3ey1zfzfxOPNhqvb5ODfPjrB8v9zcoDkfbDUoqQjWK9qdNBj
qUr8xAFz0/2qrFHQiUeduAOYnP3IGidwvqFp/bbYZY05kyuYMV7HnamnJj+1KqL73ifFsDHgH+jR
Iwo8qZ5uBulVqbZxf8ec/RCDAMxxieqag+En5lueAvVrDB6J7qTiWK58ndiw88+uWKjkghXTRNAn
uK2ZjeFbU4+jaHTqmuRHVt0jv5fZqDrtwVFkDZLbHKLVooPImvqPXLAioZUF1V1k0C8tYSbpaEKN
cRpG0m+oCfYXMI2Y0ehWduFHzujGcYaxd4EUHRvkDJS7qjoha6GAA2JixM0n7WjF4PV6HMtDBWbl
24e2tC2IggA6Q1oVTCGiy9ObQ2FGlc1ODb/PMbqoIs/QVa4TL+0LzAk8xZU7jKGx4jIs6ChatDTw
AaKtBbRB4q5YdYEpaVJ/muSXVim3k7lty3rDizzQhr8LWOYTgCwQl4GnBKUdESjgODlaHXQbY9r5
Q6Unbj+8pNLGVJGVP6JXRn9e2VIhm/GPvBk/CjgLeOdEetNelwpjwqz405iy8hPnsRpUkIsWb92T
0SYUaBkG2RAc5ic1HqxDVmB+5e1vWHgYQdILABCYNBHY6ILxrvQsUxvi9KdnO1GRYdZdGU2U0o9s
arxsrav2o+Ao2GlAgIFJgo2TQSUpSMsmh0lFbg6n1ByL+0k3pOfM6iRML0xjExQqXXngDBqvVc3o
xx3YlgvU/YvRYQEZJzWUJhtDFk1t9MYIJFtwj6sNs6jtsa5mR0bsz5gbqfmWOpreZIHxu4+qwqsd
GDMMue0CDaM/G6WtthJLlI00YO6nPna6y0CHtdHlEanglmmwN4ZWTysmfkmRYfPAIYcaCAC9giLz
RK5jkqdIi2TFK/jXn3TpmzU89fV9q32+fahi3v5DsQAYBuIA9UWMGhM8t8zuBnCzlMNJjwJH32NW
6d5RMG8rqdxq+NWDdBBosNexHbzckoAqXiuji7Ci/3wA3GKM10UxUERZVj2LJ0uqh1OtbyJub1md
bOYRsFXpg/zw2Ez7ghxyVPJN/bvMPpUMBMc1JhqPbwWNH2/vxpKKm+BzxqxKTHVAGHhpV41iMnrd
qIaTFH2t2ffReUgrtzFdq7xfddCFlMc/60bhCbVwALeBqL6UBbKxfEgKNpzUjn4DDNNNLRM+GHkw
v/dS5WECMFNX0EDLh30mU3hN44arVan2w0mLpO+avaXRtqzwhMaHMmu3gLf4IwObjsLdqJh8tVtF
ywlxwn8WjS2eS80yWKQvFz1VHdgslW445fpRp/uahUZ2l7IHTOvtAsK9El06TXVUKEzo5Bd30xoT
0+IJo5Hmvx8gXK2G5bU+ztqmJVJgZLnLjWITPeogD2egFrMKfcXHX1vx/EFnyRM84SalJo6Zjso9
V9p9nTuhwdbyj4tvLi7w74UJYYs0YISaQ7Gzo9TulLT2ZUTllbknEncxxg7ZmnneW7Khhpsb29vX
5n/o1W/hYo414qo1jDoW2WWbO9P0qgDZdvstmD5/ancrTtfyCWIyIp76eWSDoMNS1CDJ3kKWlX+p
5V2XfiqA7xyftejFWRG1vKkz8aA2S0PceXl4JIm5SuRmOA3Fz4HcmWCqjhC9Fz7a15ALK6PNr7L7
9W82E51Y4KueyfGvvKeyK+SuxyVleLts0O1sDIRLFWYte5Lj9sbOZt2edbvk523BH1TFV0/umWDh
KcC8KjsrjQGXc9oryTOoKj9PMuAmFWwg7GAyzy8uqSsTDLOLMSZjPwx3VWfvHDh3Q0c9jCXdU/2U
1I+1/EmNGOiPt8h1cSTVmNq7qb6z+5WIcrYXtz5Z8BLaeug4K7FX4BbK9jYybPGw66S1nsWlrUFa
DSyXM6cm3D3BbiV8KNmEYRUn6twZmyQomKe1lZu/RMbWjDHe2s/ACwDm4exb+9lpTlKBxocpcksn
elSlO0TwZnkHIrNDA+zJI5+2g7bjiO9vn+DC1QB+R0YTEDjWEY0IX4lO5ESppHk3tvl04NGToe0x
BN0f9YfaWGM4XBaGwQSgG8ZrKfZhRGTiqZQbuIcFCJB3sTZgMoFrpt9l9OAXPV3xPhdOGmv7I06w
b4CMK6By14eT4zZhtN1Y47/avN8CRAAF5YaBWePycKqy1qtlMxiL9/gQb40JPW7DGjH9rJiC4p4v
58PynD0LtVQNejtiOUfD7Ve26gO3cuuHCyZSr7QuLXr8cJV+igCEU60W+RZ9X8S13+id33YPUuda
3d7GTYm4DKImHUie5qGJmoNKurt0XEtRi+nP+eXHgtFnB3QeepHEdlzwL6sx+tegm3L56FhRdZ+M
2TxBvlMtzx7G9EuvGD/h3FsHg7ZN4Rqs+Evg9T/fgD5JfADQr5gFdWnOe71iTqJBZav6KVGfUUvH
aHAzjj1dXQlFl17EmdzltyjBz6A1L51GM3E7auuhLnbdW4186EjaUJYO5Htj+PQuAg9LtDYFflGx
EDl8ZAdQ3BIsopZGUdMoEgSz0nYlZ8CsYk67NRVbcGvmsPe3mPnfz/S35UVFRzsaTvK4s8m46dtj
6fGqcdmXmG0b9sCO9uSCmigbQT5ZvCsrG/zRvHal42cfIJxlVym0yYwEyeA93/QnjN8gbhqwbet1
jw/GRtt8ldzJv6OyO/r3fbbrPL7tPEQR5e7pttVdvm66jm5zMCEDtiZ4CXE05gzVJCTksnuOOeXA
oMggE238rHmjdAv/z2315/qtaztXm7xounfYc+ex6MvtDxEJOf/R77MPEUKKOi3LKScl0kIPfem+
Yf+V5zbfdRaGE2xzTBbNcCLPFvV6xK3qEE7ps9JsuslrU+Z39QYMIOlDgg7V4i/ppP75MmTvEeDN
iWaRyLuFC+zYhPCT1pdvxKl/jN0xyd9vr3++U1cqgX6smVIejNFicGFr3WgoFOdQcEVCVhfkyZFM
fLMpgjLqwHi5hh9cvGtzIRG4aTy44l0rUPEYckb5CWQf9KC1U/o+JrRY6SdfvGpnUoSrxh0tyiyl
xt6lTA8xtDg+VlqSbEqjcz7d3sGPUUJXW4jSCpwdByPORYoUm8lFQzpsIfypftNtxoO6Vbdomv8s
bZJt9QZt2fDvPt3LhzYYx4dyG4ev6X7cOF/ZJt5XAdso22FT/EreDctr2R5/98Enssm8NYdgyTl3
EKj//lbBAoCfFYiCChaAqolbji5XkBWI7jDzJ1VV1653Ufzc3f2bTNyFWMGyR+DjIGYHVZaqOyJ/
LaNPvba3iwcDMLD8sVJgZW4fyuL5n61TiCDL1FbSxM74yerJeCg5b4KS9c3etMla1/VSMgaLQwpr
ns6IeyosrgHLcx6Thp/KYDh0G3VbPCq+9N38NJ8uaPFDc1Ns293tBS7e2zOhwgJ7ic9tCQXspzRE
R0wEI17VlHrYtInhJqUWuwAAWyvu3vILfSZVcChzsOnZRYKlqkMZ8J3RTYA2PzQ7zFNrijswH6kR
srqBlK9ZjeXz/L3HYlCpMHiaESrbJ9noHlTEDSgw2dKwYgz/x/X4I0Z8DDJMimNdhUKXgzT/Y+rY
Xi8fSOSq1o/4S18krqV8ktZ8z6XSBNL+6swlidZpQwSM55GaKgw0eici7+Lc8SzkTDuCibnEhzHe
G3zyumgDePK2KWIfCCRfVx7b4ovTvtfWXnqPpV8qP4JzzTP1tZBlqXR28XGCeiuN1BephquUR0FM
ty176ujJ1v1x2OdoDfAwvLz0jfRIme12oDhy/j6xeyFf0HSJOJhvLeHoqyL2SJCXYWoFXdV4VrVW
/1+Ml/DuahhRBwYmcWicpBV9rzd4NSL9TR13JvtiSmDb2d6+uv/juP+IEdzNyIyLaQZPnKi00UHT
gFKIbn/q8ge0+gQ1mpXg8qiAith+Bl0zoBA24Gol/I/c2snlA5cqNyNHJe09lSgrd3xtD4SXk0h6
bat9x0/giPP0NPGKaGNI5RNbJUBcNpxn2y08RjwqrV6RGV6FtNxQEqbOfV3TL5Xz6NBdEVfHSf6i
Tc+5fKDdLmLMB+/lQbLD2lkDrC8tGnQFeDDmUZRX03yJnXTcKEeYF6vm7zrpZzk693llKmGf58ba
Ls9KK/oM5wI1IRToHJ0mNUAE8X1rPmpy54IIl5ENKQ+5ulYuWHorUFqUQeo8sySKDCT22Gnq/5H2
XbuRI8u2X0SA3rwmXVmpJBVl+oWQWmqapPfk19/F3ufsqcriLWLuRQPTGjSgYLrIyIgVaw25jxP8
GeRfdbjlQRfelprbf93f2UuGUGNHskc00BLMdl35nNLrM5PZeShLayrgxLjWK6p+M+XRoy6veeuF
+h5QTkhqQn5v1pdiPMNI8T73O5RGp1xzaev1QwqRts7U251k7I1C2EnRHyP7l12tf+PyS7PMJRgI
jUSVUBvPERhC6l1UvtM1zoel7XFhgq2RT8ow5hkHTcaufu+7x6oaoLfnRIlMdHqu6NrturRuyJoK
QCEAkQEOgOvdyEV+KXE5N56bEGkcimef9iS2G71vNyEqhf92k6DxHtRv8H8odkNp79pYoFdDHIZQ
wZQBWKmcTvyUfuUi0ejKvXF7pq/tsEdMp3ESBbDDGbtG+zVp7wV6QZ/vD+b2NXNthHHlTZdAgDEG
MgZIh9IUZZ/fcfnIO/etLDzcYQbiaXP1B9lUNr0NscOR7wCVPyuDYA76F6KfQQQnrT1xVlBDWqTb
5u9i9M2Nr6my18bvERmEIuQsBaiBUo43YfM7jH5kQBvGXaYXG1HeirkV4Kbp2x5KEyvTcrt/r7+X
mXugxSNF64E6S/PTOD01m9rqVIJWFjVYQQ2vWWIWIAVQBe0ysFRp21DfUqW0afCGvjyTj3mgNVYw
ewvYGowMFwTSYegvRZf29e7FoLiQDgZGRpOj1IWburCr7mWQBlL27UsGtiDd6Wue9HQiAJXEMm+i
wZZEvtvw27YzhewzzsBH2KOktBXXmtRv42QVbh71D3CA6SgPM5/Xd6BJHWpxRB1E8G29KkdCC/AL
dzT+WdmTC+drvlI0IOHADX3DayXlgl4D5iOe5QpX9GAK6PXKbW18MZRnSN0U5WOnhoRyL1WgoAuS
KPlTwT01gBlFf2JlH4fx71T/1tD3Bs3u9h0ilFwbOHmzskFWPpPVCQmEAi7Ml8VzJ1PRASWt3Whl
tEPClZ7CsVlrB/nLaXB9s+P+A8BlpjKdi23MEwIUbElKgWU973OCdFpJHlXz6+tLNr9Oh7e3t4+P
j4eHz52HFBv505PE/P7XywL7yOOgv2/m2WFbQYtQVXvQtCrn8ACcBVHdwVEcMCIdAzdym73k+o70
nLrTRt0Kdv6o2ryrxSTZxd4qbfft/TyrkGkz/zpkN25a1yMj0NUEmmdnBcAE4jQQnApAbsV91Js1
iOJCqhxlTdwnYCCZocKs8owQxlpUtZp65nfhh+FMG5C6PGS2Co7w+xMszNc7u8Az3Q7oJdGzcpOW
G3kplsbWUM85eRxNMIOb748B+ZFJaZ0OH7uQ9OT1vsm/2JUbk2iTAofMHL+xpGQaWiMKcJGrZ2t/
rE7nR+eXc7QSczSNiHw520e0TpOzQ+BWnuvTZrMxNzvbdkmMwVtP+5V7deFBiKm++Bom/gknlM35
vFDPGonsvLNqD0C+6BxvTLM8DLsE2aTdGrRpzajE5IuxoyFEO2AK8OB8NX+NX2ViS2/SYXqAoln3
2kBJ+iV4WZn3+Zq6M+8sgJOPYjzBwxLzbh2tX8dH5/Exs5zH0OTIr5J8zZPupFCbI/m2erAw7y8x
MT9Fkj9unpRTSzYrG4HVlUHoOU89iGHwSjFmbrzr26fKEjUYh1o9+8f2+ehUhyRyDm+iY9gu+n5M
4ecJ+M4/405bgycubvoLw7OXvShdQAUI6WERhifBEs38aLxUnVtSvP+dRnq/P+0LWSaMEgRRf/ui
ZbQEXRsbQN+RR3yDE5aS6dAZXj+BvOM0BEf/TYvM+DmE8NjK1N6GwIAGQ+IJjFBoM4AO0bVNEBFz
fTQE+rnAiiq2V7j5ZmVYt3fztYk5lLmYwyyCknLv+9qZd+UdALd27EQ2Z3bk7Q3VtI28WYVirFlk
TiqACK2UBJx2HqzO6s1gwz1Ue+oJz6KVO9igm+zor7jHv1UJ5syAyBVATwMSw+BcYLaoKpSjGCQ1
RgmO/G4fmoZdml+hBb5yMyEo/zu5k5Hn0i13pVsfgYZw5jlI3YDwznNiRZvYGshJcSsS2/ETWLIJ
JfPXt/ipcCMrIZz5Bvii2e+VbXLkto0ZOL4Zbkvw5L9wjr4yosWdcTEgZjeqaZVGnFZpZ6twgicv
f1zr4/tbIGCmDIh0HfSMIAidFWmvN4aGMn2Tdpp2bizZlPb+iXsunNjBjNnThv4KrWkT7GpXeKud
iuj73An3IWncxqVYRP9ZxDyA3HvjP/Tr9+qCC0StBq8XYCsX6B5ivYsyPYn0M1Tm7Nb+VW01ZzqI
NgnOSWT6b/fPyEJqDNiIC3PMGYG5NJmyWD+3NvrTAc13NBt5IGLYn7kVObEb2oipiWbdt8s2b86O
9couc1ICvw7lSsIwVVffNdv8ISID6UAj8FZuO7d78O37Bhf86V+0tQHRCrCSsL2bUwUh7jgZ9LPv
xpa0afZYWIfflCs+Z80ME4xKEA1D1hRmEAZuhm3wZLjxpjC1j/ujWajmQpsF4PH/HQ7z7Egg8ayV
fa+f37MtGnAc+gRE7HNwVA+T20IhQ8MViaTmh7BmeP7F7NEB8xx009FKBb5WZoAqQvk8UUb93BzK
nfqp7hKrsmVLc8cX+ls53R/mvPlYY5BeQPZCBuZXY9l3+Ngvhb4LjbNU2pFM4KFQRAvQHrCmz7EU
zSL7/I8lZj6DRgohhhcbZyO0e1MJgWs91JJF2xfV7gVTXAnpZhd2OzAV6hZgF4LbnrfRxc1Uo3Wl
mdLMOGeH+EV9Ea01ybPlmfuvAbbaDyFBYfRnA+qR2wAZ/hwceEde2ezLs4aHBrSyFLAEsul7gFIM
rVNL4ywf+c9yJ35Xf0BkZovP4sqbctESooQZnIMmVSSxriesTX251ZreOIM+o3yOf2uQT3NQzAS7
8/SprWy7Red0aY3JcTRU7SLFbw2k52a4GJpk8qfgSThWe+2Bp2b1C9KTYkrWXvgLF98cCv13kMxN
HqOB2RcFmDUewWvwIn8LP+0a+/GSg7q0wVyuRl5oQkQ7AwFt2JH+Ex1hj9Wf3GlWyDMWag067nD0
/uA1isYjFnYgRD5UmNLMP1u0Jsmp97biabRMxawPgr2LHhPvvq9YSBTBIABcAnIxaDJmWSQTvss4
vYFBfqeR0g3xJFX2Le7PEFVh8MwT0UmBAZBMCJaa7b7/WmVBWZzbiy9g5hbawwHErPAFlYWGriei
2aEjfdWuun17EC2Qe3wkXuyuiSve+hLgIObiGTAlYG6SmYfaqFepADIo/6zxk+OL27ISdtMfrumd
+xO8ZAdq6ZhbMCXOEgnXR7BSy7pui5o780axQxz6u5wCbQPKt84uxIFfCRDm33blIWUkFwRkMfBC
ABsV2zw2ShQyHwUVzwkHJ0z7KrNyqDPYotRKK/GmfLNuSMODsg7lKKhnzQja65GJIeAx4yQpZ256
EModX+z1eFsYREMnms+9+f53BCWT+MgDZhK8TMNJyYkieojSTE1yh28++Gw3mv9SJObkCahg4++f
6jPPN4b+0lcmj56nYD8OUBzzHT+w2tpq0LygQjoJ/H8pad9oQprOVksE5ilqYN5A91KwgtC5uRIw
SlyhiCtnYcObO0eGPEuazS/KLNR9u6xHCJ1qSCPGIE6wkyguN6FYBHbZjv7KzlmyrMsz8z80aEB2
PO+si9tOVgawA3KVelYHDn3dA/jlA0kstvWASY4UI3W1mmZPijGuFfqXlnbuUEJiFqESii3MvdFz
VRlAQUEF/AY4CYFwPjQ26E7JPEkgxTENnTbfgShdjY9TsIv1x8ygZikc+d7khU3ImRPIkr+McT9N
Tl2RQD0JLdCYxS8x2FDdlkDVXDtc/pr8icpj2vjo4XTb5COARLxCWmrqe/E92ynyE69PThQTv3cq
/SDhp/uH8zaO/7uDwWqmIPWH5kJmoKoMztJmQjoOUrYnvJ8qYI/BJdmWRbAp6ma0qi4RLVpJ3bZU
6qcmUcHVNZYvgZq2lij4uqkYvtWn2Z90HiH0YnKzkVItIqKUSqQEHx7pMm3Y3v/uWwDIjLUzgExD
PIshsPGkFIq9OgV64km1nmxB8Zc+iJy6DRPoG0QAsHcDFPMkf3CMAmcNIXHhKGn8b8Wt4a40RYFM
MR6DcyaZdW5dDqB8XE3+uYgh5dAI+VOMIytXPQGFCSmxklRtTqH2Ggkr3uc2+QLTOl7uoBqHKAbP
xoKyr0olX/GBl+au35vSphecjnf7xoq8vtkBjqn4P/Jql9W8Ia4dLMxizJDNwTtYYSVZVJpLPK2z
wItbQ7d5DuWi3ud9e8y70K0jAaK8XV1vptCXd2LIdQ76SkgbT4WlQ7jdNvqyWQsnb94WMhhVREOB
tiv0QRD1M36ia8C7HteBV1EZmba4NlWeKuYslu1UUj46LSCFFm1K3TUCfoImWp05TRTHW30U1xAK
t0kCfA3I5lFWh3ANXAdz3wUxHxWg2Ag84UUPzZQexz88iLkmEw2lMd5ZstX3dhbZkv8oyHYdOIDm
5HJJ+PQxyX+LBxH938Umhd5WQmJUx77HzlXiXa7YmrBXJMswXjUvkE2NW5vHOTxllnZOVqI3B/c0
iK3n++7C36YKxBnytMeOevVVEgZ470qH9KnVHkrZIHXznvc/4z6e3FSdVvzQ3wztjW28PlGhwn/B
JHJte5R6EdoGReCJ+gOch28FzyMHaBwJi12rm2K3ofKpURzet0Sr+kye+Of+VbbHwVLivWBqtiwS
6aScU93qfavjbAP8+2tO5/bCx9JefCR7IbWlooVlHnigSzQeudodJFvSdsFRQd2weRRseQ9d+Xcp
2GhPHLx+ZQkmr6ws09/CEDNVYEbAKZxBrDN+43qqJHSG9q2iB17dUzt/GsvXrLSHwPVzU/V/Gu7Q
FW7ZfmRTTCT5EI6/K95SBVcDLmhQiJC5yDF0NvQRoaxN+MJOOkvm3GlEa8JDktixf4JQhlzZHN20
BhESW3mSvlEh9V+M5ybeVqCSaJDc5X5k9SkEBUErHNvd1HxoBhkg8xptoxc6Qo4l2zXKGobzL+35
vcEzeQSZSzs5hVCTpx5r1UGzI6mH5yg4Gp1Jd1H8VpYk26T0DS1NuLTRnP+RneJ8QxVrCg9B46jK
mzhY47cabAPuWQYyPN9po9XCYxv1o+onRKqe4W1INnhoQx/n7hEz6k+a6oDPXvvly1ut8xK6LbNH
oAzDWYP8oGqOPB2zYp8AVxqRjtsGulmgcJy/ZpVVaHY57Cs30p6KdzSp3L8JF25wFJpUAPQRoiG3
ojAJ8VGrm4Dn1MBrqKOWJrDxZbAFE35nAayVEDFy9cYcj3mDdjUb7W+1maGfa6fqpjoe5TVRj6Vr
6epz5qDuwokkGcSM+toPvPGYymj7dWpq9SiihzzJw9dmNGXZlnlq6eIancbC6byyzLivNhGHKZW5
wOMykqYJeI4K06g1oqgOmJWqLCXoOF+Z/dsnP2JjRP9w9jOHMOiproeL9m5Jrqog9Br+gcPNE0/D
MQx0UhfAU2QzTaJN65GAOWknIGjudBzHcNwa+iqt3c07C18i/acRac6vsS3XaVyIpdxKoZfrSg+S
vsh4UFpxcMtOE8x+rLNDrSX6ORf6U9DwzT4zgsHK0xGkYKEgvudqa5gjn1BLLIX8u+D8Naj37dMe
XwhhUqgMiCDBA/3e9VyhH0mL0jqMvNaXNlUUW4ZWmYCy15pb1E7YdnbNbbO4g5Lcc8y9JtXBqByq
Aa78df/M3BYpUewG8xbCQiycrqmMI1cLWRrVNKee6lJAmoQ3zRmPcFZUNkV/Kyqbiogf9BFUQd59
y7cAodky1Hwl3LCAMCpMrNIBiyHWRph4avmQGU4VgJNnk9OT5nuS+jvWjmlNfLRb8A+Natd6bWU+
/16I5wGMAWE2S2nkAJq+9zyQ1Ylv6kW0gyloATampHyHOrhiwpUH4E16ifnkOWy4ONGCnMgc4i7q
iWoqeQPckBP3dQ0UTwIJkSrOTHnIw5W7dmE3owiHSAT6GkjistkJLgPGN+KrxKsAiTjUa+Q281Zj
rpGrX89cI5HYV8Cp49cL44M2vvbfmrQrHjrdXEvs/60JXVtCFgL9OgAjIfeNHNP17GlV6udSSBNv
TKZdEB/lcSdU2tFvD6VXTrLd5x/FuOlMxBYWJ/vn+/vtNgGK9A4QLuBygeigAGX2a/OpyMmtH/qh
VwkzDVbcEzqi49PpkmNWxSStXH6td+V2v1ybZA5XMoIrSuiM0JvFRKjYkkQS0ID1MU3KD4ck0/0R
zgNg5hfJXQ01L5AFgVKPOVBDmg9gqtQiTwr7xArbqSZ8zptcr1HzvqXboj7mErKQQPYZErwGG9nn
ZR0MghbHXp7tR/Up6CbQ/qDXTPxBRkf5BF9pktmlI8SkP6j6o9E40xH8PKStSSbu6VoF9xbggu8B
byRS6GCfnoULr9dWa4o4Frkk9hru2M/0EqKZcs/Kk+9wEymybfqooyQ5kvokeYZ6qoZNUCDNB1m5
bGVqbutK86fISB8ALjoTpDPnqeCHtMrBleVV8ndRnLvqqeZOUgpJqNAOIqL6aOqPPWWwJNSK5Z0P
uT6El2IrQpnSvr9MS9tvdhjAX6L2g8vmelZoXg69ACUOr5UkhENGm7mVFDfA5ebTJtbKxEKQsPZ+
WTIKciZw+mAtcLMwRhVah0IaRtRLQl3fyF3Nb/v2Q2i6PVBIE554sbHyYlrIgPzlT8DKQ2B85oq4
HudY+hDnGDGrk/xbHrejJkCTAe8NuSbpy4BgvI5sobX1NVjw0oFTwNuDFnx+zo4xYZbYt0WMR3js
aWo3HQUwnNAUvS5NNa34rvleYU+2BgIqAQkWkPixzTZS2/OjpocUCQ7IH0kRnNfKJbPknMVLE/Oy
XlxtPnwzuvxj6oW1QASdknZC3P4tAbrwymcfo0SgKVXTQzyQYaU0tbRjLk0zwZAaSAbCoZJ6eqFo
oGYZODNOBECSCg3PXS3XQTuVpu6/PxsaXvjoXVKBeGQjsCkMhYk3auo1Y4yG2bMvlVYoBWY8FDiP
6doWvb1lZ3EkGQGPApwQbnJmevOOhlOOMaJdVXDyXhehoj6Uu0mYniF6Pis5aNQKEKtuhLYAMixG
q64ctpHVcBWoEPQpsykw9k5bq99aPEqgtuKifTqJqy3ts4O62WwoNyHRjfYuEOhcf2oDYowinQQs
R7pvFaRd0apHdOmhhh7ctENrKl+7dI2vZ3H/YYrAqw4FM2Q+GA/O58ooyaNCPSOtLVB5Q/f8hZvM
NDsj1y1VTosX+qDva95Czy8frEVB81FlB40eurk2aoBUg2WbaXhfLCaxSDw+76Ijl+toodaT5BTL
oUdBY/+YTVBwU3Q/Ncei//jXexH5C9TdgNCEuvzfGP3i7ClSQIuhaBIP1ETott1LitWXtpyBkuXX
fUu3rePYgpemGFcJZlUIQEl14olH9Fxu37XEaXz7rX2PTBAI2ImDJsxdQU0NUn/pYwz9rk3wqK5W
o29jWiB+dTgzSFHOgtbMkYccrzTRKEk9pKdrKxcFMI5RSEz/+wvwygzjoEs9T9K4p6mXTjG6lHfg
mgrFPdhjhrVc58I76mpEbHArlkHItzpMSS+iO+VEe9M/IJ6sQwXGbGykwCJn6AlqXy8rKyre7lxg
lQECRCQ2Kykz8QZ4/OOuiorUA9zMRsL9c/TqY+z8xI81cWJLB7ikt+qTuof467jH/bEWfC1cTlcf
MH/g5e4d1QgwxSz1Kj4zyKgaiR3QMXPuj3Mhm4IJvhgnE1cEcg7kfpGnXmGp/qntLVDHiVDrBRem
w4mb+ixWOzXbrFhduJuurDLOUNXrCoonGJz2+F39TglqU9SS3wcTmeBtZUo70x6/nu4bXbgrYBNU
2KCmw4Pvb6LlYkL5QAzAYdCkHkfxogQ16hcuDShZtB01oy7i3LYXB1PO8jVA6W0jALwDDgywkDxw
kHicXy8lKjgBCkVt4iVg53uMm6EQcBUHcmsGBScAjKWUk/4y595eA56ODRmSvFIORZ43uRmNNH0N
g7j7ppxRd98DdkH7GEUF94UjqAQbqWs5kHMYehWikaQEp2wlyEVl8bGqTcdAmcAoElV1oaIs0Ru/
OYgIK85AczlHctFQbCEZwi9piILIaoe4okdIeg+ZmWcq7gZZabLeur8Qi4d6pgPDfY2rEOWl6/kQ
805RyqJMPOQUGq6z9JoIAYgS/CfNMPuDgtK1btIIvFC9iU5f9Lje/wBx4VqCXts/H8Acblnmsxjy
WHgyx5tW4QEmbSOIVNNdDV12yaTgnv0NnsrB0QE0RZHECWui7LkWXMvNn4p7D18xy0nz3ASY8YgY
6UupHlF3+X/4TICeQZQKDnrkcph906MFdiziKQGP2E/0yW/iAxfKoOetnKi1ut5RK9LpBM8lswxa
s1LeOf8hBSa7M40qMQeE6XTr+zYKllQ0K7rthm0V4e4npUb4NUWFW5Iv7HIZhXSgfYHbxBvtelVb
pMq5aRASLx83pbpvS0po6CBTKKGrOZZ+2j6yG2T5u1ggHX0fwUXv7yJosVA0AqGUWW516dUYTbVH
X9vbGD+PADqkVlVypF8rvy/5Arym8KTHy35+xF1/KxdWUT/GRuKhvt9ZQasWVpmOPjEw5TYKqypJ
kjTfVBW3xpO18LiZMYNgUJpbc6B1c20ZKkt+SVUZs6TywaYepBqQg3F6UNKyWLmml6IBlCAhQoI4
HOxlTHBcaGWgVFME1y4JMpit29GOjfwVBZ8dT8u1wsniTYLwFnreQOvjD3OoOESaUQtGF49P0fAk
GE7ckgYEWc1ZHR1UBqI3OlljuHaBzc6CCTGlS7PMPenrYeTHZZt6pUrU8qQpx5bf6w4OKEf3xeCO
1coT5xbPhY0OGl/kmFF+BZSMWcJBKWshhHifN3bIRgBjBN2sLxGw9Zq04hvKIvopRFwU29xodbWp
OTzuVMD7DbBaT3+EcefLK5+05M+AnAHhrQYQDWrV15uKLwUuajkOUVJodDsw0gJE0igvIlcrR8hR
h3shLwOT59LIbIHdXXloLiUKJLgoA08wFMnBmnVtnmp+CHZzmnmQJyJq/K6NqPPJG07bSZKbDY2b
BE+VXtvRmujbYtwNo6I8K0IgC8l4SFlIgSfqYLlXyFA+1XxmGZAI8WObdqlZ8blZq29dc0BXPwlS
R1FruEa8CgsbDfeTgJJeCLlOMIw9DNGrnli8b4KP774bXziGUGxFMI4kIbJX7DHkxkaJhVTIPGhW
m5y0DeoO7BhHYw1ps1ApApYJb29jTlSqgItcL0NZtqpeUCnzkkP1wm1TUpuQ0SLPz8Lz74qIa6yO
S9nBK3vMruunrGuqEPZycgwd+c/cvvH8Mz2c6EElbwWUzb0auomrt/fCib+yy1w0WSbU+hSLmdf9
xouAyvss/Mw0V8kLkGdAz6nSia8cwdbFDy81t/fxOYWVUHtAE1G7zws7T1YwpQvn7+qL5i1wEVpy
k6z6eIBmHsrlc79AYXV8il0/ECH8qYdV2pBFewCt8WCqRHsnyzM0jkmk1QXsjQMaKTdIu5Jt7oYv
A9YcGHuTJ2ZxnPtl7K40zU1PrO9079fk9f7O/ouZYHzvHJv89zuY45d2aD4ODeyAPQhJiEEklIYJ
iF2x737aD7e2DhnArQXZeS/919PTWiJ2KSl8ZZ+5xuusk0qhnOedANgKNsLqgPdLHrvDLvcx/BDP
w8h6Cr7uj3up5nFpl+UgisYWfBMRxt2ao0LQbo/ntpn4ELpwLWl739jCU+nKFnutyn2U6CHGqGv7
DnywcXPyx9ch+FmFyCwli65MMVdpqlM5HyUMS3pM0WiDnAx6hLt93eORSyr5If7VA6x49Ndy28ue
6599xJZYlCBAUBHiRI/CJi9Jm5v8kX/lpx39AUZnohYHApbcLl9EdSVzs+icLywzPgzbp++TCbPL
S0+qAFBd7AyQoFsNjhd91pzUBt0rIBQsr0bVq5ysBkB3Ktx+Rj8qTiqg7QFc+FsOCsTaXOWhTvUp
vvFKa/K6Y8QPyFSmKBca1RqP+bxlbo/tPx/DuKusFZJwELDOcXHsQnvAu4Yzob+AhvgECJ59anFr
GbLlXfyPyfnfLzzk/PwFzQzmWVIOQuw0YEiV34EwFlZJRdjDidoQeP8vlKKYJa2GoTdGqRkOYvUA
cI1q4lHZPfDpEY84rrO5lY4Z1gnd2GOuo94X1L5XIBWV2x3a6+PH3EMWw/JJQwT0IYbkO7XCo7G5
7xaYK+B/rAIdCiYfpBXYI1MJgNLVTTUcxnIf+RUog5EVKz+qkkj+t544chuuxDHMEs4WNfQhgXd+
xoIi5L5ewqmsaNJmPRS4rPJYkM/dWvfjvDAX2/LGAHOb1JLacVw0DIdeOuZKSCr/38/Z1QiY60JC
+pmXW4xApYPd09hsCwIeAqpIJBE13BdFUFj3l4l57rFj+rtZL/b9AEIS2nIwKZRQ5VOOeBhAlmNl
ZVjHfWOFuSPGIPGNQoZ+GPCAjvQuOc3XQdmN743tIy+Zv90fE3vt/485PDgg14nUPqtv2YAEOZV7
7PjeDE8Q+dpC4JLIRHFrR3FlK0K+tHZBs3h4mAaItXHoSk3RZvx9/zOWDjqW838/w2CfHTHav/QC
suYHGm+7MSCTpJolGhe6ViU0tvigJdpkSry6EvbM+/B2n/5jl53thK9o0GH4ybY497b/0R6KZ35l
r7J3IjPJBs9cxqBaiafUgK6eXoMs3xJaIvbRrOX+q2zfpSi3eWAtc+NLpgoZkQZC6aunaymE5e37
z1CZJ4UPzl5Qn2Oo55O5Rie4so2QNrp2KH6eVeC7xi8PRJlwUDEGLYulhscGQ405s0YcP2mWnz6X
oQ3CoylzaqiqlCQBZhka363blU7e+VuZFuY0uehjaIyHGuob9/fZst9DFg2lpFmmirktgVTvxsbA
EW55twagDQ3YBqqMti/Y/3+GGAdbqbFegTINp9iB8tV2127WJJ7+L5vqn7EwLpYboF5CQxyZBtwN
MU6t4GhEsMLPDuSGTxbUv837Y1o+pMiVoAwHlTwgSa4XWReCVvZjfjhEAsCK0GGomook3U8L6IaG
xmr/IW6cNloDLzBx3X9Oz4VZxtVPIMdQ0hBzOfAvRpCT5C2QfcIFa6d08YD8185N6iM0VJ2vZNiR
jE89cZMT17mjh8bCeQeHH13wq7aKTiJTI+LvyFzrD14IA5DD5BEAIBkFCBiTehELJYjRMQMvEfHo
3uHsvvgDNQ5nAjW9GHUON3icv11Z0/nU3zjAC6OMA0zavgEUCkah2vykc8ALhujWyndANSjKPgDt
nvgqa8mWx3kNM7yK8pWYiwVK/Wd54d6RvNLQCcEW0wWoU/XiJMD1K2nmSs25lajd+PUvoXRkvrNb
bdyWfYnUqhWCxC6DKA4VXjq0TYlhvqUBdJF+acaxTfxdGqxcD2w67Obj5j1zcef3FbTlwHgHv6Yq
juKnVmOc/NaVBsuvjj2m5FkYt4X/L+Ur/mN2ZoWDU0akxj5KszRP/amfzfqBOQVuI5lJGhwrzvic
BsXWde5f5v1uLDL7QBpDsZpaWFReuM3ZPwm7YSeeSsvYRishx7LjuhgcexumURKWA0zVqS04Z99S
LcV9sCH/6iYPhzVOhmWvdWGOufeyMspiAKCHAydY42RC21M9cH+41CqeMnMtncPClm/mkbkIQ92g
ERrvh0ORKdtpajdBCaytSJSDCpqL8FjLAv7pVUI6M0MGIIAsIoo5E66jSvp/iVfnTkjQZxnQ4GaW
VIWWWF4EIj6ldcXuqIjnQlrZNrPHv/YeKnrqIM+j4zWMljbGNed1MUhBLoyHd4AkbHjEtcDi1ifC
AGr2yIHiB1Rer8/fNNZSNBYwoAXZmavMGnR0yGdEsl2WOTSkP8SiW4lFF8c0q57BB6NNjO2Y8cHJ
2Eyo4xyk9x5IrtiEgMGpnYEe913v306zm8m7MMSsj8g3EM8bYQinWzSbL6QYpc34KlkCiXaaPdjR
tnZ+KhtiaCVaEizj1H+9rKllLY8WPXoo9OEy+VsJunBwaA1QB6XCBIuqGZiVKe85aw3+cHuBY+2g
ETl3BeP3sQwOhl/WmZqo4yHVTR/aH3ppC7FVr1IPL47lwg5z9ihE8qZKVsZDfOZVklUul5LqreKf
WjFfiYXYFjSc8+sxMRcDJyRR0fDaeBgcSnS7ccDy40I2d6eb4wOZQDZlzH/MygZPikndAv5tl5Fd
Zc48N/5qBH4bvFx/DxPZltTIqZDq+B48lZLY8dUaWn0ro142ArJJBAygW2BRpOXQJVLQw4gqOw3K
vOOEVWxW3NaCw56H8o8VJnY2AAIsVA5W5Pgt0557N4PEMGKgRPrVB7ahpaY0KCsju30YoI8Qss8g
/8NRwDm49jNyqI9Q5YFNjTqx8buPXa15KAzTQFvy/WO/sElRXpvplOdpRIXn2tIopLJU1OVw8Cmp
zj5IGvf+Y7UzTvfNLCwVyNbUmSAa73qoxl+baQR9NGhNp0MR85iz9rEwDlNU2vetLMRHSFoB+zHf
MTDCXgBt0TRDP8XTQcsf8+fqUGBUabGRWgJA4ADqeFCdJ/i/FbO3yzVzDICKAptQUG/K4RoCRo1m
GJ1+5Mhjtm0c3s7tCY8gzv5pHSk0RxCArCW1bpfu2ur87xe+Ej1AU18osFrLiinm+wyYmsFUpHMQ
x2YTbVYGOQcm1/fDtTlmp8hzg4jSwNxEHT88yhWYaKpz1+/8Z5q47f8h7bx6G9ehtf2LBFBdulVx
ie04PZncCDPJhJTEokJR5def1/tcfIkTjHHwYfc9mFCiyMXFVZ43tHLPza0Tb5lB2ND8+f8b/nwF
0TqAkqIWy16/RY8jKo4UssArqAd1a7oCWqKEA34pe3Dhu55jVnWLLhAl5bKXZZN65KUNnucXgljQ
OH78+/V+HglCr+i9Ru1IdGYvvX7gOC0sLJPhvrIeSfHKug+3+KsusXB+COjhM57UyVFfgMX6n7zv
p1UTxWYom5kt+2oIs7Yq87otExy4FgKJvVm1Km0Kjibk/Wxbt82r0f0FurH9/fw9PQEEqhz/VK18
Xhu/cJTtzpove7ZVuWaZYhtUrXV5cc/u4qsivQfh+Jb9rZ//PcXffbfTsKfuFxT/g7xwNsWOIJrE
FOt3RjVHgHqKtb1AGSHRmqdteOXc/Xu4H86Nr+OdPvmniXbEoEUXwRbN5GAt9/1vlSJ+inbmMkqa
ZYt4yYVD4+eJxYSCU486oG8EV8AihAobBZrlCuiC/NAdUX54+mPrJUXyXiF5Sy+cjj/aoE9DnhmF
aHCnno7NsiepvQMS7crfhsmlSMR5WQzWCqby/41yzmXtQlobtmCUIZdHJ31YEpYum+PdH5P8ouhT
xz095Wuw+zI3veB+/7hYPw19dhKH6CrVNYEJ0Eublh5y0EsHPMgRfbAX1sv3I/LrSzpn6yUOtO0r
jOQB3enQLBBL5i+rmjwo/gLAUsN8QMDXDqFp09hb3BTSud/q4YKhPXml38z8pxc+HQOflm3Xy6if
YiyiuPhVxn/q6cK++NHSffr5p/E//fxoQT8TY+3pW4rmLiqeuHt02qz2Lt19f4jkoEcFxer4Czxj
3Du/jiQ7v+h5h1UzrQB3eVo2U9Js9IZn4eooE/fKTmEIViDVoE3m+eLoPx2Xn0c/m8eRDr2xKowe
XPkrZA9SkUJc4dBtwrxMpxQPkBZpl3mHCnRRb4cQe3IhlHVeRfPftkEp2cmPxKU1iM8sEEBktqI9
plqv+tw6ouY0pys/6/Nm68yIzaIcUocJQs4OX0EZVKUXgx0/mQeQ69BgB7kbpKbPJgHpr7k3zCx7
9aSHtL7rHuSN8zs0mbwen50d+n4hQgaV0t14vNSxHfz4AT6NfbbQQp9H0iPDsm/zNplRA9xtu5tp
W3yA+XmLsIuXoY5oTdPfv5r0ycctaEjfgf3MH9fXj49RUqZxeseT3zT9tX7oky2gR4mFuqf8956m
U76/7q6dlZ/q9f3juAvuLvmUP9mdzzN3shaftsmw8NBRAjMHvvpe78QeshwXDM5p/Z/vdJSLonId
ZEtcIM/8x6aXfOb9AttN+cFXTAB+1EcbixCOysPFOogR3Z+u7E2qAqA2QtVuRTdUSA9Rd/Xvh/nJ
6qBLDjcQVJehz+TscNbE2HNbOsu+bN9CdpT8gnX9bnXwkuCvokgCVavk3OfgKPArPOZHe+2lKCIb
9hII8X+/wg/ZerQAOEA1Yrkj+nTuYJRO7/FwrIp99Ng+EXDwUCKY8tWUkpWznbMgAY+P5+Pzv4f9
wcxhWFAAUe9u2yd6+9eV4jNAAHunK/arhuXLs2iTrfnjPcClglzuuknmrfeMwn/AZwBVsW6mCze7
Hw5njB/As8IGh5k5B2lbgrrjAAzYfhfzNLhynqzr+lW+T4mzjV/jw5iph/ZGAwnbb/zUvSHXlxp4
vxsZMAkA5fcigqpr97xkDRVMRdE4QbGnAmgOqCHMN751gwAZApqjc+GK+V+Y8uuu+Tra2a6xdWPH
yg8LZKhVYh3L31ZyAuo46zH3V+UduI+reh1kU4KwYPJwF2Q0ubl+RtXitZ2Km3E75SRzVmZNUBSw
5JCkyf69Hr7vJKg+I3SGbm9U7KJg8+tyiNlSh6qmxZ7JNvHQunxJduW8xwLHytcRzhYcEIW80JMV
7721tfJf+rV6bPL+0TzHj921updr+4Zdik7+4E1/HfTsMC8E2l2BTi/2/Z3eLSA0L7lM60Sml8oq
frAUCIcAzgYUFoRDzw/NaGyYmCLcfyAwD/2qa5G79a1n17D0//5QP23cmEDJE4PhOzn/ufOfTHyh
9KihC27tBfhEB3Zjtu6O36tDQxJvS7bFhl3Pe//R29FjcW3tLzE0z18UGcVTizmaaWMAeNBK/HWh
2CIwU9u41t5CiI6W77IxCYdaZ+f2qWovvOxPg8EJQJQO74pQ9tlgBZmdQC0VPeh+K29wumwEXZJI
ooV3uQBVODcHp/f6PNTZStFz16EttKYHtyi20LdDt35rrdoegToKdbsKUQJCL11Rzi+X54OeOTrT
TBtAevB+3cMxqrLyEGxrWFss0T//XjXfnLr/Hck7mXvkKFGh+/WzIRTpSoguYT1A1nTvpM2KZ1XW
7RDS5XBaoLSad4laiWN8c0kO9NsmPB/79JU/rdigH7xqQDfAPoYS0UAfgmU9jht6KLdT80EX0CXL
93+/7o/zCvcdVefI56AN++uIs3KKsLcwr7ZeO37WTiQhL5WiSVjczduw/L+6zP+9IYwmMt6woThW
vo6n6tHhS43Fs5T8nk8qa41M7J4irLZ1H5m4d8pHWpz6mlt1rPgtD5u0B7v9hNNC/1Hz11nK5N9T
8M2vOHumc5wMt6cOQh2Yg5glCDAei6vhUD/OI6xEvVd7NERcD9uT5G1ysQDxp70ECgXSdXCQTjHV
r9PB9CgHVjeAxKGc8lC9Nc/Fr+Y4rMOUQoRlcVc9S6y9+zivrO0lNZZzOBhOL4z8afCzb2+P7TBH
DQZvoQkg8mmnj+J3kKq0PpR7n6Vwzuedycn9tXVj0Ml1CQFw7oJjfM9BJcAJOBDDPz5zwZUH8zhA
1PlA5VoMx57dTsWNY19q27o0zNmGduU42+2AYfoPc7WkF6zhuTvw30sAgotG/VPb9n+3pE9blvh2
KeEgwfBG5ldRdls61BcCev+FXz67RKcxXB9MU6QQwPE6b89iUDzBPduwA6CU62YVXS2ZuOoP/uZg
5cF7f1DoaLyKs+XQ3IIGeywQpdlskG5AkoofYuT0/+8b5svznJ0AXEboVwHR9dB3TyZ6RR4wUYDl
gV72K2of5z7D4ukgINy99/t6SAyoq+LRR2zn38/xw+b58hhnZ0IUl6FVOpgWDgBvjNL22L31LPD1
r9x6XfkXRvuWv8VX8JFggW4PKD8+rv1f92onGLry1FQemIJcVJ3az1om85yA5gsdgUWgaLjJveOU
I+DwMe9IxtpEoXUj3fz7tb8lYf73QRDeBYwT4Zf//J5PS24M+eyyYCwP8XTv+Il0r0cKId1yStim
PiL4efAvXQH+68Y6W4I+XCgwwU918Ij5fH15e0IH2RTPJRBk+3DVTmjnX3XhVeWtyttJbtx45bXo
QoecyDtdiYRFe9yHVHThG3wLrp9e/fNjnHbjp1e3oMo20mApDy79Pdp92qBetOiP4qYA9mzaDc2D
02QNFMPQoG35z/+e+B/OSnR+nmqowQ9Hju3MXk4dA5WChtWhDp4jgGsLYGTtIqlfFbTXSij1yeYi
T+ebX4e6BJgWtOQ6iNB+axeCxlHb1LydDiJRCJCAXpv2SZA6ubkJ0uUF//v1z82vOQNLOF2S5y6p
M6jKIH7SoI5hgbfy9z9toiVdUhQUb4YkzkZcjNKMwLnf0axBoAxIKqjz/HuuzoOtuCpHuKoj74nA
VABc9tcPtTRxPQwogT2Y5qG0aAKlZ59d2AjfTO9pDHj4p9588JzOOwg5Y4YWykyHIWySERjHGm2r
/34N+7xNMTy9CGJ7JEbLqIv3OPvog7ZGHjM2H+b09bAz2SZ96bLlDWCJDaKeTvpnSp7L5FVgBl+8
PDmuZAY2P+p60+PDEYTUJNm+PmzfoKeSPZ+kaO5vb90ku9qb9NeHSK7GlZcEyQ1CQ7jA8nRzKqq5
ttf41y77MOnvjyGvIQDI0zH9CI4eWrJc/Oe7Wfn4vWm3uo+SKY2SesuTawTZ/CNC9Ou9u34es18y
edzzJB/Sf8/Jt21wNiNnLlzUEVSizhQzsl76B9/KyNsksTQJaCXbWF6IB7inCf5ieb4Od56XtIwa
By/EcLvD64GkWZ08qWR7eH/dru8O2eG47XL8uc+vrn6v93+79csm+/f7/qdA/K8nOLtbiXKqxGjj
CYJXnXX7IN2+Hld/V6ubPMth85P73CTrIFkn+Sa/3qdPm32eJDfJVbL+nUXppSX5k0X4tCDPtUuD
2fNouOBp6qTNX8L0IqT1wvc9p74bFpRVPGIADZkL1CvgkPsY/lpvwZCjC1Ni0W+XvN95R17eokOU
ZPIFwub/nvPvPvnZVz8z9H0UgRbe4iFUc0NQnItaZ+fUQJfAR4eiMnu3ip0CvwFNohS1P0gd1xK9
wZecu0uTfeaiSlMUVHp4jNWTxKY+vBxVQtJdnRzAdUkfEmy+FGvgZbW60zj/9+v85mq9v39203T3
eIsd+H7p838/iQFXB9Qd6QYEltE37ny1rIUx8dyUQDQKB/Ux275/7JXM2tdSPoOvrvoqE2QPIIic
D2ORkh7V9j2a+RM0IsTVJVHycz7KyTxCzvJEVkflITC3Z3sjtMJq9K2FH14s6Ltlekt3MrOu+XHK
ZJT4kIGD9EFmr7tNtMUE6TXYtgWMZQYCdtauPqqDfpSXyv5/mCMHtwr4aaDvosj4v5DqZzehtWRv
S9YfSqlQxIwO+gMOozormoKsY6fQuePTdm3Pk87BptNvnnTiLejE4roOOc/4LNlKRk6Zy3gW67FX
1oGEAc2XklzqFvl+UuJZPbDyT+FVRKvOVvrkeEuonKo/NOrX4EJiWdxX06WG7+9G9DQIvtQJaRvg
qvJ10bRhzFoTY5DgFLV9QKP9AjxNlASXqGGAB5x+1ldzifwC1kTgovD1tD6+jjUpR7VuZ00P8GrA
POEo0VsgUgKddW+g9m/qmeptYRMnKQR+0JJqWfrvPENkdo3WpALKq7OQ+24EOTUrIUPz2snWvp5n
q/xQvA5OKrRjjKuxi95H3sAdH2NVHBeE+p46OTagdY0+sCSmM6iiNJ1lgNlBUmU9Wg6d1vawyAcG
dJqfVgGbIEJRcBTa+BBZXM8L1lJSTMqyt9w3/Lk1YwQetttNaMgePf3eTlX01KmWudsGENohBcQR
qGIn5MsTafu+ByasFWpu9n7TA1OUAG1Hqg/mhgVFj19UQNoKJab9uKyU50u1LYdYzKuyjkYHLc/D
UP2ZB8uHM+e6nc4q3yzwJMoZsJ2A6mXukrl2S6BjmtoDeCdgQZvxvqz8a09FSmz7WKIhzm5K8PIK
dwASKvD5UqTzUqH6sja9S3JzUg9L3baOxNpZgqHc4FFQfmNRpd81xepBlbKneIrsLuDtnKAkLgrx
g0F/CfSziooJm9rXZbDzRgtkcwGkxhZdztNdy+sOffrKb/aMB9pkprH720kQ+rxUQv/pPOGQVAGv
e3CqOtaoYgI8qQ2duF1XhCgr4bOnx8yejZ/5qgbdiTZ9BZR+E9UAEQ5j93cC9svO/FB1PINSVIsD
yp2rajWXbl3g7kf8baOF87eF9Ii1lp60kH+WFhgmKpqWlQxPn3tyh9BPIi40AwTN0nQNOQjxUIQE
/UiD9tFLG9QkWIeys+NMo2N/Qdi2Hr1Ux5KI/NTXceD9CdQ9dnVzlJLxe/wuxROK5vJyJbqm0Mky
8+5WFaVd7RYoE+LFGqbX5dgUdqos4sybsI31bpzIfBKEt+nfOlCltXUV4JPbstNOv1JoP6mSWRH/
vVJdCB2RUfE4dyyXu0k3ofe5cwHNSJnxi2kzQD15SLq2J3YWezV7UyIa3mLXoCupsnqNBm1/Qk+N
kpF+snrbACEYLPholOoBGueB04GBEC1G5LwBLzcLPBMjXO3V3WNdOyGBaEsMJL4l+tLNujig0Psy
CBMCoWXP6TwbgEIqRtiHj15JcEu62V83FbPt1LVChSEJqqGiEp9kpWy0PWRDGaFc3l3sYb4aIf5s
HUI0yEaH3kLzWm7LUiGM4S+ekyIdY35PYxc/TAUJbkdM4+1AdLzm+EpzCjb49G7ASYSMWok4eWqT
BQm5Umn3afHK6lFYoItTP2BF4kwxAlqDoXh/VWCdJeE0BM9EjCG+KFQQ/6JBQuKi1IHvSKsS+1/j
CKwTV6OhCCX8uoccUwHIF9AlTcyTsOcKjUPTWD/ZQ63rFAHr7s8kp2lrW2IuQTDx2U6GLG7zJjI0
Tk8Na5uxgl5DMqInh0IFuiBpVzHYriFqwherdWW3sauBGwRjq2LJlkKwnLTd6ZhXvnWYKxsRCBBW
28em8cWwN5HDMVt1aZ3EdRzxzvXYghszDHjQcgl4lGpf2CXAHqUDtVpFwHTSEIh7QHlHi6xIgQ4C
cDd9XNjQ1u6/+10xgkoxshgvHQQCFYlFZz+G6GGcM8Qhgj9dqOH8Lb2ChgkjZf0gSzH9bsa2ZmjR
rUKIlbDTR+VxicRkWDUgW40gj5wWGaxC7OjuyirQipLUMoDV0g73Zb6EC3E3FZo1/wzQcwrR/VUQ
P3ftlpZ7VMH2oCDNBRI4uBSOyUjc2oZ0wIwPYcZ4DHLbrmYfCkTxiMuyt+gmJeArvgS2Vh4o6YMy
SdzNJM7lRB2ACMs+uh0qCUezqumwlQGrnphoQ2sdDlI8x9K1um0U92q9kGlo1mC1KTvBN7HqFVci
jg6MxWV1C8EX6mRWLwC2RjZm3E0DrU5BIvRzJR0P+KFfWhWsl8nS93FTW9eIC9f8fgTuB4QwMigb
5YLeSZPIpei1g+l/QVZ6nBPXXvSffghjnSNOUP6eUJt6P6uqdxPHRP4tYKm6TSMZdg+L5kiNuM3k
+ylai100MYWCmHUEz3HJeTwgrFzSaRBbzyt6wHci2si1VfLAJBVt1UNXI/u+sYPBCta9PxfHycZx
kwa1wUtbngj/TL1s6+Pit0angqPR4J74HVIWnlu0zWHqm+jQBFA9giUKFctcxZ06HaNWD5kz+nTe
QUmOQU2Y2FAI6mdXylxSHSOjXuDpUxvrs0kDlDFhGquKA244QXEZ7gbUtiBj6y87wVqIE3idF4FY
7mjapLaDUHLK3K7/hWro8E6VI/uFi9tY4ZS2QQj243Lq9v1YtMOmFtZ0W6NSs1q1JYEjxP1YIbWz
zFZOyAC1DIC3RlDRWeRgj9eRv3WobqCk5FQkfkK/yGIlEYUsTebLbjBJZOnllfoEk1BgogFps0bv
t2say00lEAAQRmyEs2ISwdyksEkxbf22gzAJcoRlCTd9mOk9YvFxnYmhBzzPMACJYJZUwK/oXNPw
1pQxVlEjSKhT0xAD+tipRDuDPfdR6URCJtGyh8WdFnHfPEU0IECs95OFOmlOdbX2dOPJnNCOfkx+
PTW5qPzwiKqiU/jEDcc646PFddIHY4sNWqJkLCsQEe0ya1TOAN3n0CLQaXYxynqgLYoeHAt+zdR1
TF/hW5CjFVRzsevtQbANBCYsup6K2ARrYyv9EJaRrFJTND1ZtYGo2x0tS2tnFbR5l5XP72bfQLNH
M47agoA2Q5nHVI8AgrXK67fx4nlir6z5hEigEmgIsAAQ/1SuY+wV6Ovmlnva0Hvl1m13jJqe0Qdf
a+dRaBUBeY0EWr8LtDMbnOYziE9otWtJ+ST1RBDS9QrkmuB+wNzoqZ1HCN/AVU1nvWhUd+hmeFZg
h38shjcS7BjPGTcohS1pAu89tleFbjkcPjiiKOcRrmG4KqvArIbaLiF2AxJorsI2atB/rEd/Qx0A
Uu8WGTssi5pW4sJWA+5xX0yFTTMyFyC3k1CNGSUF9/ahCZcqW/qhoeuFdQploCAhxlvcanATtqfa
yN8WjUN6X2APicSyUBuWjUM0ErhZNZwoeAtROM73qlbGuZZ4KpWZcHKfNVbHq1MEdrMqFvxtZJqK
W1XinpnEqOl9cW1rYqmLrpq73qLLm69JxHLIu4lbgfThlTIRLiym5PU9LfwKFNBBkDt3ipAJPh26
8C25E70jqsBeke2a5ztR1BFdSUFbuA9D57MVYXJpUjbYDLT8RtEqLaVpWaLgMRwgzDW9edxEUTKW
fRtDrqssUHEXdPiGHQ4xN4Eon4dfdah4ZxAYaFdCDd2H4Kp4bENj93kL08hTt/QjSBhHaNpDyqmj
ZV6I0GWJWQRyvbM0AI11LunTsgrpdYWSIzgupHVucIYEPKmjWf5SM9ycpI8NbhZzOWIfTfUCkr6g
mOUkGksW4xLCzfzX1mF1a9fFgo4/Ld5iWLWTSKKBYYQ0IpgmcDXiZ0f6AZwAK5AD+gvc+RCXPcMF
hriLyJ0Kp0GjWXw7TKF4aia7WNfSQVrHiv11vZDomQLOvTeWNLdQfCuKlHsFtMNc09mvMSMI37Ch
rfA5dOQBLOp79QZiayE+qBoCtg4paXXO2mGSV85AGpOXPjTbkokswJAg2e95We/pbrzGFMEJL6MO
sXUOFBtSTm1jXVEft+Pcn+r2qXAGRMJZBF8/WTg0CRKLTWiq67UTTbme6jjM604x3PFaAKjgjBRe
mfmDIirDjWaR8N8XZIsQVUcrFw9Zw1KrCuP27zyGmHO3pwywzKoU1dpUca9htnD8HHAHU926q3yx
9WlX1hvXMp6TOaRr+tsQBZoCGxNnFl971DJVhqZv4F5C7vJUkgHUF+MhnkLoydNwXA4fjUwQgEyh
Fx9GibIjqGzi7AxeBin9Z1dXuHU03ggJXyuqWhTJaDNeW0MXi2QM6tpHIgD1dij6N1OXzgpKhImi
zZL7sNTQfe6QdYeuji8Rgx+hG5EEjjvsqI+2a+ELvFXsjWrvDKWI4VnZ0VVbDhPKJQNU2yZLZDVL
UpN4QsaxDF+oUwLd1ct5QPXtNAPy73syPk6u8pqEtzRAdmrw6yDxelFDO5KfsJ1Ij8xvBQ05SVwT
8ypjOjAKLR+NvFV1bb2TaAgRaIuNAAdRd1ymANSBZWywnhRc1RLAMr/zbns+6ij3+i7sk9aiE006
4YQHi8V+mc4esiUJOreRJGl1CU90RC37R4f8DWAQnvF2LX4N2nfG50c0muHuLtxa/DXOWF/bNaMy
j5oOW7IKZFSmHF4TTXlZuyGw8KGPRopK4pl8z8w3hLCqWxEHhgYWpQ0fsPLYvRlZhIAdYdTK7JgD
9cyl0x2nSdEu5wvaksGmwgTgZ6jxRlCPVDlt6xJXKBNBaGdxap6SoJFjGoyDvB4CZBioXYGMCsdt
objLTgbUcDMSSHqiIeFZu7y6A2U/QLCphDtMVA1pP4GMogO1OtJC7Qm7ARp2no3JEk5T/61EZ0NH
26cwg8xE8ZzHwcLe5qFf7nQ5enPmFohz4LdU1Q4z2wF0awfqWvi4uWLWQ+t+drj321auIjnpqgDN
lnbtBpmDwgOa2NDOe4K1nkRW06rWmyJkc5BFuNn9injhEci9BeIoymUK8tji7NeM2ypiQ4Ov/aRt
4A4B58ujI7pzJbAEfIbVdTqrjO9Gf3DV2itrBv5i4JMhHwe/hNweTPBGIJ2K8vpOcTtxvIj+sj3P
yCtcJpQNl3BA8LKMLFxXUV25QNug4K3Kw9mmdk7doN40YzWHORhf7K3lRtwoBKXZxmlrt920om+b
+yamHIf1QHqVjkaikoS3QlDIWMmuXEVs0V4WqVqYrbZF9wJwcoSTsffBahaiWdLTERom3kIaXIMh
DMxSKrzG3ix8aus1pIG1u7IZ/N2oBBw3VSDHLDg8XBuC05ZtHwNawXJPkvTHzrEVnOvacrDvIR4F
pJ2yHLZXnd0NO78bcGFEnyCSJKiSjeHrI4q/Qe8xWwBLsYeTpXTQKtswD9RkpoXbJAGWIOLtU1Vg
uhyvMVnPJi9KuxL3gAwB4if8uGmNjhuEnRj1h+clUmpKddspXMYs5CuPwiI9wjAaMakkntDiceX6
9lTCo9JdlEFXI0RjF1aCk9qdR23IWaA5IQnDCtIGFNfnFhaqd+QuqJyCZIqM/NqNRdwkuBzB2i1E
em46utSrUjekKHqve6rCvFBLDdCKkC2KNKFDYsP0lW4+2lW93MtRwZeUp86WZHYLq017HiCRgDA7
svcRrid/yaKsX0vra3sVwLvWODRrz4VuMlrcExkMOj42jMYFIv51eGw6OsaIFU62hHdZ4zUgqgQs
ieqoE22464vX2G6XJ8dyZrR9GGv6cMQy4S7jDjbY5R6Q1VExF3dxa2HFj06N8y90KY7xAWUFz1YV
Gdwv/BoxsBhxqxY7Wc6rJoKJTmJQcGD1FjRbrnCfblAhxr0+OAygfAGNPvMQeiFOCRs7QAE+ynll
QTCEzeHQp2M1kSitCkBAUjYF+pfbS7DyWEU7L8H1GtEeNg7L72gc3Hc5uwHCN9J37k0796CT9fCN
wDz1sJlVyJQL0ryqcYbGrngzdRDLNDh5+IgQdgIGvKfuqSZDDTLV2kZLAI857NhY4vJUiNmycO8y
Idp8nFodi3GOljwiU0MzaI247tGeikmnNczBX97UMUmMR9RBddJFfLBU/bNj+xzMWLLoQxS1qsxm
hThNUjKgXQ9xXQdsE4Smt1fOPLrOqrIMksKsFhKbzC5cs0LCZwSQxD8B4GqnIzSzjO1WGwPbfhP7
FbcypwwQYEIoKSzTdvFVefRnqyp3o1tJmvS2DYxKN0LsCEpWUemlczvoN5dpu8n8hogojx1UhaaN
LcoIgE3P+ROh2xXfZqlbA1575zn54tK+S03njM+RCc21gHotTgGQ9ofUoW33ag1WDO+1H3ygvCWH
vqdkFVSeRrsJXkb/FIecUA65VbGlxm2jCGvTZrZdlVty8DcxojlzJtAbYCeSCnsTDriA5HHMRbmW
sxBRgvxPDFtKrei61Rb0kFoGr0olZoJpyCA36KJJdMaBbc2Izwy043etqDnixqMKwnWlgfZMKzhW
UWLmaOoQ81cuunTQ/wTJksqLitQWlCDCLJBeXcVth/Bwi3sZg/ojoIVATFt1hopOgZhex7xd77Vh
t6H0dLVo6wlbrMARgYp3BDRRNBeKTqd2O4VtNkhneq2wyhQky3kNp7eJSgQ+Y9Zko3GqK2sIhIWK
GctFEAaTCHJ7jRMQbpbX7CAKg1DOhGDpNejqkDmPcWvbdJCQ76FYOZERAXCh9poNBI/gD6gqAEkC
jJ5FlW8Ri2AD6UyeENSp58wGERMOk0TnJ1yZVkH3Ej2XGip+8NoQKdLRh13GILFbyvRk7TQhjtZq
Rr1/BpIHkRs4IkKlNtbom8Hnglcweyxch7NbsZfB7Yrf8MhmlrJqKiH22bSN02/UZEPZPWyJsK4q
W7bjajH4R4J0EhJxkTu0DhA/iE2doDcRwkLzMIcZSvyjbuXLPrivW7u+GikP0GvceK0PsUo0yj5R
M9XNrcUNtUkyLqR0kqiKIQUz1aiibqdpnpG3Ggpo8CKqkiK+4voJ4cosWVcX4NqGCBG/zOUED0mp
aryDSnfx4rPFf2uLapEvtYSbedPjCPEfHBza83Ypapvd4CknSIWR3sfRBlidsyN+4RSvo+oWfDDZ
Nnu7GYVJZcypSrG/DAhnbthCvQe4kF8duqewGDwZPbRjhJ6BghgB54RMhbyfm3qEWRMCqF24RjON
xpRrJUBQiPoAcfiCRJ46jt7Uqy11tLJBu1JBK+/5bNn4Fo0JymNdVZWV+XBz8aU7Vd5xrkqUYuG2
ZN65rHSEADkyBrjmo9JDBPvOlVAOKthCxKoomBWnOPdGIEYG49PhSldW6MBgS2ZlFrzV8QqMEPsR
0XF9aMP/oei8lmPFtTD8RFSRw23T0Tl72zeUdxiiBAiQBE8/X1+eUDPtbpDW+iML3KlliqC9TOkm
ul83o36XXapWXOEynB+CziUqIahWAYLNtsjqnfUpVD3/JHERrdbjeY6t7fbLlFh9o6GsOKavIRNM
bt5yLya1Dh/TGnc1yEMf4+EFgcf+OQ3hubOLK86z7hEp76LUzsUJdW/rHcamSAnzIzGhorBm4+da
tON+MevGza5JW5e4j1REkEJesF0/E4XsuRlcclZEb/h4i4iTWwC7aTowmUakocslnnahp5B4OT6Q
R97OOh5eFDtSd6hTztE9VT3FeCQnuyxOmESC9zBhSuFrS2tnX8/d+l1RcMoMuQxFoQ8bQjLaZo3u
msucTaG8tV66xPuqoTxvH7ezqD/NxpF4aQrGmwKMb/Uqb8c1MUf/Ajd2kdZtXnyZy3COd1kfpF9Y
fb1fwpmG9W89l0nxB6TOJs9crwFLyCqv8kQlGJIqj36psO8TCKy6Y4qVIDWM9pVznsKwB+hSVU/I
aQG0BSuAYnG1gGMqzLYzJ5Vy8y2jZOQ/pftN3DpRJcyxGhL5SLf5iDbO2QKmNDVtxApWyu/yehzk
9tIyh3w4DQNevsZx9waTDpVDbGu/OjdZnen0c+h84pDGjVliIx2ru6wbP08+pK4Y9uXk9skpFqaP
HjPj1QSKDO3026uDGFnuarp2N9DrFZ9Two0fEzM18W6dZu8QN1QPF34t/cNQMPIdgl5st7Z3Vbwr
iwyNZEjR41+/at3kXvfj4oJFAYQxpMY2zjlwpoogeK3US9T7Fp6jFy4uy6Zl2C1bEQJJ21SAcM5p
xSriY63QUmwXf0ybt+qadH3onBgN6KLp3BiXfn3RTNf1BV0D8ILkbox3w9CzEVWF63/wZaZPbBj2
vp1N/K0zfqxdH1b6lNRbke6SWExfW5TNwU5EHSNXNcZByVOQjCj1h3oGIDUqfvbAMQV4QZxg/RjH
1O4AAVaqDUzsvLVA7s4OKWfBcS9pICB9sWR9zoaV0gpYjFDxaXosKQl3NG/R6K+HhNP6zayD/FHA
d0+NnpnDHFf1eUh35aXuwJ4Ow8qml3vtzGeqw06N1Alq9z8pvGDehcPo/eoqp/8p/dZZdoO24iVk
wAr3C0u3PUy+Us+GCBLqvajP+1w6yag2pDI6bNU6UuJ4HTDhL+L2o4o3lnIRV1A9sV8VH21HYUAt
r0D9zOJ9sCgfambZsTH7yura7HXbxRnvQ6heM4hoMKq5XpETAqTIfKqG7NdaIa+8dAz/DxtOwtey
1nB4hTdS1lQYvT52jgKC9tZK/5RFwrhf1R3qDQ/k7GaSTRsfjSebSzEZQoJxSW0EVQBl8juyyPOM
OmF2hgKKGGgaET+tYAAfXA7BH8Q+MEMplDgcW7GFb07D7c7GtAwfAV8kgfCCO33nKEEzQyRr/yde
pvRh6sYBBsMbxzZ30llziAW++pgzt3j2QkIY0nnL3ta0aF2oHU0itVcrgP5u6UDsbO2pZ7xtUXPg
dGQqEWUZfS6+qerTmJD9XoWRSycPPNSdNZI+Lqdd6dS12Qw704eNVnnMBHixWSh6Ei+z+W+ZwIHs
AD/Fe1x6EiAM0PCFPAhpDuj/pyxv+9Ul286rpiCPOoZodghd8EtXa3CTkPvW7EZb6z+VKzFTcikD
1HqRGc2ZGVKHgPTw2TmWeQFpNoS2OQ5T4T6NxegmO2PBufK0t/y+S+ia+aQGOnsoZccYZI0v4JJ1
Z99bXTT/mSEbZV7KOYFFaub4TTqyD8hpC/oPKH8qqjPDDpzLqUv7E3+1/1BWYb3tJlNnpyZgYoCD
KHA/i7p+UePmT5exnXmoQqqPepZEot94ydf+PIwN7dH0tLSv1ThtgsbNzMpDtJAUlbvBmv7ZmgD3
2SIK84JKoH0SfMzHpYwMT8R0ZTVYiudfvTP3dwAD5d9VVxOrI1PbzzwG271ofSCcdI1vhHc1sOg5
i16Dqoqwbcgu/k/azc8Oulli+WoDqDaewXW4LDOPlXJD/5Pd4gqZ6wShmS5lfzsuVTcBuPkT85Dr
X6puLZLDFEQrcrS4rX6yzs7PFNXxp85sy+sRfNIWuTWB/XFCKeVxXdTwC6kEU09aRnW8Z6x0CBAH
D7gx/kqupjElQf/SrSnRacVqhmPDyPuaVME2fqE7XaixUVE/iVPgIKTNReKMR8eWarxdpgymOQ7W
61PWjHo7x8avwjN8hV9Bl7tCXJZBUzxmY0udRzU7m39uukx8NrxqIUitioLfYLGz946zNlBfzJYl
EgtDlA/8d1AdfafpvZyD2/sCgJfxabZT7R663sx8gcrGDmsU/2rA/ASF2bJ4xDegg56jJxddAONg
XQzjTbQxye59GOGvWEKN7wvOKPcguzZEMgG9j56c7aM+s5cVJk+tKbLjts3EM4Ut8NQpa7xuxGS2
joAUien/pRkEFMhbM38kLGUpT3vMF6lRL7Y5L8T8p0tTIVCIb3iassU43s3IbK+OgVgAwXeiGeW7
LCFp/qT8z8ntULtOnauB0tEDBW7pAh1RimC/0SXn1LsV6iPZq41/4B1nWpjdDsXU0AsGfs55UiRP
0RqH/y3j6haHOfUGb1eudfKd0nkBFuEuLmwwTPwxjhrHnJsKswiaaBZSFE0uOcjrFGpqNtXcAxlQ
bepMh8hYDlnrAE8e8SjH04HHDlQArjpETLetEle9dnhR5eqIp6Bv6/pxinqw0Rj0BCVEiMTmhrk1
JCWs7gtSW+sQGVHBlSvyLgprmQfKX5lcxzR6db1so4FqWFklo2ls4e1FMhqWvawCSgvctjsig8Eq
v4bojmA9EwlVt6Tee+t7V56jI2jnYldTJLs+1bHHuZ1Fc95VGcvPwkSf7pwEiNRkcLw5cHz6m/fY
IhoZlhlG0s5TuSeqJF3f/VZx46fCzM4B/dTQ3KjabXgwtwpaTCOjiA86ZmvNOVCTBatUuQZ7wtNr
vqC1Ef2+FX5gH0szeTC8Cn5uOzj+1GyHZRBr9WRVGRNtNMFAPUUB6r+K81Qny5MBTTN7GfVbddMP
WrSPKnYr96TDzjeXTBngejE1rvOErspW5zrusoR108r7dOrLmSHcyXTzDoDXahadQfUvgVprd4Xx
CYf6zSuiNrukfQLpsnROFPENAzN/ltXgjSfpCTD6bHPNW8B6Fu8qovavCbzV1O3tmpn1lBV9An7X
OFjQe2ewfxGMAYfRJ5zoI1o/KvFAK4P+2LZbOh2LFbK1D1fzWwfOshw9p5D9XvbpanNnU7RvmLBH
pbfyuSBY2O6eRKWX8qxJceV+kqawt6jvZnolUpjZvIo0cIQLBAVyKYzM8uXaxZgzfxjMSMLHLCfm
DUQ2ndUwvJSiAqnnojXbwWsjzBNjnV2FRa6J11M7pvMXW075nNgSPsRP6snPJ3QMI8gHGVyHuZX6
XsHzb0fhjGVJkgKDxa9GJzM2vXpIiyM/Mmo42cH+Up42lPN+MEOfoarwtwzoQxbjXdZQw7yjI8o0
h9r2PExiDizKMjX29leHXpH6OOVP+mPjr+yfpwJ53mGJRFC96AX2/FeZOm2IEq0gxTvy+o6Z23ZC
Pyq8A/cjLU3zp+dveiB0KR552zSXb16MNQmypTeRZzuUBJRmu4J2uPpVCBiavAjxGAADQ+4CalVb
cb/KPoQuSpK22sFjxPKCYNKGN3JCa3sAsK7tcVgyDKF6yKx3ZEJN4wMgjsRnwE9eXNa6VI8OJFZ/
XvG0NK9LBpj14aZD5d9Irp7q7yKTdL71VrzLuyZxI3teTRvfeX0yV6eysGLLZbV6RJXGCFHuC9th
1EZaSWDVsm2gc5WTbuzbkAr1u+MmwURtQ9JnD3PmpMtXOAQNT1dYGv9mY84h9bUIlcoVf6zYb7Np
oCMRjCyEQ3Uet1ZbJOkdEUtJdlos/OK56+asBSuNmebyeeL9OcEET8suEH7oHcmybNbDGERFxlM2
JwgyoimsbmRqeCoNIit7Gns3lv+80d1q9FoBQrd5yDIBJzb11nlPQ2oYD83iFM0JlYZt906kveGR
U7l7GoTHNdh7yWCeOv687CyV7YoPSWejfnEJeeejc10V960pGG+t0OUfz8Gcfee1CSdzDEbt3MIe
0lXQgfeS1DBUXvPX2Nin+WHqA3UobR/CnoLDF5emBhhAsbFZGCkObtsdNms6jxKyNJrfHCid+Urb
wPcxb6ZoEgGpi+qyUI/5ByTCSGeH6CZY91KtRbzTcHjdZYEJgE3OhPKPjswcc4zciBz21W/S8iZ2
+tk/RZQuvyWyqLezszZ+ddIa/ns3qbD408Yl8pwF63kHS8K13e/AYgB2kbywbLAfL3itEmdY9jDj
SPIdPcdcHxmXNeI05V+lJFMyn51+cdQtrzlChnQTYftbduxju9UfvehgMu3H+1AvETCR5w8x2WlW
Nrdxn+jbbGxYAdfZIZtpDrfQ0ofYUPni0tZeH521RTASRH0Y5v4UIfvlluRadYeVtUAVzNJjCwt7
6hEg251g6FE7V6ezsxdSkny9FD4CvBrQBxoDgRY2mwzq89DIMW6+2n52v2U46hHMQaHDQ3eRqZ0y
SfIFQxxSX5X23iv7EUFH69iEHH3NNNYPkCbCnKyE6rk0Mri+y7NrefcbYWNoq9hyTaswHvOxVYqS
ys11ZxY3bOA3Tun4PARbBLjtR22z7Ybwul+pxQ9WdCvSSy8SF8B6dra+gZIVJQOZE0bBdYKY2EXx
YEfZXhbIJlgDu5RMomUr6aAcpuk/0VNnV8ZNEx8E3Mrz1segNdkiXbzARbJ9cHJgNxrZQ5+DDDL0
NBaTfTdOhcs/6+X0AqA/PGbpWBesQNP6WpPqYU71KNV27FjuN9SEY/BP8jRFO2AeJpvaC9YQynSL
IRdj46EuytL5v8iZ1vBcxovHH0/wRws6tNaEdySR8wOJMteo7ob4ZVph2vIla5TICzmjKFOlq+8J
ytBEsDCheGdvzTICC+d1pTfTztWnW2f+F9vZ8KAFQu/dYjK3zTWSY++soN3+On7YDKjHY6Fyl7Lt
cg/vOmEsTJrxnqTjEndV1SDyWSEO3hOEgP05WdEI/VbA3QvSwITHFhG5qG+AKcKR+Euh3d1i+xRV
Wckzf0AzZmYmQJ8HrlWjC7owxfZforuNdkHqXZ3jXGpUFZam+e2Eksy907w97V5mkWGE5beAeYoC
hlc11f6JFNAMaYBMhX+QAdjafkGyyz0TBmt9Ltxe9cAP7SxPsq8JAOR1xV6dxHMDpJNW7mULUod7
Mwk6TWZDGt26boZOUQ20kXAXcGmhMLBVeYyXJvVz7TN08IJNcjjMro8c0cYQuKxYV/1g7C8Wf1qP
bglWwXgr9R0FD3ihVxYeZiPXnifR6IcKubgEimOCIBGrIQ5DAS2bA6Nxc3ayzBvuodCztwz+vzsk
4eIglp9EHOWL023BpUGOam9gDngbnA1Z9UHUhlnABKNEx9oAC+VxXY60Bw6JfU9j9qMclJOCWhN3
cPjtlKn6oGIRerm7aReWTyzji2ro1NxFSSq/TBwNSGpXXcRnf0n5zMpOD8Hcpv+ivnFekeQkT7pQ
aA2GCbXfDR8G/Ms2ftflQ2w0kvMxJdCJNWD9MydjJH9ZNbjDLpGrP+3auCmjJ8iKoCJNTzjCh2Yp
Q8+/dHB0PHaQyx5SfLTGB+VO0fZepcC3OxComlzqOSDqtA2HpTtO8RY9ePw6Wd5Hqh7vrlqaHyBx
0eViG+spD2RfvhSNYqIXPFk3ECU8+0HETnmU9TS9VjT1UP2yQiae5rl0QDsnt/jFeb+lR0bQrdiL
YgCaUxNveJ5ssnXvZRKs52CbSrS26ywZtesZeJm/vHV+Jcmm2DzbGueMNkFYfM8wQedrk0SEUINH
eD1FrpgQ+qvWvjpOOK+5ToE8vuUcKPaVYSSFjzBbxyOCn5MYKKNdn0WxSjResaKEIhkwlxwDz1f2
RnDEvcHDpH9UhLrx0qXT8j2ioaj2YxTydvnoi825VonAJ51Mq37u6SqiX6pap+ozCU1ljny3kmNw
DpwPPY1JfGhKzuF87ObI3pi+LFSCtiMM7gyWDo0YSwX4HOsoyXagCJs+Jm2RxUddt/0Vlmmz72Tw
0t9y8e2AClgGb45Q069wdKi4pIlpbQ4yLpY1X+otfZ6GtuG+5aRRxy5uPAcXe0nQFAKOAXpWpm1Q
PCDIrKf9rFPyyhg7ovEVNiUmaK9nEM0TE5Mr7w4DiPa8Cvd7CXX11ExVQIdWsAI1dh3r2oOfbXRL
D2VtUcMYZyRiXM6pv7/aPUYQDKs+fCP9MUcfUrwZ2rEGBLB1XXIlcJAd2IzFrUjmlEstLEGhmatw
YQAnd5/SHea/zM+tve9bBWaTGL2kB0f5fXWp+RX+zdHQtt+hiycETIqTZ68XA1oRKMUVmg0UEO+n
qKzmQ1xNZfvDD1ghzWZDXfYWHzwRuNzGYh8HYfszcD0+usa132hw2yhPtwj90ujpaMq3yY1/FhuM
0XHm5KxZDOPReffaq1UO6plbWvZFtv4O8DA8tgNas99KNda5TKii3T16vXq8bQgX3F63Eiozr+MG
VAGWFzz4gJNGdBfQ5GL6yxgUusc5ja1/01orh0fHU4pzzW4m2OnAwI9ESgUeSgevaIPbeY2mYo9A
cIkJyZl1+BINNiTbo+EQOG/cCzRwlKZGizf4ujqpbTLtsQqnsTtHUymSG80V7VzAiCFAqYaFh4+9
cPb23I6Veyz9CH68ZBkD80jL+aWeMrZ1NwrHD1MN8bob4hTG10Mz9Rpnc+3tuQw7klN9vO1IKyro
0FmkI4f7Fg8Pw0rjOuOUCvURCbbHpy5WZPFUcVgEdlvAoQEZruVpVE4f3vE4JuXBzuzxeekBhO9G
nBbhiXNwW3KBidY5Z66Him9GFcbX2w40qbvG+SbJYXzt1KyW52zqgvDQG7f4HU8oTuou6oq9kUX1
t7RhEezKOajre5usDoAMvqzqzicX+TfIRvZb9wkrcGvdKH3p2PZdpCYo2tpTC12GxBimcHktMEEh
xajExPgZRZZ3cUsK9zjV81pdTIT8l3PKrczeVcG4HjszpcWd6xY+N5dJ/eGJjpSK0nU1XfV7TZxM
6XfosCvwkHbrp+nn1jt5nkLwnhZD5t3peIP9sXJbg/siRABz9BJ/Y9DwPF8nw0FishgXFD4dAjdQ
MGmH6hTVazQgaOi9ATwgjBIiHptt5d/kIDKWIgude88Dli15e70ILzJE9PAmoBzlUQAIbPk4FT5n
QybavzXPW5WnsM3Dh4qSmhQBjBCsHW5jgp+kDSZsQFlgMK9R8T4RXzFVG8gzU5gxWv0eYMD+ZWso
8RD65Bq+OHaVZbUbnLQDwBhW9dY2s5sxfju+09/ObttyOHXl8KnwvEEbabf/2gar35S7LsFLZkua
oPphkb98JZYw12I27i6iJTb+RbHAgGa0Rse78ysrePQ2MwIiNoxRfm5stKbHICUHA5dOsvVHu072
1g8Viw8Cta16NGBUHstyDTazEELc/wmHDch4TvuZXnV8G4E4TCbdPtYqS58ENiXFpOw3yb0LUCno
ei7m8k77VZMe0G/V7X3oKlk+20BugWJwymqBhoHBakU62dv0eUXcrN+hxL2vyYUbOhDh4XSHakbl
wgFdJVyxIAtmV8qF2BDpRdUbYXOtPmsPfTUEj7XiMSj8q9MGy51h9aMq41B0DvdF0VXNHyh1F2AP
ucCSPcWKrLjXLiUvMucZ5GZBWJ1+zVMj3toEdgcPjRAAsmyu3nFqs5jnqKhmP0cCO99B+rK3Tn0o
HlA+X53VdvLNzvfW6Esl7iaeYD6Zmyw5y+U+8SbxDWIVcH/BQqL6WaIez4QH5K7jhlLkaKtj3BLy
Km12a8+kdygRINm6JZnQRbF+dXnZ1m3GjTzA+hcR/+t/AL9leYnBj/pjHSNSYt5AYs/5NXvjHt+n
J+4Lai+9Q82si/wl7TRyyM4NhHksmRXri0mabTm5rlTfDbw1yatbsGo2fk/Xu6Spxn82svF35Y4D
B4T0mrzRafvUFyb95WEC+U6cRiFBLDE7770knaK9XHrcocrr229lFse7rSMPhwQi9lof/DKbLq2Z
I+qKUclFd8Fs6uVXo6Kl2PHyJlR6QKOqfRLXaJuX0EH3O2QBgfyN7AJY8NGmnwzU9IfG2BEIeSpK
HGlo/VFCZsVq+YWSpbBXt8Za7fjqmbR0O0djjvt7dhnPI+o3h0l45muZAoBBSu9teU7DIcQyml09
d9BIjPK5A3lUYX9chY8zLlXPkdLBPTjFvICudvMfadMEp00EBgrQhIFm+8ekZD8sNNtyLIeBQfRY
Jihn5Y4tyuz9uOoIeWOzY+0OW7vkaV3QPjGNvfT3RaUwWMiwEq99FlcDohERq3zWzUhqv6edHqVG
IZ+xbfKwZb52bxjRi3TvOmP1SsFB6NxuvvDUvrFLsT5McSWYetWQhfsMeL9k+Io5q3gpkHUo5c2f
NGlNcb4kcH0FSTUabi61n0W9VOZzsxswtPLjekHUdX1MTdmG/wBq+B0anJfF2aXglKmb15pfyW6B
n0MbRvySoaZUJESTtU/G0CFqw1yhjWK7DkljGWDUnTL4TKT0tXu71hnOdl/U4dtYjiP1jamPBCcu
ywkkrXSchT6iZXmD8pWocTrcByD/dVHsE1+ZW9phGgBRvslH9vL2MZ4LzERgUL3Io34xy4HmbFfv
lulqko4cFzK3xugZ7iA0/VtQkeVbt542O6ub9V6w7tVcfUVhT1JfxZrwz+6zdflSHvQMV3GBUNMD
GYGT/INsfmBBjyL5wBfYWPA5VK0QIHWgjl7W9jAMOvSwFiFoxB3Rb+ppcpah25ddz67vZHyIQxSq
9CcIFowGgKDoz0XoLwzhJdmzFHduWL55HcSILuEq6jSOYHF0U+ni3kUemANoZp9xksW/pdv0/Gfw
7M+5c907Fth6y3v4po+yYFjOQ7P1mAaWon2esK95uxS9IvgusNwOITnICpcSat8BgPkPp+9YHtHQ
YxbkJ7HB0daF9XZR0K2872VGEjhz0pLc15s7P5W1sz5VvifdPeS0GE+xyOx/YsSLsmuiGeYwZTl9
h8EY3jEfcU2lQddGZ29Cf3+r4Cz/iLbAr7C1gY4OVVy1L6Sqapb9MVgeogGC/ioEWKA7plG8hlZ1
/oGQNDST5Wabm4KaNrx40iXWJR6ihLXfCwopOYLrIbvnDHaQfRWRn6Ii8Jx6+A5RIhGAg79nan5q
tJBIFXkixI0XOqPZqyjKsIyU1C08uy4b+FM4ylTdcHbp/wgdCMc7VqylOo0ikp+WErQIZVfTT2/N
EPbOsZZd+lCDTHK31i4/LH8IcjrtAoqQJBAgQhiaECqPBXUObz3ckCNGp86G5iAkGObHJqLyyVgo
vTtATvelddNO3TZZDJ49B0NQP5hkitRtIYOrJHvJvOrQWeZ2LEjt9gcDMcwRGw4jDQsglDMUcfmV
TkxN/D+K6L8gAdHl1616WhH510DqzsgNz2ozaZbLzi8eyZaql4O22fRsHEqULxE8sferUEXwFs7N
9LOFnhlRKC1DtQu7gWUVqUI2J0gnROtUu6XNqCFMkiJeL8rt3O0WH0yfPuOsXl8D2SKFsM2I6/46
ks0305BUlp+xw+CHzwMezXZN6uybQY1IJ2sTFAffFVwWSKiKMySBfp99GXwCujTUBi1zQ676FKdp
Xlal+t7SNEDerd3V3WH3qH/Uls1fmWwdXkAbYkSxyE7/+kxIEIgTCE6OMNrqT+O0CyTewql4hPMJ
wrvJs2zEuInmuw7bK+a4rOQ4Yn1v99na23BXpgKxtAaC6LkTNsjBJQhd/BKEY8bH0GXCf86MybKn
BL8Q+r7ElC8OeKF+tLHJyGYIWGokeLuD1BYrZ0EqlSOR0wjsqXPujr0KzmFQoUFr2SaS/Qqll+Vj
WE5vso00zrkFgxCcb1IcdBi44WWc+gGypkrU16CcaTpp0eFirZal23uqjmNO70KO6PKpE2Tccr8G
vbkw0XLogVqbQJw9kN6rgU2JA5hENPH+2E3kuvHZ4JbQr86m47C4wQlfoGyvW8f8YtoRpC5Bc9UP
LdKZ+R8LnCRDoyvIBtqBjnYJ93q1Pgz4Bz6MPyOblTOzxC7wfTO+rmEWouTbUJPycdOo+2AmXeoL
0V76b1thTdohVRo5H4Yk+Iqksz607spD2Nf90B71uAzvtrHiNam7DTDCjOv3wmX9VyNQia8WqeVJ
VrUz7InoXn10/S563iS10WtUrKgHI5UGn101XI+CNSlEjt1OdvwejHooAFFV7upxJkhnDhGE7TM+
Z7JbOYs+IqIm0FqpuvyYi6qtXwOUXDD/nKvd6+jb6r0VqV1RKc7LE7iwGngUN2w0S+mm+gwVBAQf
lbOIjq6HUXc3AD3+S1bmzP0UbM3DvBZ4c/GaTWhdMMW9dUTQFahzfZJbaBpdsdesdfc9b0OK1dI4
CFW5Gn9cXm+1Rz4qvxOQd8KncCHqPTYOEgykcZMcctp8EhC3hrgQm+aRuP6M7r3UddzTzIh5jyqi
+kSHhJY+GraGdFWSOz4xd2l1JKG4HE8FeqcSifjUjj8b9zgzmNsGr2yYaZWLQKLqd+tJPaM6sfUN
iqWS/zo2Vl5ismX6u60Ty3nclOIpgUyqeXbDGAk0lMAnwf38BMk064d268Nv5SM33SVUH5Ohqwwg
t5Nh5UFKFKOXAhSe3kLW8z94PMR8EoXy/iO2Y/QPluonSoFg5ynN1OX111j8Gm09mWbbArfnbhE2
kWGA2h0Hvw/ypB1W0tP5A5yHRG39B9AYpE9ZGPnJoSsfLDOBm4PQpkxLU71cW+6r+g8nwOLtsIPZ
7G4lrwKq2G+yG5DiIDojghXtS0gegObP7MEB1TKnjIlZa+6TEF0WR95AiGg9MlLt6rbjwNFdNMXv
mli26gfDSlmdZKybO4RTQQaySLARDy2qjAGo0p6BVcbxPFULgQpRg3wyj/2GSq01dBM/34bE4AqI
ZPb3qq261/AH7mmbUhMxsI+rur2iyD81URUt4oQkeG8jPwM1t6ZKH3vPTOMLPBXuMpFeQw2cuvXU
QxfIuT0siYx+zU25kjnMdPZYwDkxyyN5+jV4K3YW7csNutypV0nD8cqKnOlWg/33ZSfBjK6qDfB3
HgRehRFzo6sV834yrt6DnLbykeCe5m7xYhzYOw441b4KDHvZQ5wY6TGlzQ2e79wNXcdzH8hgYY04
9s0YFSmi3iWafm+COj61B7dFKLsTaZgYe6TuVTvLM0J8b/Se0nXBWXXyKr8WuHlwAoryJVvJVhhv
0wBNMJsi+1ZQHmK89FGCNQVfeH2hzC91qG2OvM5hTlXV+BMP8eayAaJ32re1HrCkyzgpjnVBe47c
98r3SSVtUqZvAqC0K/8bpnJEkwlfbcy902dh9oo6fUsPfm8Mk5dbE6AQ9HNS7JbAW/8FRLf0N1vB
wAG5EA7yzdSF+J+082pyFFui9S8iAm9eBchVyZVpMy9EVxs8woP49fejzo0zKqRb3DPzMtMRHa1k
u9y5M9damW8DPKHmNDSf+MtCu0k8VlTyR542Tt78JbRp5x9l42JRszHl2EKgsg+TZhMLqTGsMqWj
/fOoJELKpfNT/8dw0ct0c8m7QFnXZDv9ndWh/blF9A+fKVdDkDqdGBn9c82Zpg9xZug6rAy0EL4U
jRwND5UZa94ObhFMK5kHKvwtqqHAICROfy0vgOJByFpknC6NuBXyiEvmoxSeSJ5A2uljSrdbAYXN
fiGi/sLpGVAnQMYoAZbj19aFn6WI3i54eXdjiq+gHWaXZoDhLEk6ouEbg6lvemmARGxRIABxEb1q
ban/kKHPcF/knfUk5UNGP2OZZOeF0iI0oSSNiGy4dzIe4panLWLDuxxVT1PbA6Up7jBOpPpaKSYd
OH3O+L4V2hapA5bb2gpaaf3sg8J/i5mAwQ2AhIskGsjsuE2pVz/ToCN87NSQFKiRUj/ylI7fDL2h
gzOnysP3fPAFby3HuVCuKd/1X9rM6JaZrsvVqq68vt1nfYnoigme4Lm1SPEBm4ADvO69HL4p4j8d
e8WIET9t2YH74cwN+xAYQH+ATeId0AuKPJdCd7ke0qEu3HNdnJ8ul/f7TpH610KhCOeUckAVE+pM
ptsBdg076CypJ0euxbBMikbt1945Dr4iNxLyamhS6xEiK1onnZqc3USVNGMB0gKUaqgBQ1+Qum3O
a9x7js9SW3R/hiA4keySygXPdhJ1lcgLbExcSYpbwcF8poRPaVopEuFwCQJStqWfQlr3Wqv503V6
zfOUA5S7EXgKnupkis+kB2Gk7X3IoR6SD2ep2fTkUB7MoQY03dOinf6pqPfID42Sm8Cs/QrshEhp
tuBApX3kBkpeMTTfq4dH2SANCi299Fq7q8hKoysiDTxIKtSHj0mp9OHKrMxgJGgVhfgot/AKKB0I
5O3ysm97R0x5cdm8f0WwE5cILJZxrqCS+C0SC1TkooVfycrZkWO/+w10nrefB+AUjczAaNTVuTJ8
KCTc16szyqKDiziY9hQUqCU4aHa0J7EzKXE3nsfDCXwe+ywB7/Zae4VKsdiqKsdQyTUDnRPLE9Iv
IfksKAvlo4HO2JfLueu9/Zmms19N8VI6sSw37feLQsmbPPrFioh7qddzvqnTQpRFDxR8Y9laC8o6
YmajEoq0ixSRinTBnIBxVRAXAHDB00yCq1lqX/Px2eN4GjLBfLGepxtLHbzXUjTgO1O41Z6NXLw4
kMrbQ9GWyXIA6OqDo9frX9D3we7ADCH/jkwfj42BtK/o8ooXDwjNWCNTmTrpggxkDFcd8rbkCvCb
EO0AhwyGEMwEtNJ8oNAup2XyNU67xHswk0TowXgnopNGOkIBlmTyZyvXEDnrtG7YFTzaf56hGUBS
F7roKRhKTYZEBy1mAQK5UahTgi1eRhIVfvaZVT2cRcmTaXxildlTrvrkUTIxq/5kUpu/nUkN8wVl
ZvJIJ2NweWu1tDRc0yr6Q0pqq1uEmadYv3VRoISkUJtf+VJs0b3pItXPyEfoOZxxM+VVVOdZClKg
ULa9WlJDqTIt8DdnvTIHx6IElbtmI9NWxwR1/yCNEkPu5Ry0BxxrG7sUmkChSbgDYTU2blP2edpc
ugeYABAmOrRHpE0Rwg2zeFSDAxSr6k03DKt/hDFi6Ufy15YKLxZKh9FbSEm1QsKRg2UYCNFaTxtI
YKFqBD9gDEQggiurqw+B3+vVTmn6EZfWSuFu6Ps8P6DzLnc7sfV6CiZQWcJ4CY7BZON2MZRACfbv
z5Ac8A8LzsUR3BBobwKK1kAgyILryJ/l886A2iBseLW0Mrzg+py4BVWoM1oQUGhISoRg1BYesZRg
W7QYi5dlwsOJkxVSFbTDUhFkR08809vi5RDy1BRhBBGhrYcOTTt0zRFAPjrmbPzcRMzEH0D81bYW
qo1y8CshA8ICkzjsuNQCuBmlLeGs0ydyQAPcTDqPacuutvzz2tJiiIkU2xplOSDNqT5cOopuYyZY
ZvNy/To8TYfADhOp/tU1hXJMVWStE9tqyPLsLvQZRIQq00UPl+lf6uIBkE2qfpOQkqAIrAlCdyJF
FZRfQEsGUKkNUASqEwF3AQ0jUx4kN4iiSvYlNFr9Z4KjAf2hUKMwhlal3tPpaD8CaTMSpyuBoYMG
p/C6TPO49jZJp7fGCpWeslpZHQELFyIYDssWozLOwTrrFoKafRk123OWwkYO2lLZ9b0v+hZZ6kBS
3oZMLR/ljOz+NwNAl3SsgR4i8DVcavMpyuvCe7QgSZK9yAUBmfQBM6sCwq3wTVKr9kw7X37tOTHI
96+toqSYD/tFBn4HPTxWU0f2/OJUC3UmbxpyCybiS7L8HMmhjxK8KBNcF3EHskcYqZAZxQhxS8zr
R5ve58SuA1blqS4lXplWWSMykBpm8BcPzL5aoZrZHFvZKCo37PSmBaZcC/4GTrEv2nl7vsDmgoQg
CQ8myXvkujwr8E5enMs/o1zwi01uFrkJMt3iFQK1V/8Ll1KjLFRTrEPHyTfbmGSDoZgUzyogMcW3
88AFmMOfS4N4GwSRWP9lisTb5AZgwLvn8FIoew1dumB9jkAiIImGbtRCI5FHf+Ak8uOvSLR0/ojR
1cSnc1Hl5wMtgOkwUSpqVR0rqwDuNrBk4gaekE/MLguaUryoTa5Tom4qkh5th9abk1aBmh5Jm/f9
VtGB/QitosMEMNSzB42taVUixV7rdmhOD79Us9VCYLl19DajgXurby2jYAiKRBNlrl95oq0at6lk
gnyqd+CGm/BZTlI3BYOHQcBN4mIQ/Bd/SJbNWdqY69q2WakZ8WXpnjipKQMvEukNQpOQyScUembk
vcUn0NTugtq17yIh4oAL2aUb+lXY/nK2ucCoXzuVD6VbsjYqeiuQFSd6qALDahPDb3ZdUlzctqQB
SgkEi3pwR3dBeASAKiy8WtwXzVLQje8ZlLWN2AbywYei4M0oEd90j5BkCzQp7e4NEQXVqZC51qCj
E5zPzY7yh9te1lH62/K/IdA1s9i3SsOjHbTemWxUf8zJTA+d1Mhwk5qdeerrl7N96TfGThPc2jak
lzDblY7ir1KEGOwzzRwP6Vxjljsr/cH+RFaYBEggo64A9/QHL+q8pqGp5kLnu/zSdt0SaPmaykkg
LQNrZoKluyMniWnRHFtm7NORGyGd+MS6of1Kbg/NfkAvg8eOL67QHrC4KLUcRsEfnp2knd18hBzX
m4vyR+6EZX6OZ7b87TyQgBPFcbnHRtPvjeCvpIPLGoJni2bZjurOwS+WlNB2UfH0+WrfNSLRu4H9
bejSdFNRo1X6BALDTlLTE1i+B6V5itTnf2CEpyplACIzedp5PM58pdZVr92hZfvF0qXfsNZPZqDM
aGRPx8KxIASBDmhY5BU1c3JedcGqRFPLUVEKv5bSk2y8msWMiekOwYQkAi5BTFgjZpQmLdekvLVo
LC5HB3Coee2W0En1dZmsQVd8PmXTwz41NNmKhNBabRKVHaL8VMdPsfdHtt7K5vC5lTsz9mE4k6MW
0rJgSEopOlTlmxz+Mq3DMNeja27GJnrPWhAn1CqZsUS1q+agcHldXADgejnjN+bGMln9XOi9oA+V
6GCEr56299Rf6nmmzcPcooyfcHUiEWHrVatlujrvqPl7FkWMni7V/3hapks/6e4StAokKxEraAja
iYRMhvlN1U//buXHZbsaSghPQAUAGh0UqCex8Bv5QIiXM9trnPLrC/Q/IyGwVCRR5uRMRgI+IBdy
UY8OowrZgsLZVqwh4n4+kruLYlKM17gUdVBuH0fCQw48M/1QDkF+MNGSjRAblcJfZZfPGLq5Hsbh
yBoORjFIpCjK5LQYbSaJwSVODmH9SHYjrB7NBjVn8IND/v2ikbWjzoU+5nKQD57xLUbfW0lNu6cy
E4C9tJAB+3zoUy316QdNzlZfD+pF8PigYJDdBPmzUJMp9fpOKeRQ6uil8vVzg/fm+noGJmeMDhie
XpEUOrTWSv6RoSyZmtQ1Z2d6XLPpxrm2Mzlog1GQNC385BCjX5qCWYZpBzoIuTdrhZyeBfUy7pcG
3IfPx/e+I6eGTcXg1lMkYN7THduYsSTCC0kOViYcIE6CqDsirgcTAOE+4Tl+Mt54KbaP6VZ/TJFr
Ig0+12bk3hybqjk2MyDYU/XJHEdKoDUXsHuH3AkaNxBopQKzX8vmhjreIDdD1SRdhmGg0dhnMscX
yfQAHdbJoaifSPkuUEtLeKRJ372FcVKXCGoB5UvsmQmetvQwZBo3Ec7oIgGWLusTlxAD8SpJMF2O
MkIeIu/YClUI+jNH7ZPevUjnBxKDEQmbxliZ8ltfJMdxLQDAXJAHy9dkPZZam8581c0dNfmoiTOs
w/DSI/l2OTYQLy/9S4gQgoW0WEP2QjovP5+CG6c4GiO2VhDWsWRaZ3z0Vznqn1rqMQOG/0TmZ1GW
v/93Azq/P3aGQoBp+lIiZQnESMsvx44qnqIg0S18/9zCe5jzYe8whmsTkzEIba+ZPM0vR+KhhW4+
BuovxrxXY7dDtpuy+AYJkLawZtbp/2GXl5hhaARg1uRskPNF+zBrL8c427f5d+QQHWGk7VkHwUQG
6a1vkJuca+52cyAZLNNo0CCQPieEsB8XrILKUlDTH44CYtJ1CjWCMwlyZacGM2fyniU6Y0u8NumQ
Qd+Qj5bMwvPKzi/Eo+ojvY6klBdt0A0HKDXTwHrO0HQerayPVT8Rjw3qAnt0fgXSlSjncnCTTX2x
TOfzDXPXniGTn39/zJiTO/pCcoEXcS8e5SpeJPWzRfyEOn6Rbj63c3MhyvqYI1BlmfSoIcuTpdJ8
sEngXkQI8Mah1uJVXbz4RYmkkkp5Rj62Z/H5c4vyre/ApEFsQ1aCR8fUoaVw2yu1u4hH44yuaqIK
b5Wnm6/pQKknRe/rQVOV87aibLdVq0H6RbavWKtkQR20Yqt9GlHSGiT4wQvPj9KHvgbljnqbtkVJ
ZNHU+V81jBeo2Vq9bhGmWNSUPmyhE/apqUUbND2D71DMg5mTdm8iFVgwCGKx42VtshMB05whoMji
Ueqes+9RjB+0h9apy30+sxXvnGnetmhEkmfBHUrTPqyUY4RzlVscL1TD41xa5rruhsNWMXs7R12n
h6PTDeg6DRf387W7XbrRjdDS3MRJGgR2H4/buYplunb0w9HQhSXqB6h/CMs23Qbg1yrlr8+NvfdC
/OgzP1qbTCk0f4mbrx2O5U+A6fX34Zf0LG6tZbT0HHUjb1ofBcSF9SN99F+al3xbLj//gPduNzcf
IPP85t2qafp7f7mrkF8VkO4BjDocu63/RDnhgV6Rwl570p1hlX/Zh8eU1q7WplpHOxBZM8Zvog2Z
0auKSUdxjf/Io4e4Mh4jiwRC2BiOfoV4E9yqh0DX1mqUfpNSar/oPKMNV7+dYUrDGXNqZfj2T77A
ItHKvpYVkgQfv6CXNdDw6I4cq0rgcJVfyNtuvN7pIm0DUf0vaNJg8XUzXjTEtZ8bv7fTiHjovK1J
oyrrxC81oT9EFVX/o5JVL+a2Mmwry57T4Y+Zr/6VpfddeDXPAVV3iCv6+54+L1Q489Tjt+mQbIQO
hpOZffnc3q1nH9NGxOokOjWux8m6ZgqwJyv2xSMj3Da6t0QEGk2I/MlsZyzddRSkf+H7chlz+U9M
kXQOBlVM8UmHQj9D/PgZVS+0hYsguwlevigS0S3Oxpx/ujvCK7OTfYO2oJLGJWYFo1qW7SqsS1vQ
810SeS+eJ4MpdwO/2vl5iUa0g8pXI3Tb0IrdnOx8Odd9fIzKp4eY24YMpaEhzqZPdlIvn9sz+qzi
MeuScGW1/R+6DXXrPkYg4POVvbdneQFpoiXRx0ib7qRUzjTQrIxbpf4WDwg0rwFO5t2rBnv5c1Pv
qczpqK5tTbJdQ9nnhZrE4rHTGvhe9JSxKT+vVSF7BVSx72RFsCO1fxyK8kRR6yEd1Oc0GR4j1Kxs
FKYjt0oBQ2vI6y8MC7WuTFIgc4kHH5noYKhPfiihXyiUg3Mmg4i2BYUZT/oVmNpKBt5oF7Ln6m0H
KFuuZhy/dBvwU6pF9cK0RJnspzUZnFFEIfDTkqBE1lA0Vup9EzdfRW2I7DTJ6PKkZG9IIW/OhfoX
tcFdaAbbpDzLMIiVNbjsYeZuv/s9CjcAyVJ6CFuTYIzQkwy414jHmlhi0WlyZIOtVWes3DmuJgGC
Rt8bheceucqP/jZvLNptxYJ0PC9QdN12q3PnRgfwwFGxRPTu8x10e0g/Gps8Zks4/IKi+PLRLOFP
5PJjauwHOqyB3BbXn5u6PzBaBujUhRRRtiYOQUEEUskh9BzhhXT6MnKMv4I9QlxQ5V/7fzQwTbFk
WSR4tsTJwABED2FDRpqTwXsUNcUA5VSABlBxPh/WrWNhBglh8eQWFa9pxIeoUDLoFwwNTYVei1wM
q5q+Viv/rPgzUfpdU7pI4dxCMEWXx+Dz6o4SpEuaNzyAjiX17z9QxkLbD7vspx7qPz8f1K0PY1Dj
cwCon2yJ5nSpEKTWLB9LGYAMIBt20m6BU6RoaJ2TmdKANAZwH50YxixUmi3dlHiITFxznKhxRcMS
GdBEjhgwqDvjlbZSa9V4qY2/UkAEYfgF/iNSq+sYhqcSzHRnvz3YlM11XiG4a5MS4WSvZAEMwqKj
RYh5AcpOiJNSbU/1f7BReMUZKqGMBHZzYgVxM4nSdCcfCepFkDEqeEI5s+Wnz5fu3om+NjO57dUS
Kj6dm+XjOcEJboXwhJ4rWLDPrUi3cSlzNoYwjIh9P63x5tWQCx5idMdI+X0BGynELzVSqlm6jpPf
AJYWakpzdTDep88N3zsD13Yns3jJyb8rxkU++hRw1VR9MLq1lNfLz61I8p09eW1mMouKnivdkEry
MTujaWB6inOmC5lblWT/R1QovTzqdsMrqNwj4x1ukZ5Md7ERh48XxAlmvmY0NjkgdKy3VJW7h2tB
n5xGtc4g/He+cbyA3CHXwMsXfZ2FXxqKi/hw434++PG8TcxZBm9zi+uHlZ2a8yij6LGK/F8b/aWg
J06uzPb7k5yzY2uYPX7zEBTVzBm8NWqJUO011dRJ7/HM4KOufBtUmhYaW2wcw0JaC9lieE6UY3eR
HuPoydS3lj5j784Ko1WhWoSCCg9ZurZ+NKh4UQ+msrOOstS4BdofVXgq4g0S7ojRlYuiBXbSvKqK
ZBtwfnEeM7N8510LSNmEkjl6PuLScQtejdiCQmNG6iU4pc0PzTpAWV2o0UoCEhf3dgO8p0d/kSmn
v4GQnsAvDpedAWsKKagC2bBGT2lJ+cvSCufz5b83M4bJq8RS6CPKm3ey988wp4HySN4xhnIDlEqs
iB+3ANNbgPEBjVVJDEE2/qYvw7luzTdolfEiQA5cGl/axFPTXu3toNQgb33/1DXyl7zc5LFdN0sS
jOjf74ymdy2kWUsB+SlrWJ3TnRYeJWHth9XMkbtzKQHgIIjncUbIwiP84+rAvoEkJcX+Cc6ko2hf
xIGsSvl8/imD3dgB4BXPvo3KjtPl3w1/5vq9zSJ9ND656PNMq1tUM/xTnJnL4oLAOXILlvoXcu92
DupP8uaa/o67/eOZZ7KR2Ve4n0S0xienIaSNCXQyxT8h3gTxMATVhpCktUYuZa5Oc+ekj8EFxw5k
oWpM6zR07houxsXwT/oOWUk13GT93uisRaLH7rn4LpgzB23O3mRoakQXFZq0+ae8GYtR6Mpkjw0t
+mDzO4iIfn54btOaCsATsEYka3hvE+V+3Ddg+WQdBZToNFz2/jpRNxd/p0Z/WhYwjl4alSo7ivj5
8qL7+6QjhWxL/c/IQZVJsGVhZQkPFXLIHgqqRS7YRbeCKRigZZ5E4dxD42bNP36qMnnP0EwRZf64
iU7nL8F3Ftw8Fr+L195tNskWNNqrB1R9ZnpuIq2JyYmX72gbS9/CLjpV3XeFjt7N78+n/+amnPz+
xKciK2dUusfvqy1yI2ZhQxQuwh9t8/1/t2PKOllenftRmYasZlvW2WW4RKe6+6qW1d7McUmpfjmF
fifMrNNNLM6YTJXzQuDIvSxOlikrtK4WYo8xGWm2EvtzgvhowRt4yM/r6tK0G3ifM1HW7VtNAQ5E
tIE7wBuTov+4jcULD1Ok44ZdY9PFxO1W7M4N3IdwFrZ2czyxRHJVGR/UJGimYXGqQVQMW1/ckbF2
+o2wD21zKa7DmVvtdmd8NDO51C6WEaSRQLPrZts78Rrwqjz3vr3d3KMJi6IGqIoxfvo4Z1ZopKKg
huKu3pCddiAvLSrnp3+0t4hNPf76X3fgB2PTyhD5SjrmDUxbvA4cy5Yfpc3nBm633UcDk6OajPHR
RXxfl85FdOYR+MDMmsi3HuijjclxLUQLcaQuEHfGM7yQFFIL/Jun/pHp++odQttjZJ0THkl677uf
1slbdBs4KEvjsZk5ZDc37vsu/O/amcrHtatp+lukXSTuKteirmDZ1jZ0jJnx3j6aJlbGHXQV8nWw
ayokRtkhTueiV7c0HfXnQl6Qy5oZz/1T9fd4Jpcekmdp00aMB/7ZQ+QItnGS14IzZ+aun7ja8+bk
WCFeDNs4YwUrFzSPQ0IQP5H9aFdz21GaW6GJR0IXAxXhFkveyVo37niI4Zec4tf8wdrLG8UulvJX
un5ZjjJzac2dhEk0Rv96FNRkLMt2YOcPiuvPz+Pc6Ca+YyjauIDPJe6GpbVM+7XyRvhtZw/qQrIR
KrX1vXVEqtVqHH92fPe3JRlNAjLArEQtH7dlkUVqqAXJuC0b19smjrwpHHAkS7o+zXiV28fFeASu
bE3ciix7tCCkVcNuXMSLG6+Ntedk62CtuGcncT/3YXf9y5WxiX/JNFMZRuLUbvO0nrshx3/7IWKe
DGTiMUqSVoUCFGDXshNDN2Xfd07v2rzLnfDr5+O4f8x03QA9QhKAStjHFUIPJxWErBDBkMdrFFvc
/CE+5jvPjmb8xqyliYtSBbToAwVL4wGrFp6D/tc223r23KmatTRxURIyx2Ixjqlz2021CF3iQUd9
LFfnGYDrXV94NXkTH5XTlSbxL/noo3pHtcfr0tjW/37qph4qay5nU2NA6CJu+k3k1Avpj42g19O/
3A0Th4QeiCVFCgMql+g4LKqFtY9tyaav1MxumJu5iVdqaHefeTEjargVE0gjxIB2fRJnBnTX+f29
QNPCipcLjaJbjKd3xstX3lDEt+c8zx0vDiqQgF3CyVHLnqwOUH3KoxCcMRLYEUYuj+k/OKYfbEwW
ZohUWo+Z71sanSFnUS8W542wmbt178zXBzOTZcktWl9BNBmXhZ69tsjlRzeKmbW/Lb8BtLuaMH1y
K/hoIIRDSO/uYgF9364f6TDqRPjqEOFxyCSJbc6ZVG596geTk8uB9lwqclMMTDnop9GvCnaGhvyi
cURn+2fOL9y79ygHW7xuyHmAGpvMo4Q2YHRujfHe6zf59/yh5xQZP0KHfn0zQ7vN9o2z+betKdq6
o+uokdfvttJ9i2bzU4c3qkhH0EXsUX72DpJ9/iUvkq344D3NOtvRbU9uqw/mJzNLc74SbuS7+dGt
Jw7w0ffTXCzpymAHvPNmnNT4izcWATuC1GR+gQbz91exrizpUoJEH5MbLuCXP+Suuuhtmr3bqBvP
ePi7e5XXKrhQEoiaqk0u+roi/V5XsbRLU0jWAWV9/aTxBPs2dCfN31bpSQahpLzQHHfRQfk2BH1u
vHcemOOD+b+fMO7tq/FKQRHGqMxKXGeynTjWPnuDYN1999bUVW1zLzx69vlNFGfsvlMIp/N8bXdy
YQ+9JiCJgd3KFQ5oipdO6Jj28NjtuVcf5S+hnSKeTds6xzvUP9Ckcqq5At6da4LCmaXz7qUUepMN
QfuFuQfrydtao6uvE7yET+HT6GXptbRMH+naRs+x4Cnbl4vYmXNUd4/Wlfnp9SFUCQk3mo7ugkft
UDu78lHd1o/hermU9iva8v6gn9ufga2XrWb2+L1TpVm6CsUTcgP/n6y51p1l8VKx5qfG1dbVLuDO
99ajG5EX8sP8O+E9J3ez2lcWJy5L1NuLr4S1tENbjw7Fbmcbz91qDGmydWVfXB6WJGxQrXroN91q
fMh668G2kHL/SU/FZFEs599H8p1QGKjLf6dBm9wUkRBCLh6YBmutHcwT1f1Tsx2W9H8h2KJBffZW
/aQJ/Sq36WjBg77gYTGzEnci/Q+fMPFvnRdGaKPxCb2TOHQlcM477yhvBjtaZztaUtvCy1xAce8p
88HmxOnwXKt0gc7YLEOeL+K18v7QhjPvAFfpnq31zBjHafxk7adIA6NUtE4xS2n3l/IQEJf3bLLc
tpxZQ3PrOXEpNV3i00RkYArH6byvbMFGE9ZGHKVz6KK9mRnXzCnSJg+BEjEWbxjH1bnju94jyEi3
LcNLjx7+wv9Hj9APKzd5EfDOMso0GleOwzI+Q/vHyjaesvXFAZs+F0XPbpRJ6Dl2hlEFj80ZPLZO
uqeV0fvqdQ5aRNt87kKYm86JU+rrUS/ewEU0XETtBpoafdic2kGrypU33trDCQgnjRA7tw02D93B
yXXNrurdS+HKKUw8lekjY1DqrCq9eN/zQqhM2e1hdFaqg+i1XR1HP2A5wmwyTxnv2k9OyjR01elZ
SNcn1tc8edtijyt06bG597/WDjBpZv1Amu8A5G1t0VF20W6TL3rpDDZd6tuFsW2cZJ/sad36D3OA
13tPn3gqGqSbltayGc7ul8qtyHEeV9pJXMxdi3ejW1DDlqTD9yCsnmxyWPZx1MSdtNN3w0/j3WPQ
p9ilO8h6NpF7L9i7tjXZ4aXQdHqF+sl7GlB67pfdqt3QRxf/n639Y70wVsl+vBYjDjSSMYvPXci4
pW/X+++hTrY82uENPQ4w32zRwbRJHHPpRXOA1rlBTnZ0pCteiMg7fsomcrezQ3ga3SINDA7/6CV0
NaHTKxVfL6E0jy2q7uRV2xfPacfbk+WTF+o/e+wBs4SyAEQWcNlkVyZKQoLpIv3ntEaP5g7ZePwF
i7dpOQ/mMnA/X7K7URsho44eg4qmpT5Zs7Qz/DSjpeOOtol/ekf+otSbl8KRVsWjcHGRW1rnu/My
2J15aAorbS5mvbeYeCekIQwZYb7pBDcXZJBSOqntLE6GyQ4F92qjleUQpc+9Tu5d3Ne2JpNbNKaY
1GhP7S4rXuw7y+6f6kW2/f94B43nbHoQri1NQhJEAftKjRiVcUAs/kf7YqwjLlTzsf5T/sj2xVKl
CODZl6fPF/MWtjGS8q5mc/L4wc8gmtsyQtqCns77lphUe/Cc8o+x9W3lt7ioURqZsXl3BcHRjago
GnpOnbzneVJcao3MPScs2sN567us4gqetPjwTxyMdWVrsoISEjJhMdTslvVYDA1/VxsA7TNB7L0b
89rIZPFaTSulGEHC9zM/uk7C+pVGgPf5xM2ZmayVVlbd2AtmnLeY3Hu7RQ1+AYp75oDfvX+uhzPG
KVcP4vKSyxSsW5nCbnuoTsqD757JVLUr9Ws4w5efG9IkgqzlTjYG2ne/15Bpql05dEpmt8+t0OyY
JndqyB1nUo6XuVPHeN93R7fc295C2hVfP1+me/lxOFZ/7+/JnRrTJfMs+QyqdCDb7EM3oLwQrAne
/uWGmHjiczagtDRubuT6H8ec1Oj3GdScGxxX4cY5XQ1ocn+ez1Klj70kuaXHOy1eqz8u+/GRipii
g7K+M5xX1q9/N4vG5G2qtJ5UVwFGx5KrSGImtYctCn62N+OP3mlgk+Eh1SIqpKpN2gJMMdNGigJy
ol5kyoTdPl4DZnhUnJ81KIDOgRv+45WD5hbPz75zOs1N7Z0A6IPtyRJWCGumECPk3cO3/Ci78cOw
QJPbbm0MazbqtW66TFZzczt6is9GPFnQ2iiUXO4Z8fBI2Re9XJL3NMB5TI/9XifIVF5mFvNOju16
mNNMT4WwnawlDNNY7CTHf8iXh83RzffV8XX9a2ZO7/iUD7YmLj8awD+rEYNrXLrF8mCLH6NFs9Zm
Dt+9OOiDnYnXt/o+RI+XMX1DPPy7aAvAAobN5jdA38X37/IStU3a+rFd56Bq6p3Vk95BProB0n8K
86zCuJatvmAy1WafFuVrnMSrmQW7c0fLEuglFbYCbDd1/IarOyAE9yMpl2o88v8pu8S7/KHej1X6
WXDF/fH8bWtyCaDwrSCzPNqy31OwwQLp6zGyG1NP1GQdS5h9ZN3bkGBVR6C0Bd5PnIyvCS9l00il
vIv0CgqkK4jfjfSPbsyKTtwzJItAY0FNKqOs2seJbNImTqVIlXfqquUlTxWT5NrmCXSsKy/JNToi
V/jM4t1zKtc2J4PTYpUOMAk2pYN3Sp+aL9lGdBXnhYZJdulmX5J9+lLvFbdbf2743kJe250sJE+R
s0CnIXmHyigNG5aV9vtzA/fCVXhBf8/m5BqnY4xvqDEWBLQYRz1kw/HyB9GjNcvZzdp91a7K/K3J
hE2ufTULp6T57xz+/J5/uf6GyfWOgKaU1TAMdqLtbeOHt9j1XXE33k+Id+JGO4cyBg03QZvMnfx7
WJoP459cF63c0E6uVeQdrWLdeN9ulEcJSnO7aBfJAg3hi6MvFbe0cXcvM1M/t6kmd4Yq5TIkgvGm
etu9IUy7eHlarY4UBvrVc7eYq0Ldq45cj/Td+145oPTMRqK3DE8vW18NzluxOPyVOBs0UbgcdW7m
cnxPP3SLX/92kt8/7cp0UKNMLV2YZJo5UacVFsPm8LI6jlmQH/RPInl7mksbzOyp90T9lUm1lI2e
8unobjtMRkuERcm2z70gbgWd0CFFbWPUAIBqpEyVDo1SCOkTpY37h04S0WO7PCwP4eL379ItXVo1
/fDtPzP7ZrwGp7HGtcnJNanU6KCHPrNJrRZ4xXlbkOapt+WTvs7t2YrWXRd0NcCJu6UhWt0EBQMM
AjLSy92L/3405G/iT20rOLnz+ejmzI1/f7VusioYYRpiTovPi0Hcq+doxsL7bf7Z/E2cqtVGdJ3w
/u9uVG3VDd2zzXqNJyBZl/Yf+hDN2Lx71GGxWrRbUyEXTDycQIoF3QBd3mXffPoStk7+Fdhtobg0
D/58/iaWoEYBkNY0eSzjw8LUJv5MlhGFtTI5e10iiv8q4VEPdI5bf25kGqn9x8qoMkNJG+LbNKHa
iUkuxbmavX4BdhMdAmroKJTREMHeoqu5oIHHuls/291CyubeFpM46sb0ZCotwfD9xFCy1wdn2fwO
nAG4VLYcFma7yVCZtu0/ye781uWuv4wre2YdpwIYN9Yn06s3XRdnNQMvf1ZuHkKlTRfNi618AZVh
NW65PHWL01ioWc9ZVj+e+v9YBvVGgRsCuKJPTn2oCAENosP0NVF+0q2qR3teL4JFNITghE3zSxWg
JpkgbrxB0Locu4PPSfG9k2qvDs77J+DjUBbSZUq80zSToSYdYuJl+trTz8tcVbSpRrTAld0LGun2
5XcaLy/0kIlXg7qxVvGuPJQFlWZ1qdPe/VH6PaSuvK7qhyhcZ9rx8y05iQr/820wME1TQ2/GUifb
oov8luaJYvpqSfQIF86mDFsow3SU27QanKvpjD7iZiqgphPHw8sXp5I9l1JSC93S0te0v9COIckW
aknnHFNafT6sd/HUqSFcBkcaW9BLJ/GZconPaqvX2atOieqNDndn4Qh1By0d8Qs6a8VC/F3laOJ3
tFvaxpsyWArlcuA++Nn3K2g9RuQknjukCOtv/ZCOUdv/Q9p37TiOLNt+EQF685p0kihTMiz3QpSl
955ffxZr7j0jUbwi9r6DGTTQNd3BzIyMiAyzVvjCbvkTRnxBRe+gcPrrxvoQal57fPzp07mxvyO5
/vTJkYBtJYTrqBNbFrW2izHBA9ZMEgE5HuGURQXrJCfpqj0sJZn/gGDu9kwax3E5DGzcodT4IVih
XAk20BFVCRwB5BKiebPRngCCpwJ3qzcrkNaT/Ns3S3tk3AEHZoXkwBdgscutz69rYeEYp30B/+zF
1SdNfA46/jyv6fBJlaH1Oq/3P8ZafDIT+NKv7JdfwXPHBsabTEycnR6fAzdnOTDR9r/bMVEhj6kk
L2eGxA7W4jH8eOV/D/5JssR1vPXVwnIDs9J/kShUN/HZN4T1HjOuB/SI4PcNVltKUE4Th39bAful
YJYeY7x3AFs0lfZVn8epzQMIM1+D7guA/aCHjF+bhqGfKx90nRoHiHS89Fk/OddDTD8DZz5+TTkl
chf8yZzdQJJK4DDrjjfINE7sPfwMDAypXVfeYNBlmoCSPv4qK1o4NwW9NCw+6vxENYHHDBQfnkM6
E2P2+PlVeKN0EgjPSym1MVHOr2WfYY2MzhlNosDdxOXgeIyKiF/QvukjZ9xyoK7jtYyOTx4w7JME
DtszIZPVVWqzkSYKpAh0XMkiXXGnAk06JtOfeC3fFaLFMSsJ/RsFiiNLAfk0Uv7nI1Df4gHjKnHA
MbpdOtd7PStkdWpTK5HZsWAn5km+zQHG2BPsOhob1yWvJ6BQqg3AgWZf0vrxRZjTPBhRTCMBNxIV
xSlYF++5rOQJeWp/4omZq/F7eqkwK+F/LsiZ0SnIGYFkeRD93jmHLGG5gfawUgd9IlhoOVxyD5z0
0KY8BBcuSDNATscIAHqlSF246jDownMI0Jlc+E9HG/+2HZ1oDMAcRtiju0WDqjNy+QRnXxhVurE3
Z0rb8FuPIEj5fl7IFM7ZfEwIA6SG5mgRaH2jLbrS76Lx/M4V+tQOCQIThABWAdKTRBX2oJCtiZQY
GUWWQqNJUfGfJcKcAPYbEOQYl74VCv4FiqnBBGq3dNZqVN5LhK0ZfpWBL5BQadITqQENWOTJl1Zx
HXNo6KUSHDtzsXG5cNgIPWT6Dlm/YfLAwc3HNzgO/dL5LvWddJzCaQmoF4GTUKTAmkcA1V7AM4mS
rpLKpbR3QkEBT6nThKEWYjQX1Hhd5ILovK/rYIvBtjLU6D5kX5KM419AlYp5eNorW8zHSz4DnyGl
zNZtI1ohCtt6z07GCs9FUjboNZQo3uaaJFsaIp7zZZjzBD8msBgxJj1t9YtAhFo4ykgXi75GUQef
m9QAFCkkYLhRqfyTfcPnUBuWI+lTm4PkiFHFz/Y1N0RHlRkVYGlEpKuFd8+073VUAoAl4HswoI4w
cAoQz4L4sqg9xrVHDh4JfX8hi6ZHUTI7cIhtXEyktCBjizp94PaP7/vf6+3WqGNeUwA2PZo+Aev8
Z/mulD6vXV4OwS9ta6/vvZ6s0TFQrSnynpJ3bAQ5lBgFy9UUZUx5DX9PiHrWfo9HdYMhPm27hRlE
6Swib6q6OuKfVU/O50Q9ZypI1dGZtNls1PPSe+LeRuHCcOiJQY8qvn3q94AKGeec4jgXJn8Ddxwp
q3XoPXndguu5vxa3YibZA89JBbkGwPQFaTbdjfYlIEQAIISJXYsDlfvjg5gOUUIHbqVNrI+b5nA8
IaS5rdar2VoiaLz5zba73c4AC8X656tXSLfpVLIdfsOnpU6KmZtxK39iiJimKlrgVTkXTTTR670z
PksVxENkzT89vdBGRkQEVGA7UoH5vxDH3D9IbkVPgjyZDWUpHEWDtpDPfpnwEIJM9fH+3geStzLG
w77Sc1DauDHMinPxIjuvc+JXCzdpmpr55wAFboTTQaoE6Cq3EiiwmrUDl1KXeOU8/ZjdptnsAWj5
jWq2JWj9gr7c50qwHgGRMcSNnAyTPaNz0W24oqYugM4iXbUeqdd6kIjmn5X40goLlfnZE4JtGt2U
BBoM9nZtDlvwA9U3kCZg6qA0Y+mZQzv44yOaiXEUGhBfMIK43DTC2lsp/YD6v5xQ1CXVQz025a1M
Nr8uun6XkrpzBgT7wqPPHRAWeGjdChLRvCeVnUNdOjc2umwTlBwpy11e/echM1Z0JWiyb1zJp6CG
hSAlafF2QwsFT4NHViI+/RVFw9IGzlmsa3ETi1WWNV86hUJdLHBIYjKFPaJblOB9/cWoeqKrG9Fa
eCjPXSuEpADeQbwEgLHJThZczkUDjwVGSqOLIMsT8G5/rBYzuocAkBlzg6hwAtf79rCyqKzAohu7
diQWL4VfbMFaWxPPj/XHcmZuFOqoIE/BcvDk+Gv/vbIQshS0QTOUrp2U6QbAOQdHCF+VxP/k8p7k
cWMwLL1wrWayUsqNzMmBdXzneZycuvbOOABrH2AD+KVDBn5NzDWBs1U3K2cf4U17Xoh2/yaVJo7/
RvTEXDGFIJZVC9Gvr7T6LOrPrQq+x5VANMNYKzo+4RPpcpcg31CA/83iNREDXGplIktYrqxM034X
MrMz2nvzRaMiXB2ARHFKIFS5a/u+shIHcI0L9DbvGC0uKrUs2YXNnxUHIzO+qkAqJU70KmAy2WFj
17VDkCqzul8LwORahZWVpfHCxZxzrqgvMzyHUWWkP/+c/9XS2CYsq46XXbve5LJauthQjiQywXjp
oXpKNMFRS4dUGNkmLmZBHcI7F8DXfrR5QdI3p1z4nmkr++irbr5n4j3A1gt4bYp1bUyKM6+7AK0R
BmjzfgN0DanOgmeclLPuhE1cLxh2hbABrb1dDmZ+arY0Y30ISCQJu/4/BZ76RxbARjHDhRoCso63
OkR1FR3nYeTZVkx2A2EYvf/+tp4j5Ka+2xW3BE85F7WhkPCvvElOPXA8oaHRp263wbqpLEAehpbX
GBIYl2niOyvkB/wBWPaRFnmcxvFW4x8Y+jVW1mxloZOJJhm1kRIdDNlal2xDR1qIe/4ekNN7fv2F
k6xN70WDQzeBZ2NmGhyHBooeQIolCC+/3Y26Z97ZccK50n8uh4Nx2lLo8FbPR+11Z63O/Kd/8LVE
XTn6t6S1pCWrpf64+avx7w5OO3gTTsoG3gs9mxWsgCXVSwkCWMyRi2ogbYBNnW56gByzxZrVomMv
7vJLyZDuozpRidpLx8xbSMbPJJxwN64+aGIXkBvx/bbEkQqgO3DeGIrRBWXFOZnWVootpEYK1FgO
uSe6AGb3psw08OsqP4W8A1M9iZylqtjM6xAfBJgCEIYgKwG4/VudBohPlwPI0rNpVd7wemkOL+yT
r9KvrRZrjoNBTHrhxs65wmuJE7fUJ6wSV17q2VKxEnO1LzE1nvTvSM17SznM+e1GIYIDocUIVji5
QTUyvI3QY7tz3uAAvxBr/LnYe5h3VPR2H5FEk7xDSaMYYA6gjSYR5uAujz3/vDkUxJEHDuR3CAlv
d7gemcfBAYojr8xBLND/w20C96N11ZxFfjcJ1rEcmqwjgS2+VIWlkuRc4IsqNYAMAdnGwRVNrJbQ
iKCoTiC/NwWS/4KgPiBgjmZUNTQW/P60aebPQmKzkesB2QDAASfq3Qwgxs2T3rMxa2u45TMYw2PH
0xr6yPpWII5816oPPk/2Lc+IS2m0pArS88KGz8V01x8xUekhU0agusGza+lcy6oirxhMK3RETrX+
GHrHvi81JvUB7Gb0axZPfLFgF3zgX+PG1DCivxOUFTDfgHObfEOYDUw0VPgGlEKNONKYirxhuHSf
7G3bjo1Qw9gC+YXJO/43ix8zycBPBp3ndIa8KwW5cmkRFk+NdQkQUxQGXcxG1z8E9Tv9FBZSx7M+
CkHO/8qbnLhfSnzeCZBXb9DMWlySp1CvttIq3Yma91GsuP2wocw9WB/AmrXxSP2JWTJ16cjH7Zxu
NxoIgE6D96oAcNzbO1a4Rc3GUemDw/UM3mv/KBU6yN1YdyMp+zjcut/Uhlti0pqNcq+lTryf7wnA
DWwg1eNU4/V9533VZqmWxBj94Cte5sm6VyV09oi+/iQSkfQ+iml7ew9eL1IQ+9y/WPWC5s1ZVxnz
7eCDgOLdYQsqIDZWYsnxbD8zvepS1FbCvkkYBu1SsrTro6We7vpoVJDbkxgQT0xialBPZkPE0Ujv
tbpP3E2/84kMhto9SyTwxP03vhOGZeSLxTwHkGBvD1kp0IDKhZRvp7WrC/yXKxGO1bMO2CaKUYtP
dKr6GHBPfytgFG7jQAOBtyryalyYkbL0+B6FTdaO3QUzHi+jfngH5IYyWJ77LhvYSmWK0Yqhj61j
BsJCgDXzjMDQODIxEDACjU40rOMCjgNfdmA31Ybi1IrTQr33nuTh+7HZGP+eyWrQriLxUBpEAohv
b7eW5WtZrgQqssM609BtDJRZwtdrf1dwK591CbqcFx7eM/vHoajIY5QMABB4mt1K9JlG9MJOiWCn
DtWmNxbHjWaU80bAxAIXZdA7SQ0B6X6wEo39ySz0fiDeQ1+xcmk/KePxFs4vCJluRFJoBZmCeuYJ
QoCKhzy+J035Ikj7ZNgEycdjKTPlFCSmRU6EbQeOwh1LFxPHBVvmQWxjMDQtSKVJJLhU22YLMNYt
3tQDOTUk058SoMokiV49M0iTn1ePv2J8vk/V5fojJhffQ4OT29T4CDDG6zymqVL387GEmd1EjRDd
gzRiUw4W5lY9WraWmLbM0ajVwXEPax+IqG1+dBe0cGYhcBo8YhXAsIKwZfyMq6dzkThR1qdYSNHE
zxJdyQZTFJn+eC1zEdiNlMligMTEezw4z+1IOTTNhts6fqSCnSdidn36yg1m2YGBcSkWuy/+ofJz
tbaJT6wLUCkPmRcjsg+lszD8lsMxyPeJe2FKvIfWQbsQC8wYEUS4PIwIIC7RXDLJsBaprzRJGMZ2
K5C6CkkQnvruraiMjkXjoHdceo/f6QgMIgQBlBhJY7xcJofXSCx4BcU0sf0+AEJulKFsbIImyVej
kF1QlDtDPJE1OUJeLuKOCcLEZkpJC0DM59FGjBZwHyRHNf31WGHutBLCEESPaUnAUGFxt1qZJlJf
Sj76g8CVpLjNZ1OU348l3D/7RhFj4wPmBJDrn5YqsxF3h2Ea9CmiscJDTah5fWUAFScY7hNrWdSS
Mt7F5Jh7wPVCiwXo6MAmOzkrLgNRC0gcMpS/YbAw9k0BkswlPyKmvgfAfSAYfrzC+6f/ROLkxFCH
F7uQ4jLbyjrrE/wQZoNu4J/AaAjIztRjTb5XavilpUu3feb0xqQfnBpQBWl0BE5Oz3f8MHD93Mbr
RntXLEAJOQZxWe2jMpVAW2wiv7t2WCiaKYAQD0cq4LFxK8/1U1F2uja3eTNFsVv3DHBxDCHJfrqF
pOZdbDmRNLrcK2sZxArSjBIk1f53JGrnmibnvl+4aUvLGbf3SogQUGzSjEJiwvdqwq9Ehdiyoy08
lJbETF2YSIVs4TC5netj43GARLSihx5h3oSL7xuPlfG++2PcOWDFo8ggw2D9efWrRSFOFEB+K+ZQ
f/Fdfjfid6Xc12tgoJ5bEjVLKngX+0Acj3o/jaFnHgwGk8WJlVdWGfoubfS9SsTyP/LUKHntRUwI
RgvFeHHG6T7RMkocaZtZFoEkDMvtqdEOn5XAtS5sVNd6MuC1B84eEOocJGStMGTAXzBimGqSozbR
uaJO0c+wFFHeJ1om3zDRnMYHE1sJBjEb0xT1CByuZTGpPBUYHZtNJyzo6biHNzHQRNpkjzNJapxc
6Qq7MIDhbi3Bks5Z6JsdnVhMuvRkLhXLws79Ne410XaGnBO6fOtCbcU9SZdFDsMx5H60oonFxHBc
yKZuXdiJshNEs3mlWGhPEB9zZ6OUaJslS6nARbWZxCiBlAlhxUFtuHTHUNoQo/30hdez2Ai+Mgzd
YGQfIPwxi25pNAYShgpV7g2tMsLilbmLlnCc44TeyKCITKgw8blVG6IDkYpLm3FPMQCi5IRIzGZw
1Aqwie1x0Jdq7Pcd8/CCYGv+40/C3f/LpV3ZBMTwfe2HTml3xWuIdjg7ehGQkozHNvVgLxNpl1gg
TRs2ssEhUfTYIs3EMyCJgj0C/RwPfPrJXaHphgsiRSntrH4NarXRxOYcZ0TmF+TMuAxQoY2tBBIi
Ggx5TOyCV8cyk8aVHQSngVtJtlvsoEgt8boFtA5uvBAT9QUtDIO6jILqDDhPb0UhJ5KDHZCrbFqv
kYP5RJ+RZLgb377sggIT1h8bFtkXoMsAbMx0D4mq6qdz8WNhphbTc0sDinPxBz4HuSgwwQEyZdpD
MeS9IjitWNlRrXpg/zTiXE+2viV1vzjZFQArzUGxwmotDCvWIy3y7ZTG7+Xf6LUIFxzCfToSunb9
MZOr7Q5+0LSFXMGpNt8YJATsH9pcCYCkEYah4kFIiL40T5dIC0Q6ayl1M2rT9GgEFjqAQBMsOPTk
aJgyExsq62u7EMH65CjcoMYZCK0f6zQ74/ZEdDriVTx2GiLAu9WAoo05pwbaml0MBQFDEPscFeuR
yJGUsR4AtnPlAbpJIu6g862Zo5m6BP97QJoPuX3xZCvgrbpWU+/t8Xf9Zb1vl8+goRnz/uMTE79O
XAUe80EtxWxnFwwRTw74oM2m0LkvwBytwNY3uKbHkz5T23w7sFqb6gx3iAIS0ysp0drQQjN4bfaM
lpXfjgY6aV4BL6fuDN8hO6iPv3VmD2+/dbKHcRSmIePSnV2SHbQSCYZ3VA3GzoERLsDXL4mV7QX1
HKmIJL4XhN8HZbfCJ2qKLKMvp/nQ4cn6Hqm7XkfOMgTlw+eYPL3sFPL+4pO3D8FkVFvdv3wsyL/v
xB5p10ZmBjyOxufXJClFKXyXyLnQIUwDy0CoD6sY7YdhoSUgFHA1gbSYsXfUBbH3hutW6uR2xJxS
ybygdHbV7XsB8VlUgklzFTNLnUnc/T28lTSJ0lgwUfJ+ifUZMTEO2nuvdkatDxgVq9B+oatbZKk/
AclIYhPj25gYL4hKWyqsNVnKU9/Pokz2evzWK/enJHEn5ozT2fFzsuVeeMCID6tTBFEe7FGuVlA4
91sJiHZE2QCoGAueaYqdAgS1282Y3MqBQdsRU+MD3PybqazEIxW/DWuesMlbGGRj4ycgwcmCit/b
KEhlkJcZib8BKzxJklC+CzhQhsKyCfNleOen9zX1Va0DQyTZxwcnoRvWOTh7jkQm7ZIRlXLhA+49
Mj4ARKlIR8LtwyLd7rvg+go7yG5vQ3wfkR1mci/hxiWnH/7bPK2js4lZQUwef/L779UvoHiXivL3
k1vjxqM1CWzDmC1B69XtF1BUFPBOHPf2s/V62PnWJ/h39geUqnxyyizTNPf6uSebzUe53tubSPcI
mn6Pq+fHGzEe79QoX3/F5PiZqGJTh42wD0BALF6kMiRAiFs47rkLh+PEiY/YFugLv10qWg8yqSiz
3vYH3SklPWIU/fEy5o7zWsLkShelk4pekfd2GQNyTogIx+HihqbLSJoQ4rnZL7Ik38eOY/n+30VN
zo/pgw4Yy2lvZ9rzbodiQUqs/vj6unv31MMl313g4rWEUU8dWQ9k7axdcuGsdayahOi6nTLE9gBp
ifbVp9U5IBs92WM41v5N1G/t8ebMWVZuZGfDSCbGQ6cZQp4aC7QxLlsbj2S8x2B4zzDVHMsLxzwr
By3WeDugXRb8aLfHHDjDEMTjncqQCx9TnzKCK1pEA0X1+3hFc1o7FtYxQoNGLxA+3krKHC5reiXs
bfxPLREEDAyKbEsaZED/vwTdwei02LtovKRK/OawVkXbHPP6WMTsrv27ljvu5jYvQVUb9KChBvKz
u43xMGDCFzdbqtUtbNq0wbipBVeBN+3tmu/wwEpwDxPQkeaht368ornrfnU6yuQyClXaU70EQU6L
N5WCOn9a/RfnAv5LhLgwneNE0a0C1DLLp3RU9HYT1hoToXnU3QvBQrp2CiH95xuvpUycRCuBgzZP
IAWpom08Pk5edwdaPxhP2aohp846nYAb1ehvHzxLPmiiYT7j8Vb+1cum9vn6EyamE70TjcMXUMBM
e7VSIikwMzvDOJzgqsxh/8QdE7L9ACHMeYU+ikhdMB1zR/k3OMNhLhD9DZMr3bOYHPzT/7pDk3ia
EDl8f7zCOa28ljBa9qsAqMwC0Q06LLAM0bPgaaL7nDFLHXr/j5PENMv/WcfUYAgxK5URpPjBKibP
u3TsTjisTwIy4vapffriSYvYowHIAwBW1HEvMYOxYB8XlvoXil0tVWoDELvK+IhqtI/Kj2BHrvGf
7yaKeHj7YYAScBKTe8E0XV5Lbo97gentMhEMJ5fXubLULz7zkkaxED09QKtCWgODQrenFoUBz9Vs
M6DfBbjX0MlujeFzbR3uiA76M1ctNtJHpq6Whstmsps3gqfVNZC5JSIoPwebI4Vnih9+aJXv9FPe
EAeDcvxKeUo/H2/pXGiBIBGMu3CfqOlNFJRmiqDi0nKwYzQx9YnOoykgqE94J7+HwUL2Zty26W2H
HMzyYwSVxiP5dluTHiw/ZcsOttwnpI7ONZNpGUfoVyo4Kly2ifOlmZ3Zx961yMlJBlWSpnHJDXjs
WT0wvtEupLqrd4BXGa5N4lpN0Pew1DM0++pA1g1YtqBQxVj1eFWurkLLJmEgN/JgD6GhREbe0aQL
Uy3mXnyKtPS2rnVMq64fn+RM/YFByPCv1NEVX0l1a6VLlNwZ7AYkDyJJGh1NxBKvNvUvoyrxExhy
AQEQvzrs6rHk2XO9Ejwxo0XU5DSbQTCrPPkbBtwl4RudvnmcWWziJQS0ucD0epUTJUolR5CUZBTm
HltQwgs/WWpG3XGpt2SKHf7nHsfOPhpWQEIMOfHzIQZr3ZgTBnu3K1XLQBZp1Vxym9JNTDGqvkFr
NqN+9Yb+cYxhIupVZv4Gem0dF5zU7IKBTcxjhhkX9e+ldXWsTO5wfqsog41MPScb1YrzVHBAL1VW
Zg/xSsx0X8u05pUeYpJs1xz6nLQwBAkQ3mTluQKByWOVmU1BiYB9RmcQAmqgAdwqa1kzoDXOPNpm
yHpN6SdXvxw+3wUMjR4+1+vTGuAqhkst9iXfe3wJzWwomSFHhzLqlD8tr+ukriuqsemBtSkhUwVu
ycpx945wlIGxUqAqIFCkJ4qTFq6XF3XQ2oho4IlFVflkLHhikhzWP8nq6wWk5uif25QVOa9sh3ir
j80KwDmS5r4s7PJ99H37KZNdRodBJkVu2NrPHOEOAP8gjIEHHFqIYnMkqqPX5ssbZuT25eF8zJf6
VO/7mHAVr3diYgdlCri/fQjxsv3a/2L2Xz0wxBiFI74Tt18v/AHYlvt9pfbEe/9Ftf7x+udP+9+T
mFjEIeRLMaxwEln/EleHXFqolc9o8e0CJ5avattIcnksMNOAz268Grw6jNNXlUue9ARlnu1GXa2+
ZX2RmmNUoltfeit5cl3lmm6lIo1aBJYloKdovEg1xdViJVQjALlI5UqJTI85FMJTlFhxtjhtvPQB
E886VDI9tCH2liOv4f4dxRhPu3Cr9ZrwmqnTxibbnGERl6LMmdjsZuHTGFDyhi5kRrlWg9AMOF+R
cfk5BS8AxN+onr6inlYYln2sRzPJ/Vuhk6dSTElBzKYQ2qpCTQA89777bM6X8HhJN+u1KegvEZLX
CaGNNwSHpGbGEnxLFvHhZpzS7YdMHky90Cap/2dbcn28zq3+/l5dFNKMCZqdqF4C7WQmFom327dU
0Pew4eQ8jt0A9HfB6y/d7r945MoxsUqdp2kC5adWz6/Au8gRW4mqsQaOM6D0Tz+SvtUlTPmzhLE3
R0U7LtzuxQ8Yr//VB9Rd08exh1MZwQCBRIboDv4Dm+ATADua2eqJktQXXd9gB6Ld0TMXXtD3nvn2
MCbmre9lIW4oyPcwXui0lpzZDKBNnEQN8oV35D3m3K0p/Zsdv1prICt1p4ymNNdjlPR2vH5Yg8Xl
SWc2e5WFI9GWlH5xeyfGjSuzrK4ziERXgmAw2to7u6QZ4wK8K09od9puYw2Ge4OJ/pfvI/ctnpbm
+mfSyLdbPDFzUuhQoNwdbztADayxUQHdCvSm2OKgR3DrzgpVSX16eQE1BSAkdK4nOngCE+IcMoIW
dRz9arVw7FOAb0SGtx81MX1hEudu0YwfBaaiA3KN8O1If57MLwLD5z/B5gPb+5tbP7ZCf8+GBzb/
T0eudGBQPCoOR7kh4Xcx0artzpAwa+top1N32hLqCFVAlx3epQtXbUHT/4zylWQHyDpOSEMyl+dr
5KuMPkstv3LVIByMtGH1xyudaZu42eFpu1tRlKkXZ5BXaK/5x47bIh4kZmugRPeEJZ5dQ1s41Jk3
263IadSmeCwVRhCZac7OMQXD3zgr/uBY/ZLdXIgP/9TrajOj+P96sHFWa7drtkNKDocEgL8ucbbm
E1JuiUiAp3yGGi0yWCwd5cRoVUpXpsp4o8TYrErTwcR9DCrGYU2Fi3mU8XY+UthJ/BXKTpYVCmT1
phb45BUuKicGyk9Y6Pr0JKlf8vkthR3T7N8j4A2sBbXlZj9AAiARiGxGds/Jocp9VAZBgiiJByB+
jdRmrhqncHeSL36rgoBqHR7XnlFZ3AlVixRXxzfU5Dg6q5U8jD17i42cMy0j0LOrT5o4rdz15aIK
8En9kQ8BhLKDKSdraUD/qGN8kT1SdGcVb4GFrZg99iuxk2PHaGCcxxyOAvBUmqhm8lvsZ6qTmzGj
Pr68f11Ud6d+JWpy6qkkKFGjwG8A7/jYfI2PYxrBP6t+JpgCxdHjP8a6FNCCNW71fs9qKP6mqABi
StconrcvHNp4aYAFNeSnqMiJXb/UxluwFzY6QIK0I8YEgNi9FfulTRr3/tGXTzweG3lsx/Nxa9cO
u69D2qYYbqk+P1MTHxUA3bxoYaLHGult1JI7Se4r8hg2ISMljRELslEObr+kD3t0pGGqQ8cMyypB
8cxyP1f54vjYvS7INEsrosQhhzoOrN5+wZCzZSNVKFjWdKQFVbWuHapQaSfes7JEElqKtMcqwYxr
ut3YG4nTQlOeNEwbeElvaxRLwp8gABs2bx0pDcq4IOreut6KmmxvD5yqcPCwuFalTeFgWbJq7YCF
hZjF0/KFW3X/voYwFElhYcb817TDjmnSqmg6rMvxVD8nmHfVFm7TTPfkKEJEHQinBRjDSc7bLzHt
1w8oxAJeYxy6f393V4AlGMhLf5BrslePQ2I83sMZG4XOeYCIARkf84UYt7xVEAU1uy6o3AF7CGZR
NIx9Hk7DStRKA32+6ZqodqC35DdYZEee8cLopucxGAGYIIwtTOeYnRAvCqoWejuoN32rZ5IIaKJ9
WaGlC7ivUvUFwAaSZEtJxXs/cSt2/PmVS25Y1mP9HGKROdXxt1MIMreBq1ILIdw9loJwK2hy9YK8
kBoP0+r2M5JsiXZAPiS0LsDJw8yfYpXqZ2kefJABMsg2jtzMh/VWZy3QD9qAGzbt1BBXjbnZNCZI
jc6Vin83qXGmCU16zN4uNbLMqTcgjpAuG6eMAT5yuy1iFQxRJniDzfTnxMpzW/GNsPUWVHzmoYFN
uRIzmuWr3Wf4MleKFurGbupjzmOK4ysipq7vx0LV7znS1VVlrM6rj1CLzMeqPmcKkQ+EKeZllHvk
iaazeRZnMZcMtuu4aqUcHA79aIFFcTHGIeUFYTMPh5EgWGGB0YySuCRMXu+KE6AKmaIukGwpKwNI
HlSAwuPhJKmfqNG9yDhFkFLukD0pzKVeqFG1pjb4WvjkMFmnLIo6QoLXjVbicyYi2JGQ5WV/S5it
IkcAUi0CT8zZ/WuZk5NtFE9p3BgLZrYdRnizlSSpPgX844IjPaqhL7l0fHygcxYEA0gi6PzQpYGn
yCTQYdokariIaWzpBSYfkMapkfMar+wa24nX8OmP5c3s6o24SbBTF2Dncju6sflNoGEmDpibTKxS
5ZPrmU61gKoxo603wsafX10UPhqEKiqxNl6VKKNPtLx4zQ+Vu1Cnm91DRAZjJy9KthhMvpWjNJUI
loCqtTs6ip5EIdzJbZoTz+kFvc4Lat0GMUN4IFjHtaeYAt8vUZExo2ZMtBUXBTj+wFcbO2onbhwd
qqCZ5pTG9juNDkwhG5EsqU38wp7Sz/yTa0n8+fgkxZnI4UbkZNWxLzJZ40AkT5tZ8VZ/Uswn76uZ
b9EJYXLND4nPrL3ujcYxd5qQ7fLkmAHHNjE7ZRc5z3F/qNBOKQDz9idUwHWabGTQgva71Dnx+NNK
pIuISnB4wrF/B3SB2BneoMWpWoLEQjajxKzBFH8eNhyqktV3ANTcTUKrefXiRV+i8JW0J7FWuXYt
lKUaO1sx0ztp7W/yoAHGSaUC2FXsl/hpZpwAtgXGCkNNmO0TJnaj6WrUSAqUTPjMGs4lo1JGzR/C
fhypSr1N3QHIWedkYLM/JRjBfumWetFmnPPNB0yMCBIPfcQlPtIercb3JP7tvV+UqOPGrMUFzZ+Z
LwCuAshAx+EQBF1/OnJ1wzg6q9gKzshmc0MgGWiaM5C3GcGhMQojMaO1JXuqZwxWbDvGECGtyKmO
EeMJe5be/5ixgYNBLfiNuRjw5qsmRibKOgoMMvgqwFu+Cg7ZoW12bJ+l9FcKQH2lb9WeqWb2gi2d
MTfA1KFlEXDlAvguJsFKLGYi4ISjzk4GESpKqwkIzhOklHOM7QWvj6/fzIXnGAnTsCjKjWABkxAM
BVg5Stu8s6WK8p8bvE4JL3bOgjbPlA9kjpGB0QfAS6CITGdVBCX1WEdGm74EwhrwGBiRoymdpwGq
KWtIIdkDyquo0juIcGPN59AU0apRK6l8fxaLTVkCu66gVpmnM5zxeAfu8T+B7SaBBxddf3BgaHK5
NbuB7DJ9OEidHWAKqjOKeMsLGTnm3g8LLAwUK4EojLd0qTmUmuemS5PHHzDzNL39gOlVjwMfBhmt
4/EzEL6M91Z/1dzPkBx/V6isrIDrmrsq+9bQJO4t/M5SDm7mpgMFYGyYHql4MfN9uwFs3uCxVeA5
VaB3Hdkip9VAr2kcBkIfxEO79Z/KdbBZLax6xoXfSJ1oXtUOwHNi0bhkVUaEjgkS7nPCgcnocorN
n4psW2P7Jaloa23Xm25nqwsfMPc6vvmAyT3DXiA85cfXMfwAYwDSp9G6/yHtu3Zkx5Vlv0iAHCXq
Va68utpUuxehrbz3+vob6n3PniqWTgl7n1mYNQM00CmSSTKZmRHxIXpo0Xo0bw92boZR+JZBGgA4
PUgxL2d4yHhO8QYeESjwZwSFiv45HZ/GZD1oG5UubbaZG1UC1g6NxFDCgE8zJ7eCUCGtemE8+Ykh
vTYfEdookHw76or59fLitBbgsaBO/HksI4x0aVqXrE8/PzvLVZ8raKfCel0cwMGJc1MC8EfX3FEf
JKNAKANil2it+ob45BfOkrD1TD8OmJnQQw3JGhUUsWyLQxxFSpTXA1qrVLs4+IJOvV80Aux8vGRj
d++Ru7Fde5Al5K3/eJEvDLMDLzsVfE093lPhWhS2nqKLdK/KrZ6Jhp8tvN5mwgMgaaA1gqZUINM1
5m7SirzhaIlnRS3t209Z+y37J01dGBGZuYpkcUoLUJWAMoR9pxV4IQq1httB0p8HyDqS1/Bb+e33
gg22e4PYhf4+2q3JG+OerroPAUpdK7Q2jEb+gVu62LfW/g0wh6212u+tj2EjWDJkmzYvo7F/225/
l3RYZ7aZLKsg4xdB7oCjjDlI1bTluzATh1Oc34OuUitMLQLSpobgDILm26s9UxaClMiZMWaXlQC1
8moAY7vDnfIRm6BbP+nqQ73+Wq0soKJBIMmBc1186RYP7Jmj88I042mtJjVowRSGk7gqEBYF+qe9
+34+VECRxc/aavvBbcjCCTZ3Wl7YZByuq/LUrQlsJnrxrOqv4eYgOPlzuHB8zD3WZXRgqwqoR5Ai
YB07luuKG1tMa4YEWGpmhoI3Byil+Q0esBXiL9euLfqamMUdt1GP3+QJtBdPS3I+M6UwrO7ZZzB3
YuuG7uB3+AwQxgvg8XVqTK64HV8t+Y47tZ/AWvYA74HzdfMoAE9IFtxr8h7mIYYWdPxRALEA3QCz
xLJbZZgF7Lwh+6lCp6IPt933r5n22gAeFyLQ2dcdqGM4opjaV/0J7RzvUKA0x738TLfo3VfQThBD
td5blVa0KUpTXZ0eURrRzN9JJADkatyxBYCxhnoQtCr1pV08P/R/voy5l/EELvikr/tToPLVLvII
dQiNH2+Pf5q/G8P/6+0+u6XqTqslIS9hxBXfRNFrnosU0SVQS+nhtqXZ4QDuhlZ30LBf5Va9AcCF
psBE+6H/WFBg7aWlC3/JxHQung1GIhVpQ7fpT8/NYCQQgMCS3uX2X0/QPtkAfqhIxtv2ETXq22Ob
3a3kbHDsWok9Nwp/ll/F7cGeBEWz1UOwQuBuFqb1JsI/1r/aJkZVZSmzNruE/9hm0+VKKtG2aNr+
1Cpk3fHPvPbJK6N1e4Rz9+zZAFUmcuNrrgc/EZzRy35q11T7FyGwQz8x/wszgJxM1CJAELL0x30F
Ap9W6vtTnnsGrT89yW7zxwpP79t25h47iBf+McS4SjJG4FERh/5EhcpKUqC1iVvq8KBMTwHc9tE4
HAVIpoXirxSqRg7mvbZFecolsl2o/cYT5WetTxY8eLJ6tRvPvopxI4mgGV7jsZQjiphPYkUj249L
NErW6D/x/SK6H1r5s+SotNBKOBfgEIKqBzCEwG2SaWed7ZwE0iAu4YCKrvL6vhMDqyjuh/GZpOKO
15Yy7jNt8ajuAGog4gUMeCibiO5TDq/+AnlZt0KzTGAqpZ5q6BjXK4jojd9yDWjfNn6pweQCuo7+
V0mMUQLz4UI+c/YuR7oFWIA/RUV25xDSahCuQRdw8Zt4r64gm7FkZe0hlD5U2Q57iOhAVWfUXhec
b0rrs8s8kZhNRTUqo353Odu+L7YQefZ4NHvwRoY08YFzcj05ui/+Qg5lLpcKGkvkzRRIHKAHgQlX
0qFvvVRMxpMpvAggNflcNSh2p3r10iycgTPBGG5QCPGgSEgQJzOWpEgZSzdFLSPc1I3RmxU64KDh
HD8svWxAHH09f+ieBuKVgIVBRqL9cv6aqJLrKEfQr0Gx5KD1o6tYVY1ksA16Y4HqcVGLvlGMrtzb
sahyn0Uvu69D1rfciqdpr+je9DDUIx9bwsgkn4BGtlW47KeX/Dp6alIIGwIjQWVP5z00vxuQAY/S
B1XxKjQdlQXyEEGc5fGe1mqgWEoua5mVJcjefkO93uVtqMlxFAlWmgUGlQk/mKXc8uld7ydkkhwD
YtmaIKWpnTboZNVFCAtzlgZRCEn3omEIzL7zQmXTjZ12LyVtLN1latbHO3nIRO9Q+kHJmYrPuZIO
7e6cX40Z6ig7ECuI4V2S1qR8VTO1zY5tGJTapq/RLbkqq1jKcbUrAXpExy6Wba2PJWGX5cNQbsVE
cacagugqB1HgC4BTOlcS7DSuvCecgX7/mAxBXB18QnzVKMH5DTU7UoBwNiuDEK88TQbpuabIQX2M
ki4P7REdY80qyTRamvKYD4BmDAnU7wKXi8DEI8Z8YxFXlPy1UNI+AK1TwUenTI7b9IuQBJ3suj8i
S/aZiLkILbPIzTjfQX1Azu+VpNPktdqDmP9eLRofmLKhlDhdrMUis+JKjQdMfdkHo0G7JEveUzBW
KVaAhEH1VVPRK7/kqkk8sFeNFZeum0zWuq3HcSR8BqONH1o+ULDxUxaFYlToZQUkHRQNklBx2lYl
wQnyCx5gbKgBAUSvRX2Oek/ZakjKe16jQte7UlLhwcu6ZjRj/H9R6wVp8Heupekp0qDha3W513q7
qkRi5Df2hCDutlUbE9/hmkYhb/g1OdojErVr32uprmvI16XaUzzGw6D3EDMUraJJ4sx0CxAyWyJm
Gl+khWrv1CUHzehmCEVl5WVxEO4bUfOhEybKbkT2SNBwwc4tXT49cDESYiscIBS/FAjznTTKDacn
bZv11hBkKQThM7cqEqMqMxIZtAAeGPRXVTqUTx7UDaUQyilalz7mea6O+1QtIDgSi33MGTIHeNRa
SiMRcssqJknQcyQrOhPfUnubGvqqKdi601SwGq6Ukl2R8Skmz+9qArVURDUCoG91RHsdYEmN09uq
S4pNknRCcQQDQayivXcohmHtBlzFPxLao2Vm1JSSvnudqoafY1bmZOUNnFKh8KEErdW6sTYYohi0
vi0oXiRhqaRedkYFLEnYG02xFfxBAWlFDoH6VVyVcQrGlkLQvrg0gSAC7zUeMUfovf1oSPH4NlQs
Pf/OL3Ofc4QyFSIrTryitjga9JktBCKfl3rLc/FoegCj0N8uTTkLdC3jSw9qHw+qR13/s3DJzFzp
oEtGxRdcacCCsNxP8thGuIWz8RTU0NgOtV0bnnh+owYn1Ch1jRz69L2lT0X0iX4cvfCD377PTc39
CRLwvGq/C58zc+f9i/lKAoMbCt7M9VAmY4pGk6nU7dlcrUO0TlghnUx1gZi0WN22Nv0y5oJFVR3J
P9SMMHoWJJ1qgsuBd5U/pQpNbImjz4QGdso3oRnyQ2Lftjbz7MCVBxkrRC1g9CBMbCyVUwDeAsQ4
hKQw0zrwLPTNvN02MleSBJ0WygdoiAFVy1+z4VmIJtUNDXkf8MWYA8Acz/Emd4QG01cjOU+eyAgg
Rq3j4VVbsQdKDa00M0pNZRGfylz0SCeBge9MT50JnaMm6zSpgJ66JOjJaCgEb+RANPmv5jtY6oxh
FvLKFhMQ80pZlmJKxQNi8XD/0OXorL49r0zIzVpgY8Cq8kZZCTCaHEELnmlobv6mGtga9Xyp925h
4tg3FAm8mKi+Kh6UQ5Ag6BshnjLokmcMa2Tbbw+LDfz+Na6paIoMIDKWLAOKBKXIKiOhdEhC1279
vVSaoM613THD2futBQ7la1MCC96C3Sm3eLb1ruxOsduZmypVl2oJhV0UE8a9gho9RCgCQFMo/giH
6q57WWr0ZXHL/7KJ9jQU1UCCdlUjJnwX50LkS4dusJJ1p+hQt9WM6gtXFrgDhIP2tmRydilliE/g
qQQ+OJbKr0InldyEkXRAbpXGOi+bKdGD7+EpPPXh0lJO58fVlOJVCLZXBL3iFVdvUNG4gQjpofkF
ceC6XXOO5PTP0VNkox3t9vrNDuzftsCjdrl8XduMpNNSTCXR0SIgPCkISJ+878ykn7ctMffTvxbt
zBJzanIelGLUDpYoNUhrg/zxNy8QNiw5JPNYuLIjXo4okktFjCY7nM4fgncaTuIkYO1sjeg4rMtT
9aluOlVXTreHtzSRTA6+KnmXjlIiHdrECIPUKqSfBNKkIAzw91yIOOfl/2aPecH7aGbJ3RjDBGM7
Mhl8bqulHh3Dh3LLHf9vppgtzgdaXPQh/JF7jB7A62S5YIJ/Gnh9ied4aQ6n2+HsLHG5lhe8Ovsb
E30WXkBzHATAmQieIUgLjn99D0CbAFTYf6oPiJYYx/e7MYpBtqwd+poCV8LrcZxbYn4Xo7GWg1q9
Vyw55vVJCZpeJAHARjC9zP+yE2eji4owp2jhdQ/Eh/RwWVuFSzepAH7EoTFT7Ds08ERlq3NhBAnj
YwMtm4GTl+ijrrfH5Vcw2yPnwsbLxsQ9qOLPEK2yFDjVhWhsyQSzFTgR5DvcELuHRhbtMN7gndXJ
S1itWSPIX4H4G7EYmAgufUXQtAHxZeseKq/S2/xYF/tGW+gQuPZHNKPhHzBdykhAsIejTAYOkjuj
79BoS16Fu1yy+PC70u5iIGaqciEZyISVOLgurTEH5JBB5A5tQr7jSZ5mNEkq6Fwll8btzcx298AM
RX1cgUABCPWRCrtyfD8JczUInXpMN0n2GMgoDxtZrONZZYb5M57hOnQ0LG3Uy3HTSWjEU3MdTOt3
YZtbodJa7rDEIDct1uWNd/lNzNALMefqCAkQJ5S1bZE+Sp228eL7Nl3yfrZK/jd6KI6C3ACs2ej8
YdwmbibyOACJHRrUZqG+5CmkohFker6p3fO674iB3v9oZOEIZTlzJrsQokVrAij60Fl/9WYYA8i7
ZE3sNGDqRLHCQsk0NUPbW3mWYHJWZVITDV16uUpQuUWz7EqBolNtn4RvupAGZbvOrr6FOQJGLazB
F9LGTizqrX8EHiyoASiWWj1tdq3wKUSpkX5LZBVS1aBQJBhqnYvXaAIUudcaSvPvQWLSZsdxVlfo
JHyJ08fEN4Uw1L27sjDD4m4gevwulZsI6QP+RVtUjr3eK9AYQAQIOUwIo1/BFMIxGsSiVGKniLNv
sAEjMOofb2+U6wPm0gTjk34OspU6VmPHQz9m1m56xUTW7LaNOXe8GAezFLLaeqDmhBGAR6D0NNY6
H1p9upYOo6URo6l1MbeGpaBvaWjMAS21ARnEAVYh4hjxuyqwRHHhmcXm2icng4zTxFOMZgEkbZlj
hu88j7hVlTlcWdiVehTKRzlqjA6NqelgxmSjgUG5q6KV3yyYvg40Ly0zC+d2fSONWZ05CX18l7LS
orExuW+3pMg28+a6tMSsXqWJSpp7Tebkka0KpketIkT3g97RVX0Y9M5fCCFmRwbtV0oB0ZmOkss7
L5eSJNTqDCOT37gaKSYV+c/8DTlCPRCXAqSZMxlkGv8YY05KvpeTQEhyDK5pjTC8k5oPNVuV4G1b
2APTLDGHPwyh4xfCTShdsEeyGhZjGTVYL78rjErYKP4WQbsKeAAXHgT3sVeOaNjyp024cBLOLyBF
kkWEuiy6Z5jUhjamjZBxRea446b0ORNyOrxeZkCqnlT+WLr7Ply4CNha2LQv0NkATmlUVyE0w+bF
wAmad9RXcif4GO30+MkZ3VGGfKFFce6LO6NZxyd1WUHkOty9NDu51lnwyVcBRXJYzZ2h+ZB/khat
WW6M+MKqOACC10pnuV9iuJLpobsbIu3UUqPv31RoZCuedXvB2eL51RQws173HhL6ipQ73Jo3JDu0
o5MITu1+B7WM2KhDaKqMBohqrBJ0Ep0+oCgDJVEre5EXdYWvI7zLaZl+fjYt45CjPTHHaoSbEYyx
6AJBjstI1wCEvmqHYh+uf4GM5I7UEja3Z2F2QVB8nRi8gWfnmUkIxYLyaprmTpZnxkDwOh08I+rt
UERyCEKWoBb4Lwwqk6oeCAWABmIMdkPt+Ugb505FXkGsb/DdIXQ9E/WNKkOr0VJ378zxAc5rvHWg
go60NIvhL9SRc4dGzJ1k8J3ITVecW+gZ3saNthTRTlcJc4AQGQfiJLOAHM0VwFTiEyEog2KihXHN
aIXkjH7y7sSFhpa5GO7cDhs5e4rkC2MIO60dP9VPI1j+BT2846zCbCE3zlkI5g6oDpiu3Rsfg+49
+hZdJ2jkh0Llo7ZZUteYCYLwPRqUUYlEVfQvXDovr6QhDq+kcMo8NLIsNLpqYWrnLODhA+EhHJHS
lTKcmDdhT6S0cKogEXa9Sn0rVFF2ve2ZLAD070BAL+ekyTYpObHaMlqWt0JZ1IWTb0RjaoaO1rwl
W2TX63vPUNajFT/kxqmbOrJiYym3Nz/If6wzF12mcaj6iw2s06pEb0guHEU/GBZOvb/6C+ul54Nk
VksmXVI2JQYpbtMn7jVY43nH66EJ4nl5T+0ACrpvC+/X2ZGJIuZXhYeg0//SQcq0hYApiqxONIIx
KtmharlwqLBVin8t3ZkJJiQhHiloHfWFo63FbfgFIjf3TTFLq9oLlrtToMy6BJyavUHB6fjvUTHr
NVaCHGQVRuVvyJf0igl9Ds3yM90FG9SmtW34QG3fmhQZb7vpXLSA9C9aOJD/Vabs8+V0Bl4YVL6G
/U/STJcqA8ki1+ShwLVKvYOAVwINi4UN+L/YBM80AWKVCmzIR1Jo9kRIPzs15NBFyz7GoFTdLtFc
zc+pgigd49M0VNAuhxb3wORLQ1eAJF5ZRevY5ixEQr5rVHsJ8ibNTvqeGPt/wyVB+rkXEMGx/T+W
/ybg7AYuQdmWCCMsk7veLEGkRB7Q9XA3Gh+a2ezUhTWc3PFiE8pgNYSKMXR5EIEh/3c5TpJnTV6B
UMcBNigzStVv1grEvK0SLzHztruwbG1QsL20xVy4vitoYepFhZP0T0n4/TO8+9DmNrl6N2ieTuW7
CqWS/N4FFUutk/oufMd/h8+y37Ynb1MNduyJS+60NH5mnbuy8YSC4psU6RUkxIK68YVHzn8rRt/g
fT3atNEqBDMgMKXDauwMVVg466/fhRezguTd5QpImtSrooQvqLtfd+26vwkU2Yq7UerMarSh3J2N
z0KxRGk/revFuk9ZF5RFgTBFKIIuecZqztdBqzSNg94QK1fuW2ErqqkRQ8G49r5vL/zVHEMdTcW1
LOKQgB4DS/oYqFJTFIpSOkUSv+aRZ6c59C+a5vm2memYY4aEsjrIPaDli8cgW+9Pe9KRGOLvTjV4
ViY9BgCtdhlKYkuQi7nxnBtiztuowtQmDQyhV+gpzHKDJtphlLOFaZsZDwAdU3Js4raAJPPlEqly
laMFKMB4cieHeCn1T2puZ9pSiXnGFeAIiDMQ5CJ9zJ7iQiCDb7kbSmd4lmNdNspjIVuNZt9enZlJ
u7DCbP5c6VqayWPpqHxqVOExsEbkjG/buN5LBD4NOlOkE3kIwrMaSOD1ydGdEFaOoHCA/baFBK5P
oWxNvGvMLCSKEVVuZORtVBia6BV6X3GR1dbRUhV4bk4VbDDgZaa/FOZY4ZO27HIiFQ6vtnpM5BUf
fEVyarhqACz8UhL3+mTFuHFlgNcIYCc0IDKuEqZhJ8bUK50xfxu9r6wQUeM2JRGFNtSgpS5bc/kx
zvxTn9vae1d7qxrUcYLj82sitgZqEYraoNcTlEt3Wg9agtvrwrLnIZcxfR/Sk2AORpGJdeWojNqU
72jhNKW2rtPUUL58aZLReBe2YWVET7mq+9Ka47dxFNhU2uT9ofLVFXWtQT6UUIKNn29/knx9WABR
gVQpiC9ATkXFy83VNGNU91RFjDsUL4UWGHUkLwSbMx6vimjKQq1E0qCMxvgA0FR+n3ZF7eTCaIrB
tgcQLFIWDokZRwNWmoI8A2JK0x6+HEfQVGoxRlXtZNFWGH8LTTPDUDNEf9RVKV7Izs6cSBfGmD0c
Z56gpEpZO6Skhtjc+flXm/8EyvvttZl+DXOQY01wLUky6ju4oS7HhApL35Z+1jhK/cmhm41qgN54
EJYTDyJ/IijF3LZ3/dzCYwAcJEgjSqhIwCEuDUqdl0uy0jWOT1dSHaL+4CUmqV7rWtQlzak26BcL
VGv4yp74XbTJnkBSoEVbeKqj7Cp5fftzrv1GRvINgSdUTgT0xk6uexYAxkk8cLEcNE6SHmvlhyb7
UM0WduScDaQXocMF7CBqeYz7+3IWc+BdaZwSPZ0BhPoy5Jna/zTvjCFM+Q4s4oTmZwGYecorVdjk
jTPaNd4HIA8EVyP4SJeey9f+cmlnGuzZhAFuTtAPDTt0QPaMt2i4CpNVO0IhZmFLX58akyXsabzN
0Yby50hnlnypk3MUixqnkRTfqIX+TgQf7MLazAwHqWyBR7gMhjIwdF8Opyo8bwRwoHVS044MpJp1
eSHNO/nz5QaD2MaZBWb1G6XQQjQxtw5aXEDJB8m5DbXvl/LlLJwdpz40mic2AV6chALZAzBQtaxs
pLB1Yjk5dE9Khwi+3mgloIrBKfHvxyZ/5ftkM1TuNob4J3gfe9muFNmA4r335KM9GPj/+JClhlQ8
ZkG2V8bYBqaJcx9ub7mZdcWXqghQRWj+XMFb6dAIeJwUrePSitvUcRtYbTX83DbCQm7+/3z8Y4VZ
2Lws+zIfqtZJxkPjQXbZiH3cz/KHf5ST3iB3Xgd0qpYdez59zn8V3w5HyxPjhfNlZrB/CkqQ8ECX
gPBHtnzmxG2muDlNq8FBa7SutQ0o/G8PlCV5mAYKCzhTEVGCTozt12pTqePzpB2QkADOXXqNHsKn
5rnf10fQpqwUMwaNaHCkvumPVrUR9W/Fuv0F045nHJzwCJrR9oswEDCnyy3E+VEXcZU4OBX0JZTE
N4RsF1e1edvK9XWIYQKWKQMxhKv3Lyo7m0glzpJs7N3BEdJ+rYA0goCnIk1fxKWE3HWLAiZUxFim
tg6IP8vTkp5Z6upU4euqHJ3BGM1+I+3yRw/sw73Rmak17IAwPnrGb7gaH2+PcG4ez+1OPz+zGyRB
k/JcMTqv5nHp5T15O7tG5797mt2z3y2LYS0CSTI6mi6vPttdDW47YtxH9lLX6Ux0fDl7TIw0lCoH
OgZYGozPZBWa2YFu5E26HlfVa2V+VOthxdmKg6w0tCdL07WyhR03syEQlgNgi2oDYF84YC7HOtJR
TYsuE51+6CID/f26y72EfKDLP4S3IIOC4qWhuqDJfsjE57Kys9K3o7S7C1xwySNJmSvjus3242CJ
S7pq19cNerAmnUBUJ/DM/HtTna1D6YN4SfQEtP+jPd/IRoDARlHx13Gfg5BFThSbU/gGZXhJWd32
rnnLiJHBXgA6NjYHodIMGVokL50SPSYdei9Smuh8v/I2WfUaQIH6trnrcw8NLhIE6tDrg9ifPZWo
yofcGIayE5TKgXC5DaKbhYhnJpIEywaPdBoCckqIxLiaMKgJaoqa7NS+lR9DF1XbzUh1ukp+YifZ
547I6ZGod/syMSXZriEeKBwFOzAFo13MJF6fT5cfw3hd6EL/M3Kp7Az3PEgJlJ0A6itEYYER9Juq
WVPIJT+Nz5BrG+q1aGvN5vaEXydRIeKEtipUofgJG8Cm2zNadAM4JWSnkDk0fBqScA/MjZqe8lDU
lWYb+wex2UZ0SwRdHalBYzskn+CW6j5vf8l1pervS3D1QscF6Wo2a8yRQi2UEQBK9YvG6PrW5foh
8u44IziS4C4BFwm3SopDsRO3/lZ2wnvlrtzGD+OP4FqiLr4I6hqtV9paogZogMaFi+Q6HgPjEqEo
gmu4lEH9eXk8RGUlZnmIrxvqrwb0l7V2n0i/vzL0owsOz/KX27NxXaPAbJzbY947HJjjOiWBvb5d
qdtu72iQCTh9OI/fCwOTpov28pCHJfAJYc7Rgn/V5eUl8STGFBFHuoPYLwVC49iPtvcAqBuxgXqN
Vx3Vu/4B/X1lpnu74lkTbPHQvo3vanvg7FG2xNoe1XuirFOuN3LIShc2twrkJUGN66vu8kuZkKGO
yrpVlYSgSabVlQKa8OOWyEvNDteXHqwgG4LWbhwTgL5errToC72nVh1x3MGIylHXZLwiHgKgyXq/
1GVfl2VAWKLIXoqIriEC05ojxgW/lzBBjhnLGoDdQ8K1xAmKL7LjJvFQM63MFkSbw7oO7gY0hTf8
wxgsDHl2Xs/sMqELGVyhIVVNcPI9l8FTihXP/6u1oxMmR6VT0MkkDMq644YoG4nTBLUzqtG6pfVK
Iv3C6286vK+c+cwME7+jWOgrWt8Th8RkRbpYMdQh/yqRlI21NrGCuMkXrqyZG3K6qJAzx9qJSGxf
uouQFC7UbHnixPlbVILx364i8gCout5xwdrvOev2yTA3QqgzAbI5cbJCvvjSXqZEqjR6CnG6PtVl
74WI3Sp0H1PAJvsyWRjc3H08NdwiBYfgGSKxl8aSANhU0LUSBzyTis6NYC3K0lRdOIJmoj80tf6R
faNciNcdcyX7DUcAZxZlRwG5WErB4hw9JPGzTIDJkS0FjtJbGgTirA68/yq4qT6j1C60CcMNyJwm
vYVotqrBOdkk1mJCYTZgUKgAvjk8koGmYSaBNMHYiJEiO2kYb+uC6hBtNjmsLwAaviLqQB0bBHxz
rutmxvgB8QLgTifSeEl68rR1Tl40qHo/QsK7bfZxsJQauy7S49gA8HWiKp/wfWwnQjmMtdRRXOHg
P9SJZIjQ+C2rtWuCKfPDNdEa3ZCH4AglW3PgT9USimvWIc/MM9PTy0jYwd0RnPYAZdY+OKmDsCjM
ygOADLOJ3ghtkBZ2wZxjovMconMqmmfQF33pmOCgVDt1wKXlilW1QoIrBO8ldAQX9tr07exxAm0s
3Pt4RaKtnjlO1FwCILiTECs+IcK3LFl/0Iz9g6fb75puf60C/cAb0HW2VYczDcvab1+sH/1j/3F6
bHbgmv72wVL/CEatt/X6fr1+ffq9fwRvoLkzPed1t3WN3f1Sy9Tccpx/MnNJ5rRr62qAt9ZjbfTh
SR12nVrYrXAnoF3j9vzMRinnxpgby028saKDLDsSWuzzcouGR1E9yaktfHKFLctWcpK2dB/mOxdE
7LeNz91a57aZW2vSu67CFGsjxW8ykpddaQLFftvGn7bnLQdgTnfP5fO87lXZ2YFrsbcnxh4QqIGG
SQTRqTrpOVmR1evUhMKOB1z/ttrjeQzJcXPpiTwXgFIVHGZoxkdGmN3lkdxIUhzhnvGG96xft9M9
7en1eBdUO57YZZoszO/cFkNNBLxWOP0REDG+X9S04CbOBKdweZ0AQuUv1BD+3hbs5CJJi7NLwAsD
b5DLTYyOghRtXLHi2NA3NDZPo/6jmLL+pVqq8eOaP8fAKExFt0J0cTyu1U38+pzoUMx4+F4Cws3t
8/MvYc4wOvSyOLbTWMlucFypwwvsHY0QC+70t0i3RsxcdOBn8IdUxYgTfdiCv/NVg27AZ6Vrerl/
/bSfNtT8+dO4MTXj+NW9QqRJz3UkmMGKZ39MNF6Rfb/LIKH53BhLtHFzGwqElwLER0AmjUTr5XKM
hU/TIG/AHQHGjmbYttI6S9oFr5qd6TMjzAxwpC4hI1QpTo+zgqLDElQoDRhFs4/bO3fWe8/sMBdE
pSJbXNcYTOP1EN9SKwBFimhYiI/mpwxY9+kiAmJg+oqzxAxf0lQb215xwCOEh8K+HdYC+D1uD2Uu
wtSwJOi7VpEXkcVLIyAGaT0/TRVnoGiZfAYmIT+pPZCiSE5kn7dtzS7PmS3mQBd5cEeVYaI4nrYb
v/jQzIvSEKqloHnuMANh61/JGbf3nwbE2bwJbdOVil8oTg4y71DaVBVvDH5h9v09gqkexURNe7g9
spl7EeuE5y2ucQ39B4x3U7Aye3ksKY5GhmFHBb+w6kBYjblyqJAlAhNPsGBxxgUhFgt9bBmUCFM/
8eW6aYMMQQ4Oh4pUgtcoRIanrZ5uD2pmuS5MMFkCNchEEEbgPBEiWZfQ1isjbTLaSbKkGTPj6Crw
BngE8NO/GuPo8Rh4dSTAUFF8ozPEB1p+6BewhEs2pp+fOcVY86qnlrBRR+8YS6OuhX6hHXp2vpDM
lAkSHQTB26UJTRnauB7g3n2spOD3GJ4UBU98mQPHVwQYx+3VmXM5gL3QuEfAh4Gnw6U10UsTyIZ3
isOJmW+1fgbO6pFGulv5gE4lgb9qMn9hA//pnzNXDNLEqgraOGAlsVyXRpvc9Rsh4TFEEEQfVHA1
P4er59LsIP1YQEijMO48HcKTq4fj8e1IzQd9gGbcXoBmnNHpIhgAO30pdpmdiLNvYiYi4dBUCK4H
eI9WP9VBT42INpBmQCEGgsp6S3JZvz31c750Pgvi5SyEJVhQgIZToBb1KJUPobiJg4UK7awJHCeg
AsK+wBpfmujSPgGjkKA48njXeY8jYFQdXdjfc0cIGsz+bYM5tDQPROpBLeOcHLuvXqi/uKyybs+U
Mk3FlcOc2WD2RC3xZYNMPiAV22H7XFl4Uxs1fAevafyJ9PIV+lDN9lXSSxtB8NNPZnCTY4HKVQd4
ITMefjYP2D4bBYCgwIA2DeQmXV/v8b8TKSmoqhDDvLQGpJF4fU3M+//GvRQJCRHQT6AZhd3VbSUP
/ZCpWGziybboxaCTSrLXfFA2YiMmdwowU+bCrM1MGnKmEH9C4x9I0JhJQ5weCZ0aqw5RT0O8wQso
g2KXmEX/eYABuL86qasD1w+S80snS4Zm6EohUBHGAMLAp1Jmxi2q711Fu4UtM7dJ/zGFYumlqTgl
ZUEIB3+uysdQbp/lXnxRA6HWQYdODB9asvbtSWRVjVCEniAg6KT5f5yd147kxtKtn4gAvbklWa57
mm3Gzw0xTvTe8+nPxz7A/rvYRBESBAjaeyBFZTIyMjJixVogvF5rntcmg9TEZpQZ3rcWweCaB9UX
yjlu6sS8s5j2ctLHxoZP69i65mFwvskHtLH1+kwz4PYv2TrLJFforFP1fT/YlGtaNaZqbXiWcCfo
z6L41yL3uW1jc3+BpeiMcJPJraUiBCPRpj4oDK8K59ihB/aEnjylGY2asvI0x6fb5jaXhMoPPe9F
m2rNrw1waZYjvzU86OBsjXm0wvzZzp9vG5G3LlS6ptTJGYQBQLiK7MYUqkI0dYZXo+oTDvcDrFnc
29M/Y/skpnZvHi2T4UjxqdKp0KknGPtS/z6fGzs/R8LL2Cc2fQ57FAJ78oeHIIQ8CVGv7kncgx6/
n0pYnI1DBOwUwB9TY9fONoxt3dTtZHh+mAEVV45hez/w0AsucutqkqMznuE0svUfvoPBR1CXWS/6
jasQXg+KCWuHYnjSgAK1YbTPAgxtJ59i405n87UzsY7kb00tHvgmgaoH5gSEGFOd0x9H/tJolk/w
+VOuYEQJFNlLfhmRgbbIBB5JA0Y7cQKI32dmF1P7KTj9DQ72h4hdsEPLCe+enzvH+g9ZngHsA0Qn
2CNxfW1SQM+1FAYRL5r1TyRBn/TaqBx/lMWd8/aaXr3bDpJ9ZFlAjyIReL0dIcJsUDlaxGhuqvSS
2L0rHadDYz/SxjpL7mNk/+3t36n9obiUkLxBEkHXVzoQ62wWfvukvL4vbv2a1ctKWiiry4Bfk+qT
rXauBdfnH2E4ae3Jz+/1zIvDxlF0anYW8zkIKwG/R36luUzFQR1kWGbHIyRLqCwByxbuLeUCbtkt
9fupOSvxvRnznE6ctk0gCP4mhXfZGNld8th0x0aAGpjXr6ObtuhFqJqpWeMOOmIPwUUrJ0fv9xbL
zt5a65LWvHFEIYYRfB4NokLPsCFEvYxu3t7OrbhDq5h+9fKmoz57baFJkpIzHpieMT61M5yd0SdT
gQGx27mitio2DG1B6r6AhwBgrM4UTYsgCnM+W825KexvcDK5BrkRPTmbWwlaDIvZP93BmV4QrDj8
/W3av3+rtv6qqNAeHPH3kv5Mtnl4TlwqEbYbO3sNlI0KAVowqGgsaj26oq9emn0lt4YSxqanBD/F
6Wc+NjCa/azyn5ZWHVQz27kt35NxEErf2ltlJXE1VkpbYs8wf4nBg68cKwTzmsEzQm7tsrLFyskG
W01d6z6KB8caj35+CUkK9em5lRN4aEYnlQ7KpOCAiMKDuqdqmn1sKjeVvk+SM6M1mAl2Wb2k/Rez
/5j4tjYn50TYm6zYvBaWfVuGOMCErKGcYzcUQaVlppdezPG7D6deSLPpop57xNNVb9zptW6VzI23
9tZRyUh0K6yw10OVOhfZV836Knahoz9qhRNYz6VJpIYcYY4OevIMfaGvzTuZ3low4TXvevsb1rEo
hKhgmUbwRv9RDB0//wjNuB2hMyO5lnVi+kNWn8lgHMU4zhlEp+PBEH+KUf1Sh+g6+ba0O7W7uMw6
ZNC3hRqJdhFA5NU12YqhWEcJLjXw/T2logJU/C5LR9fv0uBcxTvxY2MMZemz00Ile0cGUV65cIVE
hlAEpemhBqE0B+1JA3vmBeP3ymmzxp7h/ygut2PWViPxrc11D5wqe+nrQcG2g4CGwucYOuNZOEDe
Yz+Z9tecOAEdmovApccgtpvt9Mbfjy1ybN+seV2PmPSqCZvFvjYe20a/78sR5GWPWp6rN6dwapy2
eYQoN8vvVdltir3B0CVWvv/G/9vzVyTKm2uhG4O41QbsV1Z5pwjfTMUxxIuoMD8Zhjs+vulPZL5I
hNEfpLtwfUHEaqhNpl9zrCfJhj3KsRo3JSONjXtBf5KVykn2mkXboeSNzdW1B3E1NKsAdz1FOain
wUCvms2lEQzywdbbr+Vnyf/ntk9tZfn03nkewijEXMRqmaYWVzDHDqYXaaLb5t9E0DhF8um2kc3v
Rq0WrmLYKwE5XO/lVHeSWtSm4cVx5kTy2R9S1/APrdo4wp6w5uvL+Z2T4CMwplOh49V7bUwXevDq
DYGA6W83vsQXEVl0DqQd2CpdosD+ZHEPh7BA0YWbXcH+RRfsrH94Kj4M7vcFI+Xb2eXD58H+kzo5
qRzkKHRR5OPnP7d3ZdPDeMtReGBj3r2XQ0GXm3wgkGth7pk+Hjwl90nn8go5JtP4I6krKNy/3Ta6
ddMjSwLKGDgoiIxVOiJKRUc/HKNmo9h5QjbyITt1FtRrBTmJtPO82/SuN9ZW36Jq6ySuNBxaJySW
8i9V/jPxWru9pM03JPkE442omeLHKx+erCzJZSEk9Atfsq6xU/1X31y64VMQfEvbc9raHcA+MeI2
eohzL5POo2ZA/lGABfkVWw/TQhTQQUM1lYdaKb+2QXuqo1NpnsrhfPu3bpwEMgRYf2AbhwPltfj6
JoIlqjKHA/TwXtBMMOd/V/0XJgftZHiq4z3Cq41ZBOB4wMkB59FastYvpcQypsJKlxBGok9eUp3D
8DQb56lW7Rip19yw5zZxE4p0vT3O/J8ylMCftGHn+G/GtQUbCGeZRJFtrRccSHNblUJvelJwCLVD
UZyyl652NAoLIdBo6aXZu5633PytxVU2YGRqEMfhEtYi3urBLHwP8uRQ+C0zXr/rZPg2kJLc/rR7
Jlcnq/OLLk4nTE5JcphV8vr205g+FkwpB+lwUAVtZ1Jvz+Dy5298KWN5c9OPi8E7/y5rog+J/6cK
XhBrcPOoP99e3la0WiQSCazcie86lVonK01NBcfLECoR6nvJPA+CrYNihEDX/NYJOwnWZm2PCeyF
RW0Z2nvNg98sb6iHHPQEODUZiIx5N/JqCs7lk3KEOdD+oR4qW79behKS/SmBPKm3PzXObPD0PeTp
zqddvGV1pZiUqCyWzXwrhC3XOy0F/YTgOPVhHPlgBL/ksjm3hmkXwx4301Z8eGtp9U1ToUzh2sBS
6v9oxdpe3kKS2blpQnVM2Pmkm8tS0Wlleo/Lf73DQR8GqBqHhkfziQwqPqoyMi164UjiXm34Fej0
bgtfRzTAn9DSXG6KN18zKfs5qKrIWNAnUXxhEGA2Lnrxe3Z74XsyHpKwdJPPKDK0vybpQ9RMDjwQ
wGG6izJ+mvSTnOx1JLeiEnqKQN+oJRGU19isKrHqXMgoHmcDWrvz51p6Uc1DqP8ohexiFE9KUHxR
lK+3j9HmB35jdPV6S+gt6GOO0Z6YK4x/QS66bfG3Y06E/uXOzbjkVe82nQuRhis3PpXj600XBUXP
I5Q1PDHKZCdNQRAKabXH+bHpRm+srE5HN0ep2M8lBTnpbsroxNEN6pmCH9DynvYAE1vvLnhhuNcW
+U2QnqvLflAgA+Tqpgz2rRXdXzMq3j6kO/EH8yX4ku4gjDaXxtZxRnjhowlwvYGzVMVpHjeU9ePv
ZksQV381zVdZ2AO1bH0onYwM4MwyC/0uQTaiVOmzyfBG81M0e2a7k2pued2CsH3Nh1GcX62jNnq/
ZTrC8OBitrXq+wgJhJV/qZD+GbSftz18CVFrp2POZtkuRnHejcRXyhDHMWNuTIQeZrm2C/ljOtOD
eW4oX+9F5q3yGtDR/1nTV00n+iGpDH7a8PLGvCjFg1jALBV/r4WLlP8MIdXynVojsoXpfZyGbllL
cPzMd2NaHxBkt+fk69igF99czPCLMWa2bz36w3NYIKDiCLDdjxS5o/sEtRTxsowBz80dvBMXuM7N
noP7wogw7CB2LjA5kn+AxLqbbCF7MYLIlif39s5uXMFXa13VLKF+9iPILwyvkcOXoT2ZuuAAiWeS
6p6Rn+HSSnstpy2/RJqTOU9Kl8SR1e4OZI9IXvEtMyN24lx8MIXycntRW0cM4QYG5jjVFFKWRb+5
GCy/6yZoKg0vKVTV7lPZcgwFIgAxo6JUBoGxc+kpS4B4558WjVeUBiD6XKOhDDFMsq71De/hm2a7
YF2AYn5ZKvzffjz8it1fqHLb3/h7YNOSdpa6vspfJz11+s+3l74x8kmCzswUjzEaz/B6X689DAem
zWV+ijoelM7ODDfT75PwrHcXcb70Y+IMXtvA9H0nAnabQ94tR3J3WBLbPfqOd2VFAGJM51H7ZbYN
mrH1sxk1XbMewrnw5BYwasCYZKpf/Cg6J/IDKF2nbx8AgNudpDuZJDyq3XjfZMp9x2TE7V1Zxw9+
CKEKHpnlSqFrvfK5pAnbUNWr0qvmswxnCC/j4mQxQIaAZwcna/ciC9FOgvfuVlmMIkNL8FVE3dBe
yU3eeGE8t9LcLHR4dWGe++CnUD1X2VfDf7Roo0BHr8XtOZo+BvK/7c+/GmYqXQNqY8o0sa9dwJwK
SGwlyAYlNf+nNYJDrA014g17SPQlv3rr9YsdhoIMEniYoGiXX9sZEj/pfdMqvSSBmkZNM93Wv/ip
pu98vfVN82oH+mOTG5M67HoKNk7FmNp+UXkTBMvIDtrmHDjaEB3V9JOyRzC+Dk+vxmjhLFU6VJDW
Nd8ggsAtEiRotYBrPEtCnp8Cs7V2wu7WkhZEIzkyvRGgWNdbV1DO9Q0LjqZScahxnc1JOlVx8NA3
nwdxN795vyY8cGlrUlNmXmAdE1gyKmPAnTz63tQyBMs276YOoc72UTtlqPD98FEfo9SeGT9ia88d
368V7RUiElPCy1FY85KI4lBMuhKXXtpXthH8oEXmKEh565ANRXvkERtLvTK2ehN0ScFIV5mUHlJ+
NA9oNpc7T+R3oy3MVVGeB6dnwibIF1yZAH/eZkZvJoyFW8fiTrpXL9Vf7dzAh0HnGnJlm05ntVd5
WTzi+rAtVhG7gEN0GfxZpVuJqQ9KLWNVEtPD2EhOAhd83PgfMqN8vh0t35/ra1OrdLijiLhUfhKq
nU0cUTt8SdK9x9uejeU7vgmOQh0LUAVGqZcPub7oTkTpgxZlyG4Vbfvl9no2HPBq61YfLDPTIYOE
PvHQlrPn4lKlOKB5LypMRpk7YM49W6uDXYO2yCODzyQ+F/pRG78gxVuYTpoZh9uLejeY+f/d8P8c
Yvklb3ZQG2e9jDMs6fG5mJ0xJP1eaPgmJfwYhrVbCh+z+MOQggP0ATRL5vH2D9hcKbcqj13Gu5T1
kLbV+l0IhQcOOaByENRf42Y4ilNop4FPFvv5trV1nrqsVuE2w+9ExsLXo86tMaEyKCZILVTUWx+6
8qSi6qCdheTBb55V8c9tc5u7+9beKoU0UpmxVw17CVgv8ZC7jy+/S3s+QEK8U5TayBOulrau38pz
k1p1kqbcOOhF3mchOCXK5xMMz8egLukEMtor1HY57kEitj4hI0mwNywfEGbUaxdK6slUkFqCCXUU
3AiaJW+Rsqzz38ke1dJm0HxranUuwqQy1LrA1Dh/BWmG5rcty/3RL+jFn4tkOimQZc6DLciAxWny
Rf5Rb0a7oTt2+8u+qxq9etKbRa/OTeirc6fpBZHnUnnDoXcFCdDEcOhe8sfwUf4ePAxP7WFGmwyB
DuZc8tGp9saYNr35zW9YZ2hqUgV0TFJPDb5xf8zfDN9jSr37lP0W8537as/WypP9lOxsMMvUM4JT
DpQtBOkjHCv05f7oxlHr9wpEr9nE+qaiR0aiAUCFmfHVk5L8TfYlA4WWmTn8I6Odo/ALoXAkD8/S
/CJ0f5S7fn6IdPoqmTvXh6k76v7eoVoy+vWPgDSFwgekGvyG1Y9oaNxPsc4OZ5UjK1DiZ98y2c58
u/ozj3bwrwt/i1dRAwHvskQNTtP1UaoFIcmMNs2YuK7BR2iixSs/j6WodYK4lzqgTUbV2kbfFf9k
MSrKdiqKaW5XAM3+w3VHNZC0kWYctBCro9bE49iKFQ6uqc1RzM4yZ3pK77PicUz3aKuXCPFum9/Y
Wh2mSoz1wODf8LTyOWhQ2HwS9rB5799u7CxzcLK6ZB180uudTRS97Drk7T0LMXt6vVURuKFp2lPj
1uN3M9Z2AsSWPeDt7N/C7feOq01vRXXO+ypFyuIhWMqcf3X9EvT3k/5jsM63g9HmNcOgvqEso4aM
Y6weplEYmcWEvq3nN1+mGHVSu5csO+5HaO8kWxTsPNAdodIO8vx70nciw9ZKEc5YqG0AcaPfcL2z
hVLnUdgnmSeAt8my8EEIjplB+a5LHME80Lm8vdote8tjERAcaQPiHdf26kBRolEaM6+OxDtNuJfq
ZT79JVBdI7ectuv2ChBboc9gRJpzwNYiO35tUE171LgzNeMSL6GpaP3nv1PIP38Jmk+B0v4Hx4Gu
aZGUwWPf0RaORjebiJ5nxD0fLXIbiWQ7BUWmoaTd5x+L0H+6vZ/v6FH5dkhe0OtnXM2i3rPyHgPl
a6lGg9ub5+hZ97nDCsWbqs9Kd98qn3preE5N/2FQbChlD+IEgupD0D8FmfhQzow+VGgxR7+F6K77
evuHvcNyvf4werKcIJQ5jHUXyApKsHJ+WjDpEl+iXruv2+qXYpV/tPxsaqE94HAaCD21EU+VIDs1
D9HQDkLSV1AdR7/WHbGen4T41O6RML8jF1p+G8A6usb8ugX6fu0Uig76WR+FwjP0v5CwPc5ybJvU
kmHnCYSXPE7c+lmfE7frGRfxz6oJyxZ84kJ/mf3RnnfbWIu9VQiFRJ06GS9j2vevSIQ3eXyc1aov
DEEGh6DvaCpcIKqRP0RDLLtl8PH2h9lI+K5srcJ1DZuu7s/qkgu4QndCA9up2PgmdTND37mC99a1
OnxZEKVmYy7aWEp4UBDfkj8KYnvMh53X6rue2+sHBSaJtAZxhWT2+oPG1IxgBCOM1YN8yhOmDcUM
WLkFaC0RnS4R3TBVjrMfuka2h0LauP84elRcVY4fRBerDUWIcIqzPsq8AOxBERmXZKo/W5Tsb3+3
dyi5ZY0LFAVaQqbfiS/Xa5TQgTQav8k8JYof6mY8iNHwoQs+dsavNLDcVrdnXXUHPzoHzfBTVT+n
1h5QbqOyAjsZjFx0d3Vo11aPhaqrlXn2c8KbrqaObBaMwVv6352FyhunAcglA1OLWgpkvtcLbdMx
CbWahUb5P2YaXLIwO2ij/mfKxzvNyh0jMhwtyD9og/ZgigxljO7tX7DltlyIXIp0cNV3c1ty2Wtq
lVaZVwRYa9ULpJ422nJ2E0w78XvLefBZiGFFlosA3/Va5VzhYw1t5oWNKNlmZ6EVgRTaQfIBG99e
1aap11uCfh3lo9XV29CK0aOwW0zlh3HRRJqa5kNE0eA/GVq+4DL4RtJ2vSZeslUbGQPfT1HtoP0c
DYbbJv9yynE5DbAXwXOrIlNPTfHaiCKoYVZYJBKCPJiH3pD/DHUhgmbU99pjW05PG3+ZA1MZXV3z
TfhZUaIOTAZRCwPFouciGnc2bCNHAbcFOSe4X0jc1q0jre9Na6yK3KtnJG2ZkGhbyfEh+D2VwtT6
l1BQeCsjAWXFrgBTwomLStwDz2+4B5Vo2hXMmplMjq5OXaXEUx22fe7FCXgFqpqdbdEauu2DW1kB
BMhgfUA2m4xJrAJ1VqShqVeIxKF6+dU69MukCxQl3uevh4nJzS8dKmV7QL6NHhTv7P8zuq6uWKWZ
qXGG0aSp3cpyKjpeE+7PzGodX1rLGXvXig++ei4TiMbuBGHvjbSR9sJGBTCPES+Gi9ab2xfII6tK
kntJLepHIwr9Q12qo50NOnMQSnmsmTY6zkq5V3jfujWg0kYJhKFrcDJrIu0sGgsEmEZSHUMsf1Zi
OwCPGVVHFIvhErXm4lFSfCqnCLRzVunOYMmDE0lx9pzrkuCkSt4cbzvB1maAjQGCRf+X4ZUl/L7J
dkZGwdISgmevEhLzvi4s6dCQF93JZSXeBZUVHOqhnFxNDcWX25a3fBw8BIgrmjp8j+XP31gWw6nP
MhOdOEGbj37Zn/PYmSrxdNvKRoZF1wg2VEpqC9P3KjSJVjiP7YyyZOcfquqn3J+/Dto/u+XQLTPM
OoCNI9BSZFmFWbHIxqYQa7axTPiKaUzqOIqXYVYei37WwCQoezCyjUC1sK7RgiD9IFSsTu+chWOW
J0WJ3oxyJ+WPEkkWsq4PhSK5WnruT+KuwsjW4X1rc83on5dM9LQ9fdt2+GgGD5H4ozdfulS8ZFTl
UuVRRQSikZ/mSHWz/FMdFKdyr86+cQMsrTO0GHjNLCIZ125jSb5QF3OP3mM1O8L4oyn28teNlIdp
QFDsNKjJN9Z3jJiKQwKxJs3p5CzFB9Fyh5JH46HvvwzpF2nq7CD9lCaHYWc0cyPTeWXzJBovsX9N
rdNP+uj7Cq/HLpWbQ6a2P5WkU5zEiEQ7K809Muot/1kAVpLF2UOzc7WRopAUXTZNBYlVNwO0jETE
Gf0ifJZ6+j+9dalAhVzqPq7sRBLEnVxrI+6QtJLXqQtFIYWd689YUNg24kigCWk1ttaETvIQJ+mx
VkCc5kso3tncDbdhOo88iPEt0uY1ykXxp6RXypo+ZPdVQn04Hv598YbqKoPbzKnDlmusMro41TO5
nzmOsaLW52AqQ7vQxumpgZDLswqZUR1BDk5mFRg7La6NQLpUqmDIgqCXv62ShUEZGfSv59ID30a9
ymo/9N10juf/0Mol1ugy2DWTgShl9bYC1tNJw4TA1TSPThjoSHkebgfrrfIbMAlQMrSUlu706jbq
GVYoZAuIRpALd4DxPvbw01WGy5COHfTFS4jKrJ2AdB8WhsU2PbbZv5WGIJdlZhS6jmWJXNGrnwAp
XmB1EWANP4loo31qur+3F7nliW8NrLaxbyAR17QU6cn8fhS/joVv3zaw1cCCsH+B+LCPJDmrx6lW
CqGS+XyoPD3m/am+WL6rukUDN7SWuVJlm3v9k43rzyCVIp2iACaT4Fyf5pxZxTiaAhThfFQiQvHB
yO59howUdyyOt1e3tX3wcRP4GYVDrHAVtrK5FM2yaJC0NcD5QZ0jOkEa7RzmrfWQm0iACpgNg2j8
ej26mMhFU6qVp5a1082yKxboDzQxONThmRfxzptj+c+tSk484SXet4vOBtjpa3P1EI/m1BcohKU0
v4LxzujUk0KEtsOdhW3FCvaOh9NSZn7XhqGoLPKqSWqPKUqmfq3qcUi6Ak7sHSff2kDuT3FB7fCG
slYxaU6nbmw6tSa5S4+DEHpSeZqMgTZ/+SLuNTM3XAI+Dp4wIKwAFrxWGN9kknpZh0mM2ryn+8WX
2RqdPK52CAm2TJBlAdlBOIZa+eq6SrIBwv8KB6+bPrVzw48PfZfutTo2/AAJR6K4QmGJzGPldpZP
/EslgFVybd73Bkjuebzoeub20en2KdqwRLIKWgZw9Wuz49rjBPqtTCIWrZeBBFSjP23xRYxVuxJ2
xknf79syo8cTE6gYZao1VEwWsjJXe7TW9Vk0H0fNHH4EFeXN26t5n8pghfYmeByKcsSF69WIkRwP
UkAqk4f9B3XIc1fufclVgta6+HEboPhtloxDNcLBbKc9Ccb3e0moJScFS0zAgKjm2vpYt2XBjVl4
zQDne5PG2rPqG6nrFyM1stEId1a7Ed+X2E55FaQHFc11ojjKrWSFall6i+CVZM9CK31oxNi0U0kw
PoxNHj/ODamAWWe+D2WJr3/T+xJUeD5oe0jO9wedj0vE5xfhSHyG68VHejaEus8rLpKmL3BDf1DE
76l+7JrKMYy9sLzxgMaaDl+NwXCARJp8ba1tknCoZVLzhACduU1TVt+JMBo0AqCKn0cGscKDkFea
5YLWVr+Be1blD4M5yKEzJHVh90ovIJQ0zka5c+tueQEFsAXWSgin/Hz90xqYw42oEksPDpspeG7j
5zpy6mEn19vabhTBQRnBGcdrdrXdcR1ocZ/55HpNo5+noPBPmh+Bd09iDbrp6KMQV3vy4Jsrox7K
EbbY+PWjr5/EPFZj0okWMRNREDKn0LI7o4pLp9Kbn7eP8vt3wVJ8pWNP/kWirqy+sJS1WpHLGIPm
3l76IVaMVs7kTD6w+8Q6UPHeuXy3ggfpum6yqVT91i+DgvSZHICg2yQfZfFHKR1C405hXviuUf/E
+l6Mf38Ds8A35lZfcOgaS2SOEKhL3D4ZtXAe9e+givbEx7YcRafosXR2lzngJTC/uRNVeCwrI+e9
wx+fhjQ4NuP0MPa8D+TUE2lt3/5sm+a473leEeff1dS6UYi6csL7zUQ6RSFY8tnq/s4K1B/T77Dc
Aw1thkCeW8voq0bCrq8STgnCy1pVpdKrPyTJP50rH2vTTX43nY3cjPT58+3VbX0zmrpLm4WmLgDr
681Mkk5oIJArwXqOttGAjmeoBurOnU3cOmiLuLLGE4sxzLXvh4FfWUaH/refqk7eiKU7acF3hnY/
Cqr+5faSNlBBDEYwlb4IxS45wHIQ3ziI1Bh+KCQyxqjDIhl8DofiOMrOLNqR4swaT7zyKE9fDOuj
CG/ooJG8DY+i8TBFx9s/Zct3iCrQXwJ6WJi3rn9J3o6FklaIilaoIsEwGN039ScjOGvijqHN6+Ot
pZXXJFrqF36IWGgC/N5wOiZL09/oB+ShfSkG2+/sqHHnXSaVJfRfp/ds9TLjCgcDOeQaABS1c1KS
PlTeLOqORNE3YvgwrYcLRLp2ilAKjezPcZl+nsu9qsQGzo/2AWp4PGQXrPm6mFVnaq6n8VzB12zL
PC7yyK2rh7b+nhmqXcQPqfSiyT/FcgaNcZ8UsdtlwtPU7b07Nr4xiRGexjQm1fX1vSVHaUWPiJ3P
Jh2CrcyRB06q4u6kRhsHlSAOkoA5G2PBYFy7klEYcxr6Avq0zDO1AAYj+T4Ns0+3HXbjnF5ZWYWD
qahgzctQ6Y3T9E7XHeaQbGovhzbfcdjN5VCGYMOWKf/13NQQFJGmRVXtmX13EM30rivlS6uMf26v
Z9OMgV6IBLvhop5zvWtCF1SjP7OeVFAst6Y46iRV2p5Cags7IW7jsl3eAf8ztfjJm6gjiKXWBwlz
FmGPAyQPWhw4YSx8jFoB5llmV5MKgi5/r6m3vUK6k1DeLlTyq+db1Bt+rWhx7Vkkqek5+u3vvUE3
fQK8IR2UZQRzDQjQ/IK0uwqXB29sM2FxKMh+1dg6JMXOE37LEn1cCSukSbwSr7ewq5pmmuK69gKQ
FVGqu0pyN+fRsWr/3naLDSAHj12SCKA5FjCVdUprNZIsjMFQe1Ihdc9JMdVHqZzmX7kmQ55RFrFd
Sup9HxnzcRbluzYqpJ3zvBU2FvjmK8ABeNDKM2N97mpp4BcYSerqWWIX46dAOEaCeqz2WNy2fOSt
rZVr6kLmd1nbc9hOPWq9j0b/6/Z+bn04+l0S70Q6F6Sa1x9OKErD9xOU0/Pkc5Ce1OIH2Ex/j45l
CT6ry4bKJZeMyqAZeKrVMoJUK4dGkZAQb09FeVKU77dXsZGgS0B4KR4oMDZQpr1ehW41gt4mJCmK
EGaPIev8ngnFnRjzvyozMg9pm4p2VVT6ji9sfR+KIyTqC2U1a7s2HPSNMOoDg2Bpdyit71r4bDY7
TYmt6PTWxOpo1X3a5aEmkh+kdD3QYEAt8VTm04tqtQdRfErFg1ydbu/nlosvpTjecohlE4Kvl9U1
i1KoyLI4Qb3Wu736o4LYre8ctQ52qjGbJxqeGJJYnjvAQVbnSeyDSOpNvfbqUv4pRKJ0hEgpcGpV
q1wmmqSjpCStU2RBjjIPgLcuHaydB97WehmBB8DBO5nG8+onWFkfjHFAZbBt7srI+sAD5mMQRScp
kB5bfadst+UzaJZR70R+GddZHbmYZkndR4iJhVJ64LbJmIbxpZ07betcvzWySjqCJgc4K4et10ZM
aCPeaj0Jg13O/yHuwzxM65OjDUJlZUZgsjP0u5KE3RrFB1nKHMgE7prYUl1I4/emwrcWBd8JaB5Q
MOo7OhS/zZn6GCmz4waVXcd9a7dSPbipVp19vd2T4N34UAs/FnHrFe+yruqLsUEvO/Ubr25bfE83
oV7LigQEXSjsxJGtVwBNeosZaJxC57F1feIkxU+ssO5aiCjLksGLf/IYYHcUqIo7jbOFJpI+Hs1Z
UM9pJyrHRs7yxyE08mOYhSY42LLf+bIbi6fRAL8BeB+2ei1xU0Xm1Bhj3HDLATsLTFvpO1dXdgLN
1uGnQcP091JZ4SWyqlBZ8lh1YR12nn6yqjvfPETVfWs0NNYuRVEcZSPi5F9uR7cNN8ImnOS803l5
mSunbQwjZlA47TxYFUx6zF5a/Nz5nhu7R10RAiHSSmysc4Tcz0bCTNO/ppSd9lJKih13ovPvF/LW
yipMN2lQKfVc994w2+X0pWvdQnoa6JTfNrO1GPLHBVrKq5yvdO2b8hj7aZtHg6cXf4bwLkQfrv19
28TGJ6FsTJtu8TZeSquYWEt+IdJbGBb18jj6XAKr9hP5YOXd4bahd7pY1DAoh4O+oTS/PMhWWXcz
ieMQCs3gdTHw+yksP9TVVwrjU+gq0PFYKUM3lKkVCwkh6aU27lXrex84nfySd78G/cesPxY5lGZ8
0FqlTvGU5o96/1mPdCcaQIm1CWrd1fPtX721PcD+aCNZFtDMNSguyhCTm30JmtoodnPLrZjWabTP
kR7t+O22IZzWIBhxw68SqWmCeVo3usFryoXp+76vlJcgKp6mIE12TG3cucASqN/CqUM4X0fXcRbH
MUmUwZtOQXwZdA02aSfWB7venfd+nx5qGhw39LAov1m05a4dOOrTcRRjOAj0HpwM90V7H7tR+LuS
/imFf25/KpX/1nWqC4GECXyMT0XneZ3qKr0B9DKSeYdroz0Sw8c98oH3xxGtCPBVCMFQLCMVuV5N
PVd60GRLNTqtZZcimj2oUcpMxLCTqLzPPDEkL7rBdA44matti5tZJ/mLqY+kemuLYQP82DyJkc4s
ZubMqegNj32S7uSDGxtIVQj6TGD6xJt1Zd8fjbSZJx6tklo9pLX+Q7LynSCwUakFzsHzkRkjdhFE
xfUWjmJj6klEytmN8+yms2Q4hYHcRhtC/Fy1sdOrUe0mNZ0qOTQbd4RL2IcyY+cIbC31FVAL7wdX
4FojoyvT0ixESilFIh1giD6o/q/b3rjxCel2v7I+4vugAK8XSuPE78OGEldZlnYWKRn9ip5CV+0/
lKrUuoGp/uPLYDrFvUmA98ebVJ7G2LIwihv6sva3RZVe06jzGbUXBelZo7Cihw/BAl5Lgg+K+vH2
Mt+HLbB3cLYo1NeoTK09VVZBRDMq23sT4MZLqeSqK5th7IZtO10Mpdhj6N9YHNsJxBGMI6nLWiBL
7sJCyvoCe0V7BjP2tfTlzhYa2DHUqb9TE/V4e4HvIxgLfGNwfeaTKQtKueo9CN3PMjNbSI4ZoKtm
PDTx5RPTZKfbFldbymUPBo4HLQ9qKCzevVIkNVCG0WyKhyqWDBsYYH5Bldh0VCme79NW22tYr6La
qz0qwYtOJNc/cx3X/hL+P87OY0duJG3XV0SA3mxJpinDkivZDaFuaeh90F79eVhn8SuZiSTUg8FI
mIUig+E+8xpltI1QrurAguGn0zxNKPA31o/7s9qCud6GWT3vMFZdAdXbZNPSOzunccgwKdwUFION
RyXsc1ekSHYv1qj9K+Y8+ziMEeIj82w9hYo++Wo5jo9zEhY7N+xmH62/BrDQaqpCloHT2iYSdWr6
lYmqdoGkz91RWZLPpZW+mgbiK05UoBoctuPO3XfjO/PcggqgI8Z33lYsyqKLlkTTukBjB0M+luJH
McYjYc4S72yhLZb/bXq8gFSJV1NyspvLNdWrQuvrRRWBFCuZdZwNJwR720NgdbJEIshPzKwBaNm2
X+MqG+yDpNRl71aaFP0bGpnxre8G6UPWz63tFv3Shq5pL6XmIglStYe2xZkLoeJSjl0YxvVO3WXb
jHr79Tip45sMEnTFGF7+ehiAPE+N3QWtktdYi0Vpc46spfCrysKsohuQIRVhVB673qxOmTTJP4E8
ChxI+kY6Sk1aHktZ6h/TxOm+6GGN4mQdtjvLuU2g3n7l2kcBrU4f46oClWVLPMel1QUWuh4IX6Tt
h06KAIdN+eJFdo6hfdfnnmHii6IIU3Iju1R2Fvrt1PwR9PAj1iSZesYbi5bU6vJTVXNYWxHFsGAJ
M1vxCzU0Il+dlpUgHFr4eSxV0n3hfIf9MQZs2B9bsKHCLecp+mfEtROA2SgaIjNlaN7ZBa5NrWGk
j4iylBH9EntGDg07TJxC4tgs/0nmaRBemZcYM4RDpL0aUIGQ4NDCZTnkUx926IVN8uv9y+P66GDH
glQAwiK4PgFPvpxlmyyzmY2zCCpVQcK57RRoyaQOg+HslrnXQHv7RXlXiI+5gel+bL5o36xJqiwz
FrLifhjlquaJLo0hY4S2X0Vh+HmyKiCUUjyfW63nIKjL91yDpXJ/0utA2x/CbYGAC066JOqbHxJV
bVJLBvursibngKDWa2jm2bkcE0o9qZuYaef//YgUpOG6IgjFW765NaxON9pMX0RgLnXlrlrSvlh0
vEd6Mzqwz8YTUDjxcH/QTaD0toOpcmgkByZKENs6RDJENuQpRQTlkLQfaBsmyBqVlW81/XwgGuxO
vRLrWA3MuE4sZvlfhgfazzle+albZISMhFLR9yy3WZutpxvF+L0MG/T/Hf1XVnTFg4nTo5cNLYry
prmHNtk2ZNfZ004hVuNFXNHom7TPkGl326E0BKbcJZ9ys8PPQZcXt7En85Q0ZXLQpmQ+TH3VexHR
+7ETjeQR5nxEPTT0RKM2flWO0VdrEHvduU3o8/bbyNRBoQLZQ6pxc+rkfoKapYx1EEVUHmwBi2PQ
LY/sRHEbCncfbBpp75Ev1rz7W+LGcaf3uOZykMMIBDY7n15SPdAabIMhLfFQb6MOsqcjmb18CnUO
/s4WuA644AMhyk8hjKI2S3F5uyxWH48pPJKgAgDxIdfhfOk4e3m2UcPuwDUo+Xp/fus/uDnZ0Cy4
GaHpwhDa5pFJlMbpkjhtIKnpcpTWjUfte69bdnNaa/GIWgt12y35mabNCAwt6oJ+ChHwFsqgtZlH
2aqW3idhvhDpSdhWLztZ5I1habmbjLm6dlyFOWaygAFcJ6fOPxQDGBrg70JCxycSOynWjf1JGGWs
uxO4ISXTy3WzasXBszPrgka0vsgNzzLFwZwBLYDXqq3qhNeCe3/lbkSxBCVUGGjCQFKjeHI5Zj22
ZTb0/RBwMzlfIyP/Opl5dajzwvBjI5sPzqQhG0rY6maphK626dAYTXSjdqch3JNevLGRDBBd3Fv8
sWKFLn/NhA5t2JXLEEDn1T/GU7Qc86Hbq8bfuKEpDaLNqaDxqF9JCdc0GJokUYcg04t3vRMeM0v2
Zwl1IoRoWyTFLO111OOdCP3GPqJqBFMZhCdfe3sxT8pSltbYDkEb9YMbA8hRRPFD7uJzo593VvXW
DHnqgc+iYQz/aXMDFBVZeBcaQyArIvmkhVJvngspHRwvFWH6zkz78mMW2rXjxhr3tC9jmofpT9sU
v7RIz44j6tRuxjP2LqqT6T3F7+8N3sBnYtzuoc0k5f2gxcbOLXnrA62+62splfBg23qNwIf1Ux2N
gYAVMxrOAOpk+KlNTe3VbX66/4lunDUqnbASoCPQRt7ekbU5agXa6bxTUzt4c7tgj5fnv0Sk/ogH
4Xc1oExd7MV9t0ZFIgo6KgVqg4z/cn+nvdlbfZ2MQWsan7rieWn+HfJTFhKHiIMhxzussBvbgDtr
Lbm9Mf62SaE9prU0iWoMusE8T5GFtOiXEl3WOjs4Wnkqf4XjvHehrFPYvAU0KsgJddhaqxft5RTt
GcZPJudjYK02z3Ux2w9Dbg7HiJfjJHR5OCFGW52jZM78wrC/EWeKg0Kt0y2c+IRh0R4P/Ma2Wh9B
rrn1v1foeSWyMDQrujEYqeM8oY8qTjOV6RO6+uqDlC97DJ5b4yHoCqiD88ebuO6BP8pVSz8pUs8z
Hyj64leg5F1O3s9Iq74Ri4q/PzOgG4lmKMmtwLPNhiqEI8wlbaegj9LvDSUcZ/lfbcyfI7PZgWZv
nbvW6InaG5hUmlBk/FsBxpRHKJWdpA9mU51f0dP83Hfpd7kZal9Ol+UpUnPHj1vNeoWnUnn52LXv
ImnJsE1Lkth1EiMtsKcpf5u9icvoNDn1p46JHUMquG6chqqbVtl0Qj1FPY5UHXZO/LZfwwR442jS
rcwCprKNH7pKsuy2y8Yg1a0UxQGpzx9IHexPUYTI+jCk56gQ7Yc8saNzbCHQrKigzkezJNPFoPdY
x7h0zfRUfEHX5NQ2qXPsHUOcq6FE5ztTxFGXcJSUc/sjbluSHzs9eQ5MNq/gFvKzOn9MhgH06SD2
dDBurA5WAvRabKIv8BZbDO8En8tpCzEGTdbXPsCi5FM6dNFrQs/tMI5DW7hxp32GWjx7YtHGY2nN
00Gd29Qf+nE59DPw0KkbxCMS2uGjzQXltTS4To4RmadyNkK3lJMczlsjH9K+0nc28vXLz+9fhbtX
kQ3urDWE/uPUtLKa9aFhjEG41CH0ValGpQlPj/u3/vXZZBQCSB59rkXnrXf+xyg2nHI5K7kLdCEJ
v8yU5TlSq/GYWzKWllOv7szq+r6nHA/AZa0REs5s+UGK2WndssRTgMWciuG7NT4jYLWsbsfDwcqq
2BfCrl7G3NiTYbw1MmpTVFGAkYMv20RS2YBscVhzC3VTHZ4SNfqcLki2joOBArSszs9CaKe6m/bq
2ddPDg0XbSUIU7tRIXxfrqNZ9CZebO0SDOJEBOajEDR9MEwsB6TTXHvdngramjpdPjfreOiTvBUi
kd+/HM+iqTSXabIEYz2e1CRxNSXH0/VDo+jeUu7Je9ycHTQAzGYIUXjlLkeb+/WDG/0SoO7Q+63T
gONwJI2TbjiugvmFBIDSn5u16mSay85uurF7KaRDRFqza8qIm7lO1GYAI/JtR/U4Tw9pHAztD/s/
DUKWBdUbgaktjE/UWl6VM4qZrSJ+dErhJ/mP0fwdD3sK0zdWjtlgd8YCoii31dGCuGYpo9wtAXSf
uH0npy9G/1nOZg+FsPun/kaSs+I8mQxff8XnqpfLFk+hZMq5MwdRS+6igTc+JLGfZl5HEUL3xFch
crdVAUYa/s7Q6znb7E+T3i2QcHbNyhO8HDoMq0Go0bIEdFoHjzKdGD3eIPvIbjGenCluXMlIKM4Z
ceHPFgJJcTMkO6nHtku5Pn3oI1EKM/kGxNba5a/I9b6dOotfUaq+9jV8pfLhm67q264HQvn+lG+t
659jbXKPqOtju9EZq08WH5OWhaqO8mjksccbs7OyN2450mTKRNQ2OQ9bicdFmdRpqnQ5oO7yTAPA
HonrDP7UEP0T39S63Ymorys5q9kheI91UC72TXBH7X2qsmZWgsTIHySyhtei6hMXI9U9sOb1Z2Qk
DGpNepGI12zB8SZO2V03hkrQIWWrfrCbX4P5KAu6WfjY31+xW5PisqZmSFRHK2czKbXVWsvJEzUo
7VE8la0du4aNOXxfC+n7/aGun3kNGvPbU0ibQdnqYohGaa3ImLUgHcr6QLen96bF3pvQ9UUJzoza
OgHfeui3rJDJKstCHmU16Af9k4r3htw6bmIsXpvrp/sTun4RGIorBZ4WWRZw4MuTRWZhmnNiqQEq
au812Vfk52aRj9EsnxBaOLVUbWC775SkrhdshSyS2pFkgardOn+j+zRmjhg0JOxDJE1pZkjYUwzo
YO7sjC2YkIuDkVY1XB4CQuEttKZslyhPC6ZXm0IJjEH8GARkvr4062NRRe8VvQZDJCHeNFhK5GdK
s7hcP7G7LM27JhF/KZD29nsI4A16nEQ2VAIvPzelvmHUQlkL6qx02+K3Fn65v543CthvbZI1huYT
X9mo2EbU4kmoaEGny2nqKr3WoWoSohquz9xfcqe2X5ImGUufPIO8RjPaHCQxCDrhdYnUT4exF5Pk
xapRxV6O6w2+u70odg7SjW4d0rbkM7DC8SiBL335JZxmiut0MrXAqjvdzbPcOvVZOzxVkdP4M0QO
z1jY9ZoW9p7S2P/0Uj/vbMMbxwyRMbYg7aW1pbN520Yjs/qx7fUgtX9q/SqndS6d4liE6s6te+OQ
oYe0mrBCj14FDC/nOodaNKd9p6PDPwNtGbrczS3JdNs6r06GXKeHupnyo5SL+DRM2q669/WtRbZA
WRYdmjXu2qpsRVKdtsow6QGEpScdC61UTt/PojtPcvIUZQgYaA968jNREvoIKHAbil8X74el9+9v
zhvnHtgZYRnhDFSfLTjFCo2pp/KgB1zXMESUwsXU5Qki+ev9cW4tLFnYSqxVDPCam3jJkTPRpmpt
BA4C2E63nGZMQMYhQqN+Z6SbM/pjpM31qSatXUV2ZQRZ2wKm+5oUyWMn/7w/neunlHwSwjUdGHow
RLaX26eta5rIYjICFMoT3xin0ZuokSC0g6ZAD8NtVvr2PywVEi7Ang3AwVdIV70MO+JE2wimkfLu
OFtAP+xcP9ai2fNFurFa9F7oNJLYQsLcttzyWDM7/kcPorp+bzrg6WL52Wh/NWhr3/+Q1+EWRT1o
noBe6CySVl5+yLlOYqdqGiPAdOlRsh5rLfFjGVV55R+t/V2qx/vD3ShqrEVE4ErwZpEE2GLOgNwN
dS9mIyiMRe79gchBZcsr80npl6n1piZ2niLEeL/ZRYmQuaApebKkEur+rDcoAo3KbLw0ipPI7mAO
2eLlhrYaOkEHRIXLEPEvXS1icPhWPlauFC3y82xZtelqqZX8c382N7IQZkMEzpSIwSk+X349LVTM
XktUI8BxSW0S1wpnN5eyUw0J2pa9VMFERX7XA5Kfx8ll5jurdyMLWO9q6oWMzl+2xUJdI/paCzuB
FaWeXoUfxxyOW/dVi9MX8dWSH4t+dIU45rG6h+G79VxREV09SlVmD7zucvJTkwG4QxkqUKefyWJ4
4AZ/ZN17INa0CmGda6lnqlMN/fzvAzSyKgrAAM6Jp7dosCJbuQdGYwbhANQmnKLhEBdCOpeDg0GE
ioO23doKtiv1hH463a7D/WW/ccOZlEwJDVfANdCWy4k3qBgTXw3Eoiga+9FU5b4BgNhrEq3bybze
5nKZbPJEMQ6mTbCLr6AeYbwY2hwTraVLekC21k+d700SvsuAbIaaN8cdfE1s8aLhaLavkb7KjJ/n
8lwbL3X0O59PTpy4CrLjHUUU1FMpphwtgUaF9nD/o9zaDmsVgzolMGoUmzbbIUSjjP831wJd+R42
id90zi86kb6tPq81h74eju2knbtsTxD0BhZr7TC+EY6xBOBTXa5HuFSSnRI4EdFGZ1WLTmF4ZtW+
2fXkhTmwsGe5yc96ZpwsTfhhf44TcQ7L6dga8TmPzY/3v8T127T+HCJNXnV+1Fs4+kdFMoGdWsT5
bMJVOIy2L728qPPXas8K4eYonCXqHzS7rqurVrYYMXKwgWxElVcviPBnaasfSF7JVUD9Ugmx//pp
XxWTAWGulnPc4dtamZbadRgmKHZ2y3gKu7D2U1Ut3GKY0/P9j3gdH666VcTqOGLqpLCbKKKVa9Ns
hW4SRThenWto03TeWFQvy6Qd7agn7zOJLsT7+8NeP7wMq0EIWKNfTvjmaNexEYNkM81AKl/n9n08
/ZtH1Fv3Xt2bs/tjmM27oUplPsuRbQZaWh2p8/9WwKtoZf8uHaGNEIkiVuiP0g5ra29ymxPKwS2L
nhAg4F3NzpMVWI/2Xkv8xrbkA6JmT8wKzWHbUhrivm0sE1HXpl0LN7EZPcVT3TzkeVn4+LSKg12j
nXl/1a4v5HXV/m/QzaqJeDGtOEOmcoCN6NMmohw/VN+iJhSH+yPduOUYCuoGeTM1wKtycSnC2Rgz
9mXp/EywHrGcMzeTp+byuVSfsvZxiM9xvbdfbk7wj1HVyxuuqQcDEDujcpkDGibWHdxoDxWzXpOX
T806tZWvzMpxh2++Yo2DcBwVhklnw1eW865l1e1J/N+/v9n0Zq2DWBr490nx3Fy8RsoXM9yT9dkb
ZLPH1bztSqlfT9ak+K1lumFqPNf6X6cCfCrwePRoMTC1t5W8yElNBOkcLl8nig4d1UOvL8pfVP+G
4/0Nd3NRiDYIMNl2pKyXKx8N9dSoUmwFqQGw0lTSxqsBa/yHUdBWXLuNFB8g4V+OYjdym61KQsFY
KtWDPSo0gG3it/tzuc41kLKlYU/kv8IYtc0Gy8wFoHEo7KCUC7TTi0b2cie3cfdyukekdhZ3rJp/
cuRudsLkWwMDGaWLuj7IzraqgTPJPEvyZAfhuOBdZhbmEU5hgaFwshym1MrPilC7k5GV1eH+lLde
cVS3VnYZUmSEBIRGW9EiTRtBoEujHRj16yJ/wUX4WCTjeSnQZEx+TCByM+WsG9JhMB6Hta5DgxS6
u5vqs+t01RmC0SP226dETh6tbgU17vaZ11d7c+7xsHkL2aitoox3ufhRkae1lUice5Gnv5FwqV97
SQ4J3MLmnS7plWc3WuZTRtFPtblQDMUoBDHO2EOyUPLtWOuPjTIa7+iDyl6b6vbn1BlNsKBm4/eK
9M9ULNnHRJbGnV174xWFE4J+JskPaZC1uRXrvtbtfOZWtBbFS2fDl0u/Gr7G8sNS/Sua94rx/f5q
3jiMRCSEQDTrIGdsccBzMjv1HJYoShlSf1By60coANXdH+QGqIFcnKO+ek1zTraSwlYzVKjFhmaQ
z01QOYfCeqKQL/AxcbPFjZz4uMz/mOHvMo3dIn4XQTQKxVNkvmi03ZRyPCb2+NSRDrVuNh5a+7W3
z436XHWQQw9ZTEN1MNuduOnNCGuzifgooEiAHsIK3IqcSzqtjZBbMZAXpWJv5234STFb5zURpii8
KdPkk9pbQ4EBm84B19XYicAGl/P/ej2BednQ51uOyJUlwBripvoetk4SuZYaykh9W3kJynlEDiq2
MlX4aoFkUmwU4t9pMRZMzsYs0XwlW/R/UwAcsa9qSSl7HXF4hxZpOEDYq0SfHyQDZVS/jtO+AGea
rtY+5ez8MJrOsl1DKppg9aPOAPSGqAiouYF2h6jVJachPHePxIzhR6wQlW96nIWUIDqV+kVlZErP
XRZKltvnSpZ6yKI6p9we9a/RorWj60xG+1nEhZy67dCVX3N8YYQbdVVE0mI4PUKYUZ35YDcBdISq
FHmSk/A4dsXc9f48oof3aA4W+WXbUqQ9GH1lJicUncz6oRNd/0MeJEU9SCja6CfTmJsfFbXw72Y0
FOWRTxRGntWXy3jGStbS3HxRjfqAnmr5Se5pFe3ct2+c2T93A4RdqnK0gUHp087YotToommSxMWC
LWi6CNfMojZ3ww60sqeqqTK5WU8lVUNCaXIliRatHjv5e0vCndiNF2d+qhr4vvJiq0dtAPLmKoMy
/nLaPPpSFFW300vdxqwQNzCBQWGBF33lCG4Ck6SzHLF0EoW9RK5PlYIGq1JPqe9UQ/iUjKo4hLH8
t4Hy/x8UYCzFIxygrU2CI7dKIldDYgZzdu6/2JXuL9VB6Y4i+dtyxToSksY87jxF8IA202vlGEad
VpPTOJobxuYXp+kfqAv9ZXZBN5yrkbwJ7uzKp97EEEVS67VcyJSDJA6s4ashOmPjSdP2KCBXRa91
JK4YnhNyUZjAm3s/L+twGQZhBHP6a+q6d1ranMbhOSkLVwzGu8nWTnL5QWTOz2zcU6ncvjmMDeQM
kOm6V5jpZmyjcRZpCYn8wnmVG0uPdFrdsjQerbR1FSieCkJ9/U7gtK7Q5XG6HHSzVzTwWlkOUTDQ
4p9x/lnC+i752xxqnRi7n8+Kdih/2YyRO2aXAQY0g75J3VikfgunJMJkZud120YbjIPME3BSyiDU
ELbAjb6PQ0VtFTtQqtI+5Z0NURz0uActTTmqvVD9KDcjD+mPDjiMvXzrzK4+2oPzLbPU/mkuRiWY
QyKlvEUaeDaEFkgm1oySyNIHfUBdPzRK8xgq8Z6K8dYsERYmOlh0hFG3Q2eBvXcZKCUL5oh6l4ZB
kkeuli2lG0vF5yGSj3L4HNqnRn9yWsuTV4WSUHoe5/ZQ1jMgu96rC9+QPlljdGgjxW3BhKT23u+7
qkZT/qVMiC4jPw3M0pa4Ltoskqmnh4Gi/I5ZxLQ5Kt2H7KA3kV/KC744FMM03jale67avZXdBkfr
6ID9MAJaCzfG1tRBFRj+aF0eBgWUN7dKJNmNQ3MnArs5R0Q36R2sZ/DKKUBSYqtGUpg4Y2z+p1kA
DlL1HP6WQk+TgiTsXo1oPBqRckR0GN/cPbT3Nr1kktiPaFiTUZlCjHyTwsSVSvOHUDaw9dKN5OIo
QyTv4KzcPyV7w2yubM0M48geZilQk9kVxkmqfynY1t0f5KqWsU5m5S7ggkA2S9B5uZ+7HOeILHSk
oLWzkzoOLmK75gj8wPjeDgiD513o2bXw8jnfeXGvyL/r0KuTEokgtAA415dDF6mQIKCk0UuooMtn
+ZJunRndMN+HikA6uXUXzfgn14ZPUi/e48D674i+sdAJ0aZHtTQpYL9Pcs+eP97/JlfB99sPA9ZF
AZ+PQ4/48ofFlMgzsymil6E7ID+Ce4enIQLUVMfceLDgukMTisqPBSbj+AQI9B/V6uNqIoQLm68U
ZwVUbp9+TquD43zs26Oalod6OqfpQB269ZL60e70HTO76zeJdIEkk1eRb3mlYAIcLdVCteY3S8cZ
PDcj0frqEyQdU8uzZT5dbUOkgih9/2tdv0vrwKtcDmEF7evtx4pT3YDBHb04ifoyWqM7IyaBKeMh
K+KHvx3qrc+LCJtKiR+00eW65IoVKTlWwy9NaNu+sNJjpyvLISp/QPQ4/vVYzAiIL4TLtRK8Adrm
VC6UQl9yrLGAJdDfO0dl+Eivb+Ve7my467VDReWPsTYldUvN6wZSE1bnc74y2MPRr+bZd5AiOJax
/S2V9OUYy1nyEMlpd/4PE3UI1sAT057ZBr5NyHaicpG/SOmzHB3N6jlvE9/p97pYNyI2EL1rsUyB
tAGqb3OfUc1uC6dIixdyM6+P0PFtP9f6/yg8HBY6vfngjvGpKSXfqKydsPT6WTLwjHijy6w59Var
WbOnPHQE5rj8MvEJUV/lqTAy7cP9L7mtMJHwoKJPzoO9KaLBWxZQg9SGbU04yBpDmDxOdOg84LU1
gKJJTZicrH0uqCPiZN+24c52vTX2qpfM+cP/h47k5migjlVOEoanIWKBI/ZfepN5sYRODZJVmap9
qLX6299PFzAxZS32zmogdTlko/Sq5PQaprW4KycLe1Y7Wek3vvMx6wRU5C/3x7vO0MCs0HGFwMP5
R2T/cjxbnatSm4zipRwgvlP2GONI8utqGsv37VSl6snJ7KU9gzbK7F/3x761gVa5K6xk2b1UEC/H
FnOVN1234FpbwCNcZkH3VNNL/+9HWUGoUIy4EKBMXI6i4m0GJknGaFyUBXebrLxzamXeKUfeCJ/A
rgCshasI6Jy34nKYqBjlIhNh8UJn0bWM2BMj1KnhLMMhiOPpKBnRQZhuXNifpLAPcnsvsrkRRMP9
AdxLkLrqDm93q2zRYnCMGXtXaBqubKbi2FjFi2wVP1WjD4+ILsVuVllcR5MIvVJfflqNOKetPB9D
LCROpchfEQcrvIxkzF0xil4k1P5gaYV+TGi9/v3LAzqGEjyJOmjvLYexWfC4z5DYeRGOdEQY6t3E
C9+179tdReZbbwEC9xxjKG1AMzd7oJGdzGn09dO0R1N57E7RIRkfU1h9B7xp7++39ca9TCkNGBb2
yg9GXwYcw+VGgEul9rI8FC9qH2ZfcA4OfVxGp/dj7ujsPEPd2Xm3TjDZMmcY6SAVdcXL8axec0qz
4BTJ+W/HyVywPwWP+fhYRntOxW8OoFdzA75LukYue6WXYKJ8CVpd4jti1/chGxCwUSNFPhuRUzzH
8PX9QUBnkwupPTiFxC2Niq4P3iw9pWZbHTWtcJ6J9FMPwLHmWWMy+HnUSh+KKIJsr3T2eXaE5Xdd
bDxFRpOdaN++i5paOuhpWZ/GVIseZW0Eji+a4bduxzPpaZV7+G02yKxq7cOsdiS6lWUfqeqFUCcz
sfO233oVKMHBbuc+IZTdLPCQg2elpIg3o7T8Jvh/jeXQVZTsyBny9C7yZhlM73/YVLR+Vx4Nip3b
+ngh2aHaTm35glLAU6vMGP0863EZWOL7/YGudxM3GPcxuSYcRvbv5W7KhEgkrIGw2CZowhK+UHJf
cHlki/WuGJbX+6Ndn0sedaRe4QhR8kH153K0cCGndMy6fNHMfwfrvDKEitZtx//pUf4EVv0jbun3
R3zDmF9uYYZEPwzwAxhZbGwuh4wmkYyyghmKEeN+BmR5FpWbSYnzSyCGtLgV9FoSNc1pK4+aAxyC
ESe2d1o8VV/lrDI+q4gTza411EvvWpWp9W4tZ9rDIkr1e9WH9ScnNpqfESiSwZeLIoIGadTGjw5H
z6MOgHNnQrcWDGoAqJs3vMr2eRuisgEXN5YvkoDDVcsu9XBwavNrZo+e0ad7qqS3lowsjl4fn5D/
bK6bKY66jNSrAkxhPsxws4OonI85/rJxKJ8dLYPmWe7s/usTx6UJLhQpNjwjOHOXazYPJl7ic1S+
mEiG1c6xNH80dvUILKGL44NDMn1/k9yIqhlwZZ3DXVnBm5uo2i7UxAKhjSW7LAl6EegDfCsA6D9G
Yx1+hu9iD16hZfanGLS5SYyWUw6dhgp5uNiYwDzf/z0354+YBwcE6hf0gsv5L0vuUOdvSp6ULPP0
lC5hXA4YKg5ZSQvRqT5EOupe2OE6OyOvd9n2tFCTJVvB0nGNgy9H7umSyHLGAbUn3R9MycuykxbL
f51m85kJ9GlE8el4Vy5HCZUJh8BwLl9G5YyagpunHwdaPWO1eJY8wgvJDpQ1dgD519HnOijKGcgd
AYXaFpxUJxtyeV64e0Z0SvR3ZMc7keetj4dU4cp/hNlObfNyWk0ZOWHkrPbxiERUxH5ZkO+2/m+d
f21FawMwABq4TaljK1Q0YrbyJcIDOYNj0Ugfp/BTCBIpWj7e34fXoc2qkIBm0UqiIIXfxLgimhpt
njQ+mZYflkEnwO09rVwO6tDtKQaua77deeDBUOEifVzP4ebjJXMr4tWQPpOqpzD6JNefZd3VI3xc
CG1+zvaPztlTdbu1JUCnsQnhAGKrsRkT2nEHGhKDcDqZ4bGzjMVPEQc53v+KN6qDFAYRQ+RIIXtA
zH45tXmAXqipXfWixDXuKnSN38dl44Xza3nGDN6vbcPN9iKIW5sRXidHGPIJz+3mShs0kVmLCn9a
t57q4jU3Hlt5rxpx6576c4zN20AdpxziAQP5Lp0Rrn1YasjwaIojH6dBaNzZjbd2/p+jrb/mDzQo
MrmtpbURtmZGfugz1Sut2tXqL2knzoa2Z7Vya28ArwEshFo2b8PmMMtjn6bSQH5nGIBFUkGchzz7
XgfuxgmDH4d4sEOQApxuM6d8UhqxlFn9EplleegWS2uAvvfqaZ6K5FwiT7XzEW9MizmRHUMwhLuy
peQtTprXZd7XL1iSxMeIvreL2s9f2kXT36EfBXx4zRtsUAybgzXZdpLONn4q+qSG74YeqSa7lix/
52Dd2BErlx4SP8o4jLQZRgLUnuFUsLqqUJUdX+spfs7kV70dSXDr9zmdZ6HND+ufaHAdNNRNYuxr
cKBwq2I4Usr3w1jfKZO9AckubjKqjFRzqPfxo6DCb9aUvHMwOub8Mlj99D2fsyT16hSmsz/OenUW
jZbIXk9bIPW1JJP8ITXMk65BofOVvmgMFyt462cGNuKnmEOcQaJGqC67sO28OZ31D8iJtXAUWic+
hNgNWQddxOPkNS0sZoLPRkCQQDT4l9SrenSUIJObHo3P8Xfa29N0zM1w7D9WpSnGc1u3meY26Bd1
rjU6anKIrGGtXJZhxl+j2QRPUSO6u7Ny65V39Y0osVHuZtNfmXWpmVOPTh2bRLGN9mAW9UMoF1S9
u1F+KEE1etYirNlN4rhT3a5Fg2Rw5NVYcEyebUwFdvRbrgNAXu2VjQTkBmAdZZPLuwX3JnJRUDcv
LJNwq1x7qArha85JyTXka6NHxKuPC2SvKEs/LGO4ExBdXdZvw1PsIr0EEbsVOk7KXLF7Kzdfxi46
lo2pkKckXhxWyU6ke3VjrwNRNVj9POm8bXUFmibt02GpzZfKLgHDoDmTt2QQhdsKSPfieQx3zujO
gFvZNqdxNGBelfkC08Pt0fN00ATual8xdNfKfkvOl52dtcYkm53Fgw4CG8g5j+227ZTYVixGmdMH
MHw4cFNVT1qi/2/p4XVAJsC8MakW/bVrYCwMpVYd63E0T9Lq/HP/l9xaU1DbLCp3IeNsthR22/qA
bxZgslbxe+ekKweKdTvreXsQoC8sKkHtNrQgQCtMRCXNFwGwsaPDSU+ce3/nuO6NsskKCoeSTRSW
jNI9CoqaVnnSjZ0A8HqjsPUphNMopN7BXy9PIAKvaDtUuvYSQhmFC6gq5zB7QNvM0/IvSmLv7Mu3
jszlPuGkQS+hi7Kehm3hI5Zx7GmNVP9/pJ3pbtzIsq2fiADn4S9Zg0pDUbJkW/YfwrItzvPMp78f
tXHPVrEKRfic7ka3AaEVzMzIzMiIFWsdCaFSBxzwBDP1qInbNHyS48dR/SHK30RS1KKaOQ15q6ob
dyhZP/gq7UPJ2o15afifPmf5JGp0f1D8ms9RlHvVg+ZTv2+sb428G6K7PlupsZxHpMCUCDqAEcxy
F8z26WTj+3FkaIKBBLio3w9xZth+ARzSI5rbgTatjnLqcxdwpTx1WjE6Jarnu+v74ywS4RvQYILj
hCoghHaLxIysBDHIUMM4JtyPVLo2cfr67xaoAHAHg0WDAmye808BozlTWVlTbR4LUVCdmM2+EZNi
TR3mwsqRogBeSj4GjqblkVrndZsjdsuR2vY7QfkLAPheCB/UA8KXG57p/3yskBGhggJwA6ibsuT0
6UKEWzshZtpM8VaTSaFn6LWqub6mSHu+6any8XDh3yBnwdCezh5CzIUkI2qAYnB3l9VNSH0+fJI8
a2UnnoXAYP8/21lufLmmUCFiJ+4n24QJJQ6/AUbeFmv62Rcu+dkSkBOKD/zpo6TzyR9CXNzsZiKi
jENhZ7a1You+n9gtWOSNl3jCoWsm7wZSYpjNvEHYtW2mcfxk5va6Y57xKPCcVpHR432hKXMQvghc
RYgmBcP3ELwdBbtHdi1NvwXyNkvVF49203JvTJuyGNxIy56LYXihPjgDXpO4XPmSs+ze3BnGZTmH
HhyCy6YI3S9BxNaydeSNQj1ZyupDmRj9zahk8ZbAu6P51JN2ZeMbB2+UpcP1ibhknkZwmH9ZEYU0
w6mPBXpZRFaGeaG3oFT1601hEAZmkYGWvHWYIBvXM7RrtZVhnz0cPnBVHIEkNmcE2uL8q6tc1CJY
S47trzK2QaB4d4NqpysZp4ujY07/v5XFtRmy+UN/tiI+iU732H7tIoc6yd9yrU4zb8XFXQZM7L+G
5qP2k2ND9NOo6YQhJbdJFX5L/l5fpvPpojjAM5gEBhBbqH1Of3/ExUy7h9Ye1dH1wleNpGQ4/TWz
g6etPJ7Op0wlPwe1DdA3yJiWwDtvFGIYxKrhOFnQ6QotOiqDI3jfSbGWvUruU3Dgzl4Jb85PIIzO
yC307hCBXza1jL0S9JovD0dJ+wJejOgDlv/HTB9XgrUL08hbeLaFZhEcjfPPPy1T3YrIYgXGcCzp
voTtx27NjDZ9oPnSsxSWKwHVxyFy6hUquS0SnSQ8qU8vy+3QZ3kxpYrx2G04TX+YpT2YnOFOqdqt
ase6Ay+Nvf/x9bn9Xu2F2+QnKPxmH+6CwS7+Dn+Lp+I2c9ZefueuykfhSNCikOc7S6sUvtjWXh+N
RxqU7nsQHYWAMFW2RrV+aarJXdLPo1IpOXvPDWZUCZQmx2Nd073ePwYB2P3MbuDe/nfqgPm9/9nY
4gZrTRowEG4Zj8YU4J6OmFcbS/QflCR9z9RfVX3fCcV9XtyEwopHXZpNgo6ZQ2OG/y3biEVBVDsv
bsZjoB9CQzhksa2DQPrn3Q+W4r9GFrt/ynJ6iMVyPJK93RtqaCf9eNfe+8F2EtbW7cJWBH3NP+TD
5r7vRcg20NdoGXE1HZUI0Gv4Q6llRxTfDGUl6LgQAcObQRSA5ghoLWAip3uxMth3md5OR6GiPcLY
m69iQz/bJifGh158myUrcds5YARC7c8WF3dd3MsxHCFYNNppZ6r5l/ZxgozNIR+FdvKQ3w9mcZMN
ttytWP54BC4OgpldH6w/1Lvnj0R6cdpQlPvp+Pr6ENq7h6e73P7phrZr2ald2qH9MGwI8e3AKR1/
e4i38fwHO9i9vZV2bUs2vVLbxy/f71/yV8e0u+0Pz/4a2KMt29WeB/Q+2JLXtsONbD/dsN02xuZ5
a3/Z39/fvj/dBfb7n/frHvnR33htRIubtbLMwah7RqTZue3u7u66nbwdtwCIHWuHPModMBfX2nr3
+sb6Wd/Dtqk5ods8OTe9fQv03b5R7JXL/vL6fprlxSUcxdWg6/78Ta6Xpduq2Keksnbk9vX4V/UE
LK+evqyFGPMvXUwEykbq3NQKj8BZ/AbrfD+WEhJxUUROPBS2cRGvXMkfe25pAzYK+piB5dEmshgY
baZi7Gm5eJTs3HlDVIi/0fVzEvv711+BLdpH9cvK+l44BugM/K/J+dz7dFOmodpNvYVJVfmhO/FN
shGcxk6dl9fZYX/Cw2HXu/RVYYqPzrt5VA7g9Wx920LbKO7g59Bzm7tF3v3o1zhVL0QoJ5+2OOyl
MYpDQ+LTxETZakLBsw/V97BqauKUcFuP4VGp4U1RxZVj+OKcAEtG6Umh7WOJnpKo+kujUolHo2sf
u/wmSw+1+Rar7Y/rk38+wA8RR3pB5+MRHYDTuQd2WY1V5EtHWH/r5t4qOjstUPzejHLnZJKyNeo/
1y1eOIzpZVYUJGE4I2mvWmzndFKTRop16Qg7mzqldlRLjhy99wkcXtmd3t7GXX+AZvpxxe48lFPP
nnuo6dEhCz1TZC48W9Fak3ezJh2ze8G8mVSJhDzyK+Nv2PXpgG2y51LPtpKxvW73PDiZzRL/ABij
OLcszUVJy1ndmtIxQgDGi+9i4WeDxnLohsJKBuQ8N3FqaRFxdoXcSNFgsJZNZLe/RP9FFr9lZbwJ
bj2YOa8P6/IygoUjGgK1RAfbqeeIndHAY8646nE7uRaRApwxnobUaCTBAupBhfXH55q9bvbSGJkv
CtSUjlWe1adWQwvuNU3N5KNp0NNp7YLm0UA613Pa8JcgrkzopTHiotTeZ0UQOHIWJ1MlhvEUmbl8
TOnA7PtNWNsqTZWluU25ScsHoYvtBBmt62M83/tzv//MWkRiVOEKPx1j0QT6OEWJfCzFB3CmbVxv
s/HFb/uVePLCXGJnHh4REVXjxeFWeokSlnolH4eidsz8V4AmYRQWoO848C3tFtmV6wM7kzQjA3Ji
cbF6STZ0k2bUrF4e23GC9EduZ90rwBpBccqh3HfCRq0t9EENm0yfLQQWvSKbnD82w+9aK+88a9+k
dl+i24Sb1aGxz3x9n8iGoyk0uQS761980QNAeXJczMSSeN3pWuRRKrd6W8rHQthFHtmDqNpkOwDp
UgmzaWl7Bm3+a1y+F3JXsMAQqpIj4agEGnVqNRilAlRLh98F2h90ypzBCreisil4I4t/eLyiIVDZ
rQFFfWrdXB/y/LsXxyRXAt5OeYwGh2U/qqRV/dRWrUxQbmpQCNX5bvKSeGViL9w7SL4RoMKBBt+N
tbh3+qqczDTw8IQoe/aG6VhOipOH7UbQM6gRRJZTIRterxzGl2Z2ZqAmJQcEkuVcrKceVH0lkCk/
5t1vqEl7LIwCWve2QlRs2mFmK39rQd5cn9OLZme+qY9tBmJIXixoV8pFXQnUH+jRHqtdLYybQU9t
czjo0msRF191YSeH99BNrkSql5bzs+XFbZvTQhEbsa8d86Gs6P/viVwaVMiuD/DScnINwBSCyhva
uItpVZJQySIv0I6RRwU+pnG/eR/Lg4A4gt912/6pjIz9dZOXtiZwl5k90CJGA9VzOqfipFElZsse
/doWt834LMM7W0b7Pv8qJsaun2JbWokhzieTxyPB3JyOn/lmF5M5woIgoOUyHRM5UrZtG+qHWjCq
w/WRXbICFoXQaCZ7PNuBY6BOSh4U01GeiO/HEGk4SOP/VWCKeIRrlJQJxQX6O5aRX+Uh/xCX5XTU
hSndmSFkXeaghCunyflddmpl4fh5aumAXXgndeiF3xvoo22RfCW6l03hYHlqvzJ3F+xxb5JyAiVC
r+QSMDtYk5x4cSwdvUjRf+aaNe6kziQ80LygskEVRStbew4BTo9L4tgPZtP/RLSLg2yWAK14lhF0
AZOhycJrAhou4XEU8rLpVrbZvI1OjcHYbyI5TUs122xZDgqyAaQo2pXHKhVtY+TVPvAuj75o/t/J
vFOilS12Ppmn5ha7eiiFPrXAhgNxjBwtGR02nFNrX6t/B2ScGpqPl08vQJnKk9r4ogF8Lf+dFMl9
EEaT3cq2bAS2YNwJgjZTR7eu6v3oEWG7vt/mqONsVud6CFQWPLWWRD6GWehWTJx7TOmf/zP6B/1H
kfyNIY28bud8X5NZm5u/aL+mF2vpm0kdBqWAlutxqvy3lP4YLjovXbnhzv0RI7R6zmzlYG2WlXUJ
RdHBzFPzaCVp6ADsZUzUmmkNavr/zXg+mVpEc3qamXoBERXlYzOzDbXItuEAF/X/YtY+WVk4Ye9P
UZePDMj00l3TTMjertHEXXKAz3O2cD9o/uus81mY1NhkQpE5KUiA1ngx9QRepujr9QFd2lWfrC3L
gTMdUK57TJukJfXOar1240/N82j593E1Tiv+cKEwgENQs4angrTgGd2sOtVV2CmleRzHbCPDj+g1
9UNtSVsxMjdTd2s17R4N1IMqt454G4+JHbbSXsrbn1bkvRZf4s74a8WerUx7ReLxQ6kwiCU3VXR7
9DYGlGd4wX6kGSdX7S7uCEm/XJ+w8+WZ/VgmHUVgwY24uEOmKoRvHjQdHJbDBHaWu13eNMNG9Q6Z
aq6dsRdSe6bBnUiNkriUB/vCrdUhKSyNpg+C7++RdUMHepojzyXYQQU5btiOjjc074rwGKSy3abC
PxNC0FU8kwMT1BBqUNA5PQxrYYacC4Vy7GCb3VAjV2w1EtewYRfCJzouTGwRO8zs+YtYxi8FgR69
UD+WSmFnNaLHW958xjd0aKuX3s2CauWYPfd76mCwyZmwmECn/tF+9umQt3I6vnyvAiLVIQ0hmOX3
IiXpJMY/hNLqVsLecyolYPk8LWCdoPLOLC6ODbWNIdQKdTCHsbwts4nKvpztAX7xvrXkN8CTEZLn
JiRLXXJIPfZF08R7jVqYFx4UuVAgSkmqW1Xqxtux0t6uu/QFQBJdA4jhEHmBniWePF1ks5VoqvMC
4+ib0l0v6PdV4z3DoGDn1jeZZxCa7Bu9bm+8OtnBU5yq95pyW0vmVupceQ09/hG3nt6A89fMjcIg
4GeU0OnX9MLQW54HzET+NhBYmFAh/LAgT3doNdXat/C31DvWo9HeXJ+Fs40NdSKwLOab2xWKmMW5
2+qxXMMlZh2nLtuOwSvS9o6QPxrTC/TX102du/upreWpWwLjpByDLQVyvW/ee+UO+abeBPK+NO21
FqPZuU7mczZG2xblfpAnoD5O55MmCjXNogZjir6t82dUMGwB0fWE2kr+upZAP9tYC2vzzz9tLEXq
/ILT2zpm+nsz1jYdnjAi/JhVgK9P4llsgSEETmnpnfv28dtTQ1Klj0JiBd4x0Ue75BqWg59Wu8aC
dmk4c9YLC8wcZk6t6L0foT0RekdD3sTWBih+GtyZxUrwctEhQMeCqvrgwF5C/iuG1ycGZibQBk/T
TVPZfupElLS6xPGf/33myOgBsAIhDqpi4eli1KpRIUQez5IKep2NlL0p6cqZMs/+wuloUmc8YKzn
lq7Fe1im/0MXC184anpab3otF2yll9PD9ZF8cBScmZnBITJkSeB4FsvTRIkat0EiHL2v1aP0okoU
vZz27+Tb47i71b9o3ZaGYHjtV+zOn7+wC8KXrN8HmhmCkYVbGFolZIooHMXqPqLCP2qaXcc/kb/u
msxWvY1cAMCTVlz+/IjiDWlyUPPAppFiyc6Orp0QaoXiu3S52930x2pqu2vfDOkVqbIVW+enBvUX
cr4cGEwuvnI6wjLqoljIpsDts79DKL2Y7YMYtxvQeNA5qpt+TRv5A/h5OqXYIhvG/w0Qng7AU4Nt
FdTVhGiXq3I+pfWv1olFF801mrAgVpnuG+13Dyll236hWwpRWrpHhOYOrrF9OJeJXpFdMgpozC02
TEUVZY2g58LkA3skwTNHY7x3F642jZPuWWEfuqZ3Hxc+CTJtJ9R/C+8VwdKV8+CMcZaIiwwvfkVn
P9tn2f7WaZSYPWQ83Kx7jrIfXv91Gu9HCKM9vd72Eh79pxTskPcHDenZ76xyZeg41e9doUA1NYm2
gghNM/dX+GuI7POdTTSI389UvNwY6sIxxIaOqzFVIlcKgUvXGZnzZPCslR12ppnADODiyNxQ6QBi
vsx1T6NHohcSFFeT2cxNs0nE+DC/IgvI+XzhscnLQ1uIG+O7N+Q2mRQ5AIECzjb1Kd0l3+mHdgTe
F2OxHaNd8wHmHuBT0jZpuLYv5wNz4bogx2fpDpgR4JxaxE+gNj0jGMXYbQOnzp7VvNqVs56D/tbK
/Y2XIve0cvBdcEbwtzxEKTxRj132NgSZLCWTYcZuZd0G1YvUPob+bVPfA8pfOQfOXyDUfea/ACsi
YksgcbovYRMvIXn2MjfIux2waTuMR7tipL2s2YVfuSQRcENvE4/fJC97KIfunwfL3EJ+QAkK1DZd
JKdf0IaxUfReqR0FwXLCEbBFDZ0ZVQ852ZsriJXziYW2d6530Uc1vwsWS+nrY1zJZsi9lWnNLkwF
wCaDJt97uUQnl1qrrtquCoRcNgrrJhEASIozaeokmNLQjIVjWEjIgahBbzqZ5UvbKQH5L4517TS0
M327fomdn/CA4Mi1Aq1gO5/tMCnXO6mQB4EMkFlNTlaEmu7wfDcrTvi89ux69Cyqp6FYi1vwXuma
Cu8F14LMlJ4nkoiggBEUOl1Y8lOpKvUTX+D5QW4PCQwwAH+D+4zSgNNlbNQuSbONAJ2vnaUxvLF6
dUMoK++1Bja06/NxHlCaADCRTgCvSBly+UjrgzDLDFNM3EAcpG0myIODTSABRbsWP1wwRdKU9lhA
B+S8lz1fWU+Guwqs2K0HRdnEM7Z0qGh1K4dxjSDwnKuHMcFqBdAaPQAO1dn5PgXkuQDINGyj1C3Q
j2zoKTPLGgbZyunudGIVzg15+Mo+vucQ6cZNVhk3TZLui3pnaLldVcNuTMu3mq5heWWvnb/0Zk0c
YgtY7wh9z2ZcUrokCJo0dUXPQgybq17ad2O68Qr6YH5KVesY2k5BubDZN8Zdkgr/vOKw3plzOyoK
UJwvi83O6ao2cm6krifeqpnKnks26Vpp6Gxz02ACWSocNuascv4R+n+af19t2QOIXxHXqLeBKjtt
/WRBS9NqLhXo3XUfPn9ILKwthqSpQtv6o5+7k9kdzLK3Re9QDJuvEXynENhoR1lZixTPg/DZJoRQ
8wOJRTQWNgnH6s4aqtytYauxA6nLt5GcPdFn+qtSx3rHZRXeRV0Iw3ybjhtlrKNbCCBgZBatfFN4
kfAryIS1uvWleSeLDgsX/HfQlizuLb9TxmbsxtylcoYXhQZN4k1n0PMQ/Qz6pNxO6jolpsxmOokE
mAqeI5CokjAjSF8YrcxIr/taz92sR6BJq1X54Kv0ipd96pPKqv0b0/e5vQRB2Ohx6t2hYv8jl4zy
0JeN+b7iDHNIevY1pFFm0BaUrsvHq2j2PQ2Pcu5qz8aNchcVpJXszh7eFbjc7fCQNza9l2tA2vP6
8jwJDF4nnUdp8iMb9snjCxGieKNUc3eY8ptS0m3/qRqLTd3VtoUUY6zfthZiZhsE664P+OKSz+8j
+GJEFLcW94kVjhCbTH7him3ztW7HaOuVsGDI2qTuo0w0IEadsrfrNs+OcgYL+yI7nESoedY/qwlg
5oRpyt2QzDBNWBESo0UrOBUdYNvrps4i79kUBWZgeMR+PEJOT3J9GmtiLalwDe+nIn/Vra/Xf/9Z
QLD4/Yt9LAmBpmeRWriysfG+RQ06FnZVOlmyx1Gum5r3wcIz6Y6bG4B4ZVJuW6xUglp65CVG4cbv
xaF4jGPb3JSt074E6v/R0rx+n5yxl9AHSyylcDXLNcxD3m2a2BnqL+OzoG2kZuX8veCBJ+Oad+Qn
a6E86X0yj0tNnrVwK2lPwS8/fVlNQFxYqrnxjwiJG33+76mdEiG5WDNHlgpZezh3+/eSiEn0n6Ei
deKh3Fxfrgued2JuHvanYZmWMBIEYm5CUTZ6adegDJfcAdQeMBpoCwjClNPfbwmmmYWk/t1Ermyh
ftHH29h798qDVDo6+tAdXCzXR3Qee5DW4DnPC5P0HpTpC5MwNXaNH+PstC5PxUOIJA+8Svckm/94
L1CJ5OYhgoFgreHn0kyingTjJqk++DAXZmWSljQc4iBmdhcI/lZFzO76yNYszD//tFZ1IEIYZ2KB
jkJhm8Y+nGMjSfzrVi454H+IgEBtEL0tzgqiJWAtClbgmpReEvWg1PQI3kTjvm1X9tTsy8uzglK4
DmE78RMpqdMB6VEyWnGYl66v7wIo55MnOc3swVgBOV+at89mFivTwXqX1/VsBkdosttAvrk+ZZcM
0HpFZwkcSuhYz1P6aWGGRh8LHjyla5q1I6UP2XqsP0/FYqrYQaAxTF6RoI0Wx0KC2KpGnqpyjfYW
KRR6rfRDv4kJ8RVjJ4aPknzTjc6wHW6s+msYqFvZjmK7d6p2o0k7yirpWtPVhcU7+aLlyZFFZVoP
BgUOobkRY3H2RTsL3jvxn+sB5MmgXWD4cEvQ17nwe1/ICfQko3aHXWR+Tfr7Yq1meOFwP7GwuEqi
tG2QMcGC0o+O2L3r5l1IPCtFPtI1T9edZf5di5WkOZVnOSVKuBGXklODqCdlkRaN2yKw4pBrDHg3
RMlNEoGh+HdTOCVdnJANUQ5dhBW93hE5BnXjTr3kqPKDFJF4GPfXjVzwA6go5kicqj+beOH82B3N
yWgaN4UcO05hw4njX0Y+3pZ9sRIFnqcV5oypNcsYka0ij7o4m6K+5ohFhcJFqOtOqvejgfOrz4rx
bNB6mKrRLoYG3BPUm1rQ90GyxuV8Plb4BcjO0wQIqBOOy9ONrkJNjZhIWbt8CHjcv4n84gmbAcH6
63N67iO8m0HmflCy4vILf0SFI4xQfK5dSUCKIssh5Jb3Qr6WATw/6kHmMSCyf7PS+pLst0GpQc66
qXEzNbJ76SWPDvrkjAr6EGNGS+fh+qgumCMDRtsoeHr+WtZhh0ZRmj5WGgJq/ZvQ7gDpdbUjti+V
M5XiWin2fE/Dy/dfa2eV2AG4bxBJjVu++0+Q+hvB7muXJGvRxrzkp9v51MzCJSUIqNEMGRtXz36P
EV2xxl1V/pAQu/Q2YUio4al2E/25PpMX/FBBZoNcFv9hT8xj/3Th9Hk9WEKqNq66h0noS3u/Bh46
D9sY1ScDi00NY6fVxhEGIA1zdEey9Y2yzzfh7vo4Lvj5iZn5Mz6Nw4uTKq1QRXZDRHLV7m7ORXnF
yma64AgzBpuXMoQsdIEvxiIlaVGMude4SQF9BmQzPQlQLwPd/+QZxcrpfmFlZpEVNCfBoJD+WRhr
OvK8Zti37hhlfyb4liJAcdUkbbR+7U18IdCFDO0DVguCaM5OnM5eM4p6r/py6wYH/1gcut/iLRrT
++Y2vm/evdduZR4vZKBO7S1OJTH1hCESpdZtds2ByONFPRRb+tUO8Nv+s1+cjGye5U9+IfViVDSK
iCX1q+WXb5MV/xz8f8ejkD0C50WOnAQXudqFmVbTk5wwpnX76MGLXE3xnyttKwi3evWu91D3+JQc
LekmmlJI5fMvmX9zfZwfnT2L04PU7UwBzf2JHtviCybRgwO7zVvXMhOIgO1eVOzAv5Pznac9TtNm
SjKnMuwxgAT7sSEHV1j3a7jU2SWvfcPiMJHl3BunoWu5BUjVNvetktybTX1TVyXdMdOPSVzTl7mw
7WFi0EmmgcrhIlicmXkr1z1o7daVx5tg/JsVgV3ku5WpvXAwnxhZPC66DP58Mx5aN+nvOgOEpeQM
GmQw4hdl2Cf+odK/h8/Xbc6rdTaTgG7xKQBhZ0F6LkepnsJDi9uGjoI6J+J+2XdPWyuvXLQDuTA8
kmQjgfqebo9Jt4I00ZXWDSPrV4+EohkIb2n0fVTXGKQunjGIZvyPqcUZ005G0oOabt1iR1jQbBrT
Lqpdnu/a3g6SDe1BVbMZfqxJn1yI9NiaujK37ABURdFlMcQukiaxYIhWlN+H8UPTZtsSwg5KORvw
NNt+ohzON0idB9na8FXMavf6Ys4jO1vMT1+w8B+hHio9RDzVTbrqMZKbr1qwto4X98EnE4t1bCPT
6jMgVS5aC9taCmyru1f1lXF8BODXBrJYwrQtRxghsaLchD9rGO7/vAWSHW5liOZLOwWIdNfdJKSP
yaK+UpKvb4q/+Vs2ODr9E2hcUgMenOjvKg5lbYIX14niBWHut7jWKGebTtoa/dr8XvZeaDNpcQPQ
i27DqRdJ8AMaiMIh3C7bakyL+RBsqsNvedi1nR39ig/yl+tOc3FnfjI4//zTxRUqsB2F+jym2+Qw
7ESnV1bedOdVv/nS+mRicVy3fSiiiWzNV4b6kpQPoQ/li4PgYNHckro/aIl+m4WOSl8UvVLH2NTu
fd23taE+iAV1fbWzVWG0NYQfzX4l03IhbDz5tkX0k5TEc73J8Mtt0ZSkJ570Jyn+Sv+kPeiPYyWv
vCguHhOgfUm5GABWJHHh20Edt7Ui+J3bNl/EEWCMFT544YzQkh+m4UtG4n4iB5iK9b7SxJshKNZI
Py6tOPEDsFb6OghaFk9CHe63UZen3hX6ylb8fS33tlL9VteUWS6dFbNUK/IwNBxpSxxhVkMBFFtS
T5RCmoXU+ttUjith16VIADFHmF9gSpp5/E69V0FHpZKNaHDLqdxG4r0hb4fmcRi8TTFs14SUL/kK
bcG0nfJIo6S2OF9TqxU8WU8HV4g7pw+ivUZ/Lid62WR3XWTYJSzx4ri5vj8vvQU+G12cuJVAGT5J
44HX2t8g3hkGmKpXPT/wcLtu6KPOsTh1CSoRKZvRhEA/F57ZdzDq5zqWjNx3qrB2MrO6acXmhfb5
jRe/qdmPrLHLsHZDWl9R5d7r0o8i/JUL3U89NPcTJG56lW0HKXEKxduVCOy2z02JsI6YrkX2F5wY
jDjJAJA4hnH2kpC0IEDTh7VIxZs23+ivSET6w9YaEydN3ppt+jukB/4vnHWD9zso7W4lsTNPxnKy
PttfnNNwYA81oDN8IZIPpSE8m0O+FmrPzntmA74RkeOTAtUyg2pUoZRoZTm4E5cACqU/TeWoa81D
mrvBZNo1/V55+w5cfmtM2toEz868NA4p/FywBq5NNu50ZyWt1qqK149u0lq9I5vjjYiCKp3kivci
hN2bqEBe5TfCPizlchuI6GG3RrQZJqlfmYcLe1yD1Am4OFl38vyLG6oTePU0acSXqOKPMv8rWu0j
ysROL9D59lO01hokLpxboB2p0lMbIe2zfH1DgKypfdONlB4LR/KHG7XYdkbvDEFiTwHEqP4t0L6x
+JWq36vScqtfre/dJtEac9l5KwRDBu6NvMFclTzTHDGz2kz8ehrdJnMjuODawJaVO6Pbm8Z2bHad
Ye0LOKhgID/MPb1iuBPhppX+Zpq/4u2Xbi2aR8GNUENHuUpcHH2dKRt+K46jW+d3bUFsVWyszp4A
Xh7lbms8TOar4a8x7lxyQeo2VA+I54EMLPaYJ0wjpJDp5BbIsg4oBwctWjkoPU2UCgBXmiQYZTv2
J7tADN4zrLWE3IUVoAFj5mlDpJUVWObx9TAfKkNTJreMvsNrel//YoruysgqnbKHKcorHEF0itGm
XaYSbvwWmij/T5dlf4L47frxfH7gwDpI/hjWU9aBltnT/WgqIwrnsji57QCcVi+nA8wiaxXB81P1
1MgiUpPiTAuQf5jcpLnNYW4qqHBtV8mwL1kBqw5xBFwzXNqLKy3oek2pmkp0tch3ckO2Ibh5T7qX
f58wWp1ZNzDC3NfzsfIpsDUj9EM1oRRdfRzvetkIbSU1n67buJBgou2dW5P3Jn1b1nJfCBUQSnoi
RTdob73hBpG1UHhoomPi1VRylY1i+U6grrUFX/IF9PSoUAOkm/Php0OTiwihHg+ryGCONpyU8dYA
KL4St19aJkhiIbugW2zmazy1EsSGlnAyiW7O769ibw987xlB719FEG6vz+PFAX0ytRjQZGWJ2CSa
6ErqtO3GB+QMVgazZmH++WdvQP9YKUsVC+IItLDMbUtJVmL784uDHMoHUJ7KFT63CKyDKJSNSkvF
GRMTI+Ynlg+5NK0M5AKiabbynzZmuiGXUUGYd2lbGOyerIOqzuJN1NrKrbzJbpuH7GexYu583khJ
qaQ04KQC8bPE+RhB3UkMSnZ9dBmaap+gSnx97c9njV9NnEFGE7QFMNTTlbFqQaijOlFccQKrl1Tb
ng6/FHzWdTPn3kwkxYNrLnhzgy0LEENFijZvJtUdCxh2xENDd9Ok3YbxGp72giHOAvqNZv4IniWL
M9QQUrnrY0l1s6bcRXr4WHjmu1LTS9Kk36+P6cLi8IhDEA6KWBpVltVS3m9ZimyK4XJT2oH4s+Ag
vW7hgrcBYAMTTfmQ2i9iAqer04yqlk1NbroGOL30vinHp9qTOLV7y66jNqMJRPilhT2Ii+HBQj9o
5QPOZxN0CicQ7S7zWbSswIW0QQ6TGlpuUD+0rYi6x4NekcILV/C/K3aWtbdh7Pw66ALLFYLI8cLI
7sD6ytahS96uz+h5NDsPCO1PZpNy+jK6HEZRrsYuttzCehjlWxIFtgfhbpv9knzpQEP6l+v2zvt9
Z/eYH+A0adAjZixWMNe1LIZgR3C1oIHvVr6ppVsx7x8rU6RJu3MgwoEvjJ7xB2t6mpLAroU/Ra8Q
yMAeA4Q2/Pew7vSD5qX4dBRbZiMbiWgKrvxUJrbwqjX2wWsc/yW77R6qB2F3fQIuTDhoLhh4qMIj
ibGccAV+8bk4HjwaubCZhF9xq9xUQrkNPYRVeiB4q1DuM1/CEB2NhASEjuivznmETwM0td73ZL+c
xT6erREBFcEn5dwZwnuPcvr10V22NZ9pPI1wKPnUVlO1VRqYvX5sTW28Dev6q1mjFliVlbGLNCVZ
mcz58Dp5Fc6ULjQJgJUnLuY1cGquKtDEbSoNNvxuU7RICuj7ruqeVd37pnfxmrWzhMvcKzz3hFCa
BM4qLo5SvyjUpoal5tgar7rxvSv9O62yG6OEGp3UlWo6ars2oecjxCaxFTuU+hrreDrCpPJy0jFQ
XlTdBA9u2TwSW+6rziPxnIyao1k0mV1fw/MtOo+TTTE3mFFbWp7jfZxJRRs35rGsoIDG5k1u6PU+
90XpBmzHndJ60X0QC80+zrMfOSkHBxq6wtaCSX/OrRJZyPoRNJLnevqUbMpulR7s7JJWKfVxl83r
Dq/hEjJj9IIVwr5jHiOhoRsYSjK/TaEpSJ9XpkI5czAMwUJOZMtxBZ3E6fSngtQhgurDxP/AeL9N
zR6+6g5F3eYrLTF2+Ky8jwdyimqzlvE4u0wZ4sy7xgOXTmEYGU4t15WlBl1bQMIfJf1OqmhcpOvP
XIkRzxsUMMNTmvCQdwPTuQh3NMsvvCpRraMhVvrP0W+5a6RAtV4NearfyiblkB5733qdYKgo7dYL
Y98WOGuK3TD2MJO0YWAkN8GUd/u0Mvs1HY9L04CADnLeaIWQDpx//vnw8msxbWdpp2ryp3u0r3I7
kMd+v7LOF8zo3ID0JQAaptCxmAY9h4eilv8faV+23DiubPtFjOA8vAIkRc2SLbtsvzBq5DzP/Pqz
6HvvKQtSC7f37nrpqIpQEkBmIpHDWj6GzI223M4I/i0i1Qn6asAlS/RZL1aJMZmOmgzaQVLQKp3r
ZUDbIescwYwNp+zkFGTLCQ/78cbnoLFzAcJesosLXhvj4ZpqLBMxTrJjJsvpWY1CaRX4aXv2A6mh
YYRZR0wGAcPTrCbMZQEZ4/HG3Bjap3iwnS48k2g/Zrc/BEZ1V4YYQzIyy857MXKS2Y+Q1Kz+dTuk
Dm9jInLUUPyVQQ1zfdJTFaWAAjPDE8hhhl9phgC/j6Tam5pUxPhM2H1/vLTbxzIELpu7jA0sz1bm
RZ7oudalURCd9OanOl4GcCwDYNONXkoZhG1h5foCFVQeDtnNDQnKY7gsKBmmMeBhGU0LQhC5VYkZ
nXJFrT25kgO3nlvVSfSmJNGU81gobuINRh5zIw9glCvxbMcqjW01PIGXNMEQiIYcLc1AqvZ4Tz+f
+lcXMqQhqkHTM2Y7gG7Aeq22DdMGmejTQEEO51lOavc2AHxt005t4IQCxFyg7oCi6Lv8Mzt1EtVy
OvDaohcpzFcs0JgiwllM5YIE/lqVBAnkkx0GpE+ZhqRcDnreuAdMiqr9AJbqjyQMTE4ccudQEdIZ
y2TPMkjImoncqapQdWl6UqKdNIOyez69TA0PcOiexl6JYZyBVDUqmIayFMQJwQpTYUYebKUgWhWJ
UwQ+TVH97hTTKyWT8+y+8UII576uj4lCwAyWjkYiJCcR5PLauI3TYzUCSe+EGhQBKL8el85jTbp3
hF8lMoo0CEmrwjjTUz0dBKu2QSYa7IXSrcE1/1jSnbNDRhtM8kjpG3i8MptqCGCBlCM5O6k1Eup9
tMqiVyUbDrPc2I8l3Tk/XDKAFl2AhBBjsSAVZh1b7SwnxWkqDGCXaRT7GI0UFF9xFoPhiOaYJtJi
DMVxBC8Kf20Q6GJGnxZqFhh2g/u5NoihLiJ5MGZA9jTtRzXSaSYN0vaWK4dOm62ltCK1uJKi1NO5
aHq3+3stmzlJK22BBiZKkD0+h4AJTHMv6wI6feOs8aZdCRM/eMAuiqqhYsjiXOdx0ZpxUhUnQTo1
GkBqm2A1+rvY2iJjjJwokBJOmvDzsdTPh/jtzv6VuljOl/hkmqLRyIuiOPVwcMlL/az9SM7xsd+q
NlBqabFCV/WucMUtRneP0648xE66mk/ik/w0rVpXW/NM9dbfX23Dpw5++aBsSR20XVOcpFawBeDy
aKNKs3otiSBamWsKltH3x3tw6xyuJTI3Wh2OcSDO2Pi+OQci3Py8zxu3iuxoOICfEKMWq8cCb4IS
RGnoRYERLQl7wIBc73mblXmPiKU4ARuI9pJgB6bsZTmHqeeeFFwe+IM7DZnA5WnwZSOtpjKtqpjL
k+ITRFnCB7d/5zabtYSb0FeQRCKdhRbGaxF+MOZ4rofVSfCBnoQiRG8PIFQlitIoTlvh75oxEe1i
BPVqqozZN8z7ZLQJjHL9eEfv2CgqmgCxwKz356Pq+kPyyY8QtWjlKVIHvNcWttMNZkkAEc8DrLiz
q8gOoH4M4GzUyU3m7IoShVqk5cpT0U0kF8dTjT60GIMjjxe07Bxjlng7oVMY9zFSHuyMiKVmiTb3
WXUy87R3q1AEUHU38zjE72g+Bk5RlAVuHXKCrJQmnKukjqbqhLK1q/nDBlAV53grRNO7JJjfp3Re
VQHH2m5rnwgyvgpdPuqLXoZDMHWF2VSnSSjWSfxa1ciK1ZtM6Elej8TQOjSCr8eS5oLwEtTR6fHO
3jtADNlCZVFTQI87Yxa9bIxh1kvVyW81txtb2ved0woF5668K2bJsSA1jqIVe2P5M3JaVqlWp1BA
QbdCn53Qmu5U6r8eL+eOu0Tn8l85zO1khpE2oN+hOmnGWq5qDMNfpByQ7bsiPWIun9Petfwaq5bm
AjW3DKdi3o05u6DrsiTU6vo0Nnl7VotYf+2KxKKoGoKOqpBLJ5ZiHsjdPTeDpgk8OJZJwVv4KCNF
qrVSs/qkxaEntjDuimjST+RWE+UJ6Fx4X3VzvhJSHnblnc0F3jfKqmhQQuVTYzZXQouCWQIV6TRr
BXgUzUtfmYU95slZw0Br1JoGtQRUQh8f6a3tL8UBGULxDkEOZVGtLwaSoAkhS4WmOU1GjY4JKQ1f
G12Pz4+l3AnmFppUBHQashNI5TKeLK8yUYgyFYvLpsRrwknfaJUV2YqgBYDiEZunohrG11joML+t
d4Kb4P3rcT5iuVuvFQofgfwQiOvAAYDK2PVa9cRsk1SympNSVzIB9zlybrX1XQKc8Hqe0Nlo9At+
iK9ltEi7wkmD2kI2Nv7XA5xLCgnZSbymUZtBy9b1dxQNoOqRNGlOHTIRDppHWm+Os4pz8d872a9S
mEijN2sUrSIkFwFBOzh4swB0bWpa5/Gm3hrpshZcvAvnGYAaGCk+prmbKMOeSl21VVo/BpST/jOW
w1UQBBoN9Y7T4nPr6yAQgBgQiY5t2Mv15slVlCmCBYGaOIHbPJR+ypJfYGS9Njhe9faex4NYxxtA
RuPS0o1wLQkZTgMjjHV7aupf/fiqgGgze6l9jk+9s4FXUpbXyBcDzJH5HZWqaE9I3YGhBAiFJARV
MVAOAcSbqwnGQnKDB1jD6gbCERSFUVrCfQxEeTaDN9WY+LM6rT6hb2agZVnVSJCHKuchfONLWTHM
2uS2zOexMtHQbjbAggIYEnixh98+SETl5myEv6epWWPSpfiXOsLKZa7deSjHFKni+mTpr0O8aqeX
MX59rPeLr/jqSz5FLHuISBSlBtahBSoqw2kTNCcj+ZAbkM+jnRRc7A7GWYDljekaVSPgbeZ4609G
aVYsPAeaVRaMA6S8r7WlmrO6LP0J7lp142P0Ir/rl2jfb/xd/segwaZAxgis9LRZp8EmHjkuhdVV
GYMZcFuokCNZtJR1rqVPYBv0fR9llSgl2s98CNexqduVpNm6anFCp5vOc1YY463LNJTDLJDak5Ui
ieSKQAoAlV8+YeysB9kWmYVk2owjvJOn5qOhO4KcNyFtuxoYoZqh+dHKl6x+mV4v5dTzq8YwaZpE
mI7TIxB222XfiLMn6yn6fJRSb1Jazf3857GesE4Eq0ADKE4KXY2oirCoWXhXBnqbzv1Jmfp4JaD8
s0qmcIshpNjzpzrn3XF3jmgxbFy1SOahg4ExuagsBiVL0+GEyUB5H2Wt8NJMmbHWoyF0fKFv4F7K
GYlFsempkpSCXZYKcHz1uKd43sm0mGUvLkvkGgVBXscQhtAr407csAkI7MsCyKhjyh5RFlz5tSoF
wqSOgC4eTnHnW0SXi61m1c17Okv1LlVihYxIEzqVXkRrDO1ImxoEJZzGyFsTXrq/lvI62r9wyzL+
PR9ypSwKeThFgzpskPY5CIBSeFPrsnUiYSyOXeS/GIFykMqeh8f+WYq8NuSlhATPj2w6XrVs83sq
Tynq6Mp4igO5OtapP7qarEwoH4UzRYwiuomCkcBOEvqdNYNsV8/60EObd+lkQTl8j9M4PyStItN4
EADPmWoDEhhgfFPGxiDJAPrGNKzgZ8va2IAkrwJqU58cAH840NZSfYIHEUBmC1+jujg96dFsub3Y
B57Q6891UfUUA5+OgPiQDFkLFqo8LzjPzjvXA6qxgO8FdPMS47MNeHmQ1GkoRuMptH50hWwHE8hY
w1fQaHlmIp9GH91YsotA8Blf+Ngs75jJlWjmhkCRGHw0E1h1c1k7aIn/XOvS22glh6bfJAJS7o/F
3cS/i7qj9L7MvaMiDmz6a3VvSmDfjWI6nqQ4BiuZascA9UWHLE1lhRRCS5W2WAsl2lYC1eXIvr3s
r2Uzeq7mfWfURj6eemMCu1iFwZxZtvt01QnfM9+gsuXbUw78DrVJVkPkGqJJ0TKtpLzWx3ub/vm6
ARotJkvY0M2KxbmvxhrnHXcEU6gi4oAeM31T8wcdF5zg496qcUXhY5EBQFGa2XFjshql6WcYWCyg
9uhrkqfVVv3v9Qgwj0uORsH7CbMy1+dqKmFmmbE5nvRMO/chmHdVDAj+Ui1Av7xwzvHO9qEIp6Kp
E/4KvnP59y+RYmEELYpI+nSK2sqLQo3U5ms1rVUM5kyDQCRr3miNdczBIRii7oy1TlZICsNrjJ85
Gr/zOl09/iQ2FofvxkMVSQcUsZCYY/d4GmtfK6toPgW+itdpNzZAzUX7cTThIn4s6vY4l35JzFNg
8bi82dexBTpPJZ+z+QQe14FECP4dv1By+7GUO0EHriK4I2DfoFEeSQBmj3stF4Kolk5J0LdOmkbt
uhTVgpSmOqyGSZDPEwr3AIUOAjeoFMPGTLxhA13XtLV+7ldS6hu7xCpyNwizat8WqbQyxMGgYd2B
PTKUOuVsAciXE/DeiQuRKIFr0ZDqxZQFi63Rl+lk9masnKYgs5GxUJ3Q7qw/akf00tUAvzbRmIBj
EDAYkQ2AxfxtXuyuJiUvmXjH1V1/ynKSX9QUdXFD0DJ8ir7Rae6G9qn+DnZZt+KFOksoc32FgusD
cTSaMhbOexYeRbGGZJCUXDnh+iOZU20kO3Z/Kht/m9Pk+bFi3NF0yMKLD64UULfsOMPcFWKgS5DV
Ir7Py1cQqtYWr33pNlb8JC9ZWmqhfmgOut45QKT2YRNnyqlOXoDf58ZT46QDCCVD3tYtbulm6xDO
aeAOX4oCjKRIUSqz1QvllL7rgmc41WqKV3ntIqcmbOaCDp4mkYwHNn3HhpEHlTGQhJ6wJR16vb54
iKCk0aydak3fTNWkUk1LLOdfnxT88ML+uXTpmCziuSIPkTomtXlqpb62jaRNyVTXu7mNeKTyd3QC
evfJaAPII0Sy18tR5T6Vx0A2T7EmRLZmRK2tdmpmWwVgbR4v6s7OYeJURMM+oN4wTsZcZqLStFkY
G+ZJqFQdVCayCbbOkceMdndBiy8HBCU66FgphtAobTkK5ilrlHrdIwqNcIt08bcWlCbnxyu6kYW4
d+FmQb8B0igob1xvniEEZVpGqXVqZLE4J35QKK4ggxOd1BjO40KJ3opDswxqugrgixelYGKgCONv
ZmkYAmL9lFigy7H8D0MZQO27GrqMKMl8mipXxZy2XlckqP0V/srpBZQlA0638k3bhwkHjX5spJWA
GIgEE6s3poS4t5fkS0Ls/b5fV+TH+rImlU1K8n7QKPUE+8y52G68Mit08QhfvLIAlitLLiA0XLe2
HW3qPxtv++vxmbL+i5WxaPEXGSOAuWNgLMgX++Mbz2Oxzp797eWAv/y21BpR4qf4bXc/ro/BOiYb
6vkOR8wNXwIrhnmW9oLsN7hk5cvrXiMFOY5kvfp52hF68J49m7NfN1QVrDTGCFp/rmtjOZSt/Sa5
H/vh6bh++rlyhNWhpePKozw1kFk7YCWa19s4mYmeVMs22nvJrdez/RHS9XpNSs8h6NV0FPoSk+c/
1pqz1Ju3HiuY8f2zKk6JWC+Ce7v/NkPJB4+7usWKv15r10IwdXi9Ol//f6vbpruM2O6FjN46tp9O
P79NLqXC+y/7scbfP0GAECxjzAs6CmPLZjN2c60L8uWttfduQ45Pof20+kkccMpRn2zO9iuvJ/6+
jn6RyZhyNw2578e+fMnX4rw6TLt3kxwc8D4dN3Qgz88iefZeH6/zpsv5c2e/yGRMO0qHUQGpH44v
XO/Lns5E/SVtil9QFi+wz2def+N9f/VFIGPvaLzAps+WfBlooBLZtj2f/oo51+pda/gihLF2PCkG
XBsQolLx5D/9t5vGmLdRAAUZff/ypbShjct9chl/TPHOS1feC61fzinliVzs98YCvqyIsW8UDYSo
xUjgZUIJi3Tz209K872xPnsbWpfumauNyxoeCWTsOrHAtyNHgXKx9V/en1dpzVE8zhHdzLDNU62K
ERRvuxdIQwv8Wb3L9iYkns1ThxvsGkbL2WJWnQQiXnGw5gXLdJ+R/fF4vKyf9PXv04lQ5/t3iN0M
xP6VkMfL5Nk0G0uGQghgEQmSt2+jvQ+pu16fyM4k7wGl9BdHS25euew6GQ8iNV0zaiIOLdxt7Y+P
hgZkJCf9gkoJod75V/CDu7V3XfNfxWQblutaKYoe5e/LduviXu2fU7tZhbaMBvo/GIPdesnzRAI7
XnEvBZ4GMZ6kNgslxWtKvrTu634fnvaJ57oBWT+p9mpnrHZUorJdU+8XJ8LlWAbblBEkiV4kGUzx
xyUiAWk52WvuITLeRY3ARZQvV8/eHm3XncnT6kQcx9k8/+FGKjd9NKzGMH7FMIGckA/QmO1Hc7Zo
cbID2+PECP9gBIgSkeoBuA07oDRH6OdQpETBij7c1J6hlOsT7tINisr07J3PXLyx5dq69V5/JTIX
gNS0ozQtErfp+qNfqzlF4NXvJ+KdO85d8w+hwl9ZzHnVUReMEqi0Lhl5tT8k++I+wbP8XBGaOi/P
5/MvznZ+lpYeLY45M1+VcqRVY7hm+0f3dJxJBk5eAvSDkcxkTeQ12ZHR+R69bbxnoB3+QbfpeXl6
eEiyEdxRnBzV/avp7/qZm8IaSlVKGqzfTrxpINk6e7bTt8d+9B/09H+FsE/Ytsr9rG+xZtQQym9a
7RLvZeO9duS/W8ynKn95jphyZ7RzgcWgg/VCwcROeIBFN2hi/8fk/i6FCS1LtQ5AQRYql1f7qMfO
YG829kC8fiAcRbkfm6MQ83/tjoUkyNI8nMscm4YyD/68DQ7eWNJg25x7h3s6izl+2TVga7RxWELQ
VngOn/3O8YkXPJ8jkWw5ov7hKv+7JsbrowFATqJ4Uf79m0iBaUmxrIJ8iM5H9pJug8u5RLBMaXp4
p88xzzdz/Apb6Rg6M/PFJlpM7839cNeXT1+2IsTBs/UF9x3+2BzVv3/P/V0x4196A3AzxiKzo6/6
plHtwwbhinDa/gL752NZ/3D3/JXFuJZi6qo4KaGb2+1E965AXHe96snKwQNyg4fyY3Ecz8HOkQ+A
a5liC9LsEN3F5/bV+8NbEU812Rly9It1ciAuK9LIsNkPTkMv5Tat0YLD8x1cWUwySitEcH5Li2Xv
XR1c7BT+1xUuvDcU7z5VGA8ytb5e6p+n9AZY5dX+4we5kNO39/fB/o4HOOeUuMtiokpryrNQTxal
lxDimXgb0shOqc2Jq+T7gdX/Kh/bA9NZYZqLnxfJ275cf/wQCN74COiI4ayISVBseAHCK50IQgaO
278repktRhMzyLbYcp+mwB+D6F7BA6Fx5rO95fz+cgfeXNlffn/xK18cpK6MStZMKQJzCy8QjQCz
Tfw1rXknteRBHolhnKMKHwycLCzjFcGwsT84y+P6sc3eYA1/Xl9flsKEVr0Z+U1iYSmASXThJPZu
BOhPM7KTS7wPV6U9nv5LiYwDHMHDHuRZvhyOvGrtN4tYCRkpXjQe73q5mQRmV8c4wKhrDVB8Z8ql
dmt7OalxV6f2y7N3/sPLqn62wjw6LSZwMucgG1QVO9lBjo2Cmr5zYL5n3qI4yveZkvmifCjvqrOq
Y03g92ouz38GEvzgHBFH8dg0vFbmxoDB80XxVFq99CSdaGW6XG++2MmDLft0VV+XklSDGQeQM622
b/rqI9sII8kPnlfxNu1+8PRXzz/DuC+iLLPO0ESD09nvY5GUDqIKoEriyuXm/XibxziH1BeqrDMh
qXLe7KPrjuQp3/5MiYMIl25feRCG96+PLytjvMTcYK6gL7GJCsnIG9Kb66cng55actq9eyk1KffY
lgvp0bExPiOp5rH1U0iMXnVhNVLH887WJfuWkP/sbvyyOMZZFGkQxABhXJwFIl6DYHXr1ZO6VGEc
uoHH4Nxa0t0g5otAxmNUhR9Ngg6B4kr/2O6P7hotjIfmJ/X+nM//wU4u031ApgC374IvtOjSF61E
H7uvof8b4UyWeLNrEPW8NKjKmzazzW8cq751HNfCmHhmQD9mLyUVrHr7hvQVEjvr1co6o2aC/zg3
5J1M9LUwJqixhL7K0J8GYUhxknlXhyS018Q5NN1SEuKJW1TuWiWvxTFBDYaIgSUyQFxT71p7ovKm
IgWtbGO/i6h80Ua8YSjnfubJZAw9UPMpiaNauVjSLsudQpXIID5XFkcMdysZAw/zKEtHCWuz3/Ay
GsCJ7DRgu8+dZ8+bBW7Ye+u/rreSsW4pFixp6LCs7dte1En+XdzB0B7rIk8VGbPO6z4KhryDjxxs
9y2k6knsaEs5uZw71//1UhhjnuqxQFcUljLQrUgTnFFAMjqB0xkdmwg4eFq4aNkjLWRCAMOMW11o
IM9Wjvv6kghk3iMfxvVSHM1jX0HTDJ7lWv48oux3/cJTuFsfeLVtbNNriRBj1iucDpi/36AEMGBE
Tj/felt1svCJN8CxHPaDXWPfP5gSkedy2bX9a/Q9dNHsyXPqnHNh0TD7IGmA/oMFTee3bXzBPKgu
uOlricTClqPZdwLq681jvIKgRUY2m5D1urcFsif+ukdPF30eCC9lfqf4di2KcQxGKLe66WPjBIvE
LelOIeTwskF38pPXUhh/EGaFCnA6SHndv3WvH5NjAXZz09m1vjwcnx2qk/eUkIPwvt1vheN+a9Pq
iLoxKj//7X3JtukDLHYwQKUN3xTppFv9Ttbo83I8fh8GT2MYz5GIqdnNEy7mgaImOMRr9E0aNNeJ
TW2OuXF8Idtu1YFPrmlBX3zRyBbDDsTcTT+TZ55r4hgZ2wM6N4CKGIZFLTWyt82VRT4+jheyWoH1
MiSvj907zwhUJtTIaz9MRBHn9DYGDjpgdzagwwHk6yzdt3t+3WMxqgcuhB2naGRQoYUF9nBvH8Nq
s0M11aA2oDzsjpfAu1MguLIHdVGdLzGbWMmNmC47iUvF/0DIXRD3uEZZJ1hH6x16g7i3Je8eUxmf
YnR+G1QDlmfDHR/3JNsPa8oNfXkqwriToKlMv50hpaOY+p4Ikl5tRojwoq3gKVFo4LllTqShMp6l
mSYr7RVoyXx8Nc8VSlUdNxV05+F3fVxMqFGHResPQ7ME9G/2jIzXaPurfRI6j1Wet3mMw5hzOWgH
a/GSGZm3OefXea6enYnNyrAW+x6ryF4LnZibqKSNuVYjUrjWu8W7wzgHwyLE5U0zWVr9uWe9Lb4C
UuVXJxPAWnq8gjNPtdnpnthMDcwCQ5S9R3Ar2a64B87GO24yXlLwE7DogZNgEZS6qY4wNQ9ROnoG
3vQazC8WOaLK1RAQl4nPC6/CqoL5/uE+h3hOg238rnK9USawl10UlDn2ruygnwu8RXa2NxxrhX5G
KpMX2tHSzvccZ8y5X1iOEDlPuiRbrrK0ddSZXgSaogt+5r2GuCfJuA/JR0ja1ZAzLYYW2nh+pS5y
lgixOCu6k2q7smmWok0CYH+mjKWCjp1XIOKS7kk7zB9ItgUovXETbndKfNfiGBci9yNes8sDDE0R
+/KHSZZgbsutci/u7pF+Mi7ENNQsEzWIGejrm3F0bdkZOgfFqNlxPAArPXZYdzId16tiHiu1DMxx
fXkyv6KJHLHHXBJxNVB7lJyk9iiJiecZNg/Kh+eP2RGrIFWzfpKXzQx7UvqUgiPY/hO4vOj4vkMG
BY+CmS70GDKplaQY43pIJgTHHU1FIpzVhvKCqiWMuT2xvzKYMKe3pG4K22FxXtvxm4MUB/nDq6Pc
zIyYwLgGFMv/LoTJpFRmVo+zDyFvSxdoQ9cZRdPRAR1Hm3zl/Yfvl7/imPDGSAZFbCZEAdv92z7b
08amz0gjcrZucQaPdo6JaHQ9V/S5wqJeS5H4ATcAvU1RXm8a44z6VjYTqcbvJ+R1r9jS4YA3mMft
0Lpvsn83a/n3L7FgVfQglB0/FQC8Fe683bv4D02m7S+L5ocqIsOOgs6QUNOlf3h8rP8QFfwVzzim
ych8te4g3j266IB2OpubXeYdFOOUorzSQ1VbVviGCxqNyMfLBU1vwcpBEzzaSjd/LPsPRznuO1zA
RwHiH+Z7g7whJOrQtsaMJ1FI4l1ySN/F3+qxW+dOUhD/GbBya44zvBPxYEQaSIfArMDgkMUsc9Qy
K/D7WbxMfjM7yG0H70HSgoIyLkXU+OZI3hWmNXmRJQd2gSnZA2KkmjNycGevMVSk68vg3EK6xFg6
+sSkZZpbvJTNOU4DouSOWXx7vNI7L6WlhWQhlbBAm80igBmA5BaLppIvY3IBPiqJOh6cxCcWDWPb
EGFijkPUge76GQt9MQpTw4QBYIdkhPUJeUvXyNp/BDU9pqgxBofjWto+CXSVe7tvOhnskmClstvt
mt3BeelXzxxlurtg4KmBclyBT7hBRC1Apo6xSjQPh0gZKJWtNSp5vKf34hFNxMTnAgEGJnIW/zzN
gMUUtAGiu5a+zXYMzkaDDCXmuwkStRv00I+xrR94IEh39AWogEBxBpqyYSgac4MHJqaQu1qGWBXT
yb3Xjw3tuBH6nVQI5mYx/4MBPku8YUJpxz4NqsKCBzhWH/03fydsNn+UmGgnm7ONPEnMpZAA1H0u
Q0iq3a1B4ovlJJKd2N62Iyat3cfS7j0HMCGysEBi1lEC3e+17y7SSkWAAM8Grgqyr3Knl8kcIDGi
oEvmqacqJi2a+SDsR530qxeUuGyOat7L7KNjBWzNQKvGGbEHOAXjWKu+gJB5Ix9+jF4bkchDgG6I
q2xNIzen9nwceK+7O3cjpALfFCO0mG66eXJpYjtPYqZeMD0WW1436FTcJQ2Nn8qVpe+6iXYGkf81
zQXiGOw1xtWgqwtyF7Pf4pBkggGojwsS406/BaXbGmRb3848X/7ZZ8T4H0BNYDgOuKQAsWNn1jIh
1vOxUiDIniZqV9/Fpb+gfk3JUV8HaKoUSPa9x/8peymk3+IIdSJlAyxN4pkGkU68O/RepH31Qczl
EktW3qaCbF0aJzjsUzfaNPQDEA7EOIB6vgd8ZhGSM68zcfnVR9vA7Lc/hL4WACPmkmI88CnZwZCe
Oap0J8b+sjCdjbGlTgVYAohnLhOww0M7SrfjVl1H2utjU73nX6/kMHG22VnAXw4gZxuvO2eyaD+4
1kElzYU6aW5TpSKbuOA8kJb9+ef9A/vUtX+IWzULOoxEXiBzdqyO9ECt9L+3I/pItQtnhY8PC1gb
18KAsaGpVakvOitvhu+KPTQkdjOq6eSwUaijvxU2N03LE8r423BIBZCYY1tBfys4Iz3kNOD49DvG
CBAkS9FB8wcUF5WdogRknZAWg29dQNRF8lW+y0Z7Xs00eBGO7br/pq2alxgvTw0gj/sgoXruJgmY
D2i3np/KD9BstCRJL4G28n8/3vPb1YN0UQQviQ43oQPu7nrLxXYMsiIM/ctc2Xqza41sXahAyO/R
JpymrqFztuJWnyAPhBmgNQXUEObGr+WNuSi3RZX4lzfRuVxCAHeQN95lrS9Hdq2010KYF4GOlk+r
BJHY5fXt+Nt1tybdItflSrbUk8wrVnvX3u4xhnBcY6Y18MLj6X2zccLD98PhoGyyE17j5xjdeZtN
5NLN5pl+5yVvPst5jz5xOZcv4WEQzYHuA8vlYqPD/scPC9nz3i7QzryvyGV12KBpat5sJDo7HloF
wO3Gi9Zu7z/skYbbyFzYQMC/ef0BcxRocl37PqqBswvIIM2bveG9nEjqFUfhndfDcvdI/opjEx4Z
4GaSubb8i2qC1VF/0yrOs+GOe7xaEDtLD4CLthh6SKjdfA3Cwo+KiMBZqKhFw0PwXpLxtaY8dMTP
5mj2HIG6B/JIDUA5N7Q4UVWaY17k6jIVWwDaQaXHiLhPZIW+ox3U6QUdMzzludPRjBgCsSia4NHb
iXj++uyCJvXjBkBQFzwqJBsNpWjPqYBCffg+kMLpHGAqkefvjx3FZ6cqs9IroYzl6nnoS2oLobUN
q2kIxpKi3769dvdv21+W/etX4dlD74HwbrPZ5JSe9YyAKPP876/B68Uzxm2CuEVoK3yHikSQW2xS
OzoHZ/+0JtNb7ujf1B/C5fHS7/jIq5UztroQM05x1amXPCIfpUL0dR24vCj4jj1eCWHsMYjlJi1A
hXuxreOH/vtpTsm4QhHt/Hgtt8HK1e6xvVZhkxtjLffqxVyFx6eTshF+PRbAU0522mSKSsMXLUiY
j+JHi0SQYmOiYL0iqr0bN8NbSujLwPFmdyYosCxdkcH2AcxtUOJdW0QyZYUwpxN2D6PimGEInEuz
vxBhGRbcPq0MuqIafRa3YOLKyZ8zDyzkTpv3tXzGIgV1BP4f8NhhHBkaEJcqjlvRC4KX/Tqhp2/L
jPXh5TnchA6y5pwzvZMcvZbOmCYitDyKE6y+f4u+6xtY5uih4RJO3Tl92xXrA4AaQl4bwj3Xd7Xn
jCHirY9/XvZ8GUC13aPmXda6gDm4J8Nx0FSy+TP9WHY8sG1uFeuutXw5b8YklanRkc6AbLRjBCgF
vqbPazKfHSc7fVd3MVLQ1PpP+iGu95mxUVUxemM2cMqN4+b2Bc5vpaIF893g6fOdNzEkIQUHKHxk
VACicq3PuhXFeQCqiUsP8/khbderlOwAROCgHhHZE+F1H93B+bgWyITeRRQYrTRD4Nbef6AUCB16
Mu0n3V6hxRTYrqucIgHBrfbcda1f1snYbYF2BTT3Qyz6S/alK6nr9CDvfhmX7Tn9WIaeeAWRe4HX
1c4ylmoAntCwRkjs6NZ2E69a9d74raDW0290D61aVJq+v7zU+wS7bK3P2tFYm07qqAeOw79vPl+W
zhit3IaaFGb4kAQdL3sXwO4+wWDIKtrtdsqmJJvCRmeR+P9Rh70XKl3tAWO5VaxnkgbmUDRnv6Kf
DXMVxQr8viYRvTN3/upOxH8ljDFV1Vf6EeClyzrjU59fuoJqAM4RwYt01BPOc/VO0vxajxkTlQVF
KMpykTbTPocfFJ/fNw3aHM9LVdR+fNfxNpIl4tVCTQh8f4bV7PG8MEmPChsmepZ5HiCGcNz8nR73
q7WZ0rVTMGsTlAo1nJ65rzZAeSFkhWkiDLNh7JjmTmQba876bgsC1xIZN1SESRIloGZFV9br/sNd
JWuPI+FuPPLXCkzG7zRzm5npAAml7WpeQKSD4xw2eO4g8uElO+/fk1+EMd4mUrRaAcssvKptbhoi
U/vyGR+cTHslrFIvc0GsYpccLbkfnHwRy7ic0MpiWUogNiPb/R7DJIiH3LVpE/KT7AYbT72NF7i/
PN4wDs/FmIyLScHKlk4FBL++bRGSuK4ED1O8CM7/kHadvY0jTfoXEWAOX7sZREVLlpy+ELZnzJwz
f/099AG3EsUT791bzC52ZgAXu7u6usJTTxHre2sgqlw/M3pCIxrQJV0dz+0uWrha88TEBFVUgqgW
ojHV70mmHEHHAh6TLWCSxqdBn5HqO6r/IgS8NjVTQsS4xyz2cBTKji1VONtzTE+25ZjWngeqakF1
l5Y4MTWBF0aaWMPUbDZySwsUiMdK9L9pj7i5hNqkhl9JoBP2VF48e+/eM/9HRg2VeW/J5rikqL/w
xweHpk0MTKdxjMyGAvTF20oHEPAau139Umw5/cvOaVeR0wnv43bPoxV/LxO481tDsd4dTEkemT/C
r//fDk/TZoHbckM93lfe4AiOk4TU2qJr1zPE02NRM9Ck202e2KEqAWt6V2OTcUMZwn6adkcIxjxB
XS+dhR7N48/SFVkwrtrEGjXAe0VsIiFmyczoIFV71gaeYUUZXdPbzTN4d1xde2e2IGx/vNhfpOSj
c54YpCBwpSKqsNiwILpCWIqBUicTycnayh0CfC9wy2M9CChZ3KONvnlePdP391e4JgN93wNi9PiD
ZpCyt7s/MVSemBdexuIVkHe58cUgcrE5qzEosic1+fNY2JIHOK2MqGyGkR4l9j38SUltIOFmggvL
9i0uJvz3+9iuqGyRzNBX9BP5YBjKxx8w7u6j3Z84RLIX1kkfiHhUv77DZOFsZ5BFt1s5sUqlkAqt
2+JsA1xbAn42Y/9pPF7AQrDATSseHfgpO3aA5ZPcjZmTcCAYXEjRVsKgbMiQtrYQhFWngBi5tmJJ
clm4OuMO3e0g2HVlsD9iIMx02AXr1C5GQmi4rMlW+hK/wRq1IGHWLbmSwN+6WkUvVMAEQELoHfl4
29R6z4Bknrw83sl5B/JKzsTsMI2jeMIAXWQp6o+G9fT6ytERfAlfdSlgn1eNK2ETgxNXIJAfw61z
hUkx2UH9aeILh6nHXWKU535TA1DLLqjjeHEfndTE0mhq3yQlh330f97K6CVl1rW6cFTzsfLVsibG
o/CC0uFiFZVc8jbSYI38FafLZSRJWjiuJb2bODVsV7ly2WMDN36iDxgEOKi6vuilLunexD4kfBhE
HqeM7uIbeo06lkRfnQF6DF//aVcayIxeFvGI8zIxvBYc/+OQ+onVYAMNT5HoSejZ0qMDDCEeop92
gyBm9Wex4D9ennul+B9h08atQmqYtA0DCVGFvtMjFZlBlVBwVyxKmn1itX8kcbfXOFd7jnddX0J0
gUYkjaRvizyO8xHnlYyJqegLkBZLvPObwvhoPALwhMWTNciJImtB/2ZYK2Dcr2RNzEU6VJzaO5Cl
rXa6AFyWydudEb/v66VWcWH+5v6zdRNjAUhIkrM8AwuIQxpLUx+HXW1ktl5S83w6nSyNZsbW2r7X
2z1YLNY/P2AIXOwzmQH33a54YkA6zfFcp4BiamYydpE7tlnb/GYJRDjDNXorZ2JEQl+s68BxcQE2
jY6RdAjQRpaOZIN8EGpHa/qc0ONRXyLamvd8rk50YlK4tokcocf6Xt52b4pZ74bj/jKqD12Mjuas
1wjzwegrjFq5m0nZ1E0uOG0kncs1yqEpkXukR5gX3xbf4GjB2fyz0R8/b6OOTC86pk4q4HBEbhTz
k2+vn8vmWVHEgnQW5ZTwkk+6JRjPaJemEgRNBkoQ9TcwaU/UQ0pcJ1XYcU0k40hB6Cf3d+kNm3V3
roVMdKOpvYhRm1RCfzrRP8rPcM/St038s3vzgZNCqkfvt/8H+ts5M3ktdqIaopjKTjaMYneV7vlj
43+JrmfnXJFSt0AGZVR0DaX88/jQZrMk13In74+Y1gODQXuj0VSw3l+yJHBKbo0LeO2WnJI5pbwW
Nn14UrWqijiTzkNN1XwfO+vh04ssTV9ipJi9af9IunNaq1JqHJ4ft/MNWGjhNdyumwvYB5dWNJum
uxY0eXQaDCj16lFQiEoQGIRN5NPB7ms9oYsBE2KWuYzGH/i/XwLg+G6vWSCqlViPBxYSMBEC5U1/
/iyzUCxu4OTxKbSsiUoErBBT6G+qpaDcrQDGlW28kxsQXV/ayd+mz0cLm7xBQ+DWksBDInL1bzsJ
qeo3ZsXmZNB0+Zvqq5eRq7Zf41/riE7by2VtDPQ1iQDKpqC3Wfqe2af++mQn1gaDCLqmF/A9qDqZ
sZFa3akxVkK7GBbMnSjGiIO3CRUgDQMCbk+0AB9c3cUtBDEJ2WlvPOhkTRf1geelyz7n+F1Lmhyq
CNZ4LaghaXiG+8xEVCGYrQRLAxgozOmYyCZQpgUTM3frr6VODlbjMeWryzvpHGikD/XYYiukzoYn
1HtGNiwe2d8/S/WW8WdOlQmDg1UAkyXwuk+RTk2N/tGil6Tz2xsHuqUUgEfCEc+UND1b5YXuEENC
JvZI61XsgC+0txYWvfQBk0NtRAduIi9KZ+Axnc84M/lzs2I96safIkuBr03RSdDnluAvSJ59wK6X
PjnkoOgYBkMGpXNS6vkLKrTsu0a32xqpZ7gaRLFeKQtcpHccFmdJzbmR16InJ42ErCtHHkRn37zR
FWeRt2VA3WsHOLhW59/Vd02jrLMJgRaP1il6yhZ2fU7BlRFVjEPnMDxksnZWS7DwwVOQiAap12H3
kp7coxeRy6V99VDX/PNY3iwS4FreZMFxjH6OWoE8zDCDf+5xVNYb4qARMHsFnBn5797cgpdZ20pg
Lk0Nz+rR+rUS/kVnmwbIIebq8bKkjV7YrQ1xWzYcyfuUc4S+JVYknnJsTWldjbWVftV+HY/iQADc
WbpnM3f7Ru7EfYgLxXPQ3aYgHAcvNUgz3nK0tJ6/Bty1k2iL5+8EzL/r4WNd7VaM/aMs9ootfcHE
p8grHvR+PL7AXUmvaEP+Qk/r8eVNXL9tyvUf1+xXC4c+l8YZOwMwnlTCFGb07NzudZ+BVyMGTOzc
hk/+mddR0Ok3sTmmcY7lxrOk98da9svVMTFmNwInS+yjxHejhoGWAdvNxdSjh073V2xjMJfY/lw/
O/vntUG8l9/6EkADgAxUIKwO0UOw8Cnjozf5FJFHOgIjdTEmDXMCb9deporaaW3JnFXXDLuYiMpZ
/SoYq/CfJPQpcdm6Fd7TQSFS+xOnZlgfg1b3tY74bEYy/jPPdlJQkAAmMAIT6CoMtq1P4uTQqLTp
bCaqKa+eC2bvDUYO2t+/8RJedC6svl7Cb13kCozZZ2lfZXLBnLnn8keobF7zQPlbazuHM7IjY+cO
berz432bcxNvhE7cxH6QuVaNc+bMsHoB38kM/jCcIW0GuDMmJeqBcjv2fGGBZTkuoTHnwuob4ZO3
KPJixYs0rDipATZ+DiNWd59k4dRneppj0BZz4pOFtPdMAwCuyD+KMqWMyAU1Fzs1Y84ST/PSdFTK
8USr/zabL1AGC3/zwq6/HfKtYBitCJuYB9zSY7Cgq+LEOA8Rg843Hns+jqLk6d/TYSxNZkbHGGgj
xTyK1cIhj/t4cznGQdMCWq7QMYTuqyncTq1VlmGLzjm7KjV36T57Fo3AVBQSoV64N2hjANFD48PC
pfzV2EdyJ8pVZGogeTzklpxdvRYbd4SWnEoqrJBI0c87FgW1yCRWaVrnRDct1wrgPgee/RwZmgzw
ZmJFVHh6vBv3Cejf3UC3DTYC5ExTMymxaSfLDu+c8xfMHFTLkDRfKD595bFeaM8MOw6AW/B97jV9
InNintSmchJPFAC0Vr6FjXaU6PqyRHl1X1K6FXKX0UzBHYrOO+eMJFm8wqOnkLdNpjeeIT+FFppt
1CfFMaSesKAFMvECo8j3AxoJfviPNXz8EkDrMX4QI2vxm1trrOU9Bn0lMpYrOCj4H74OI6F0UOqJ
gw6btdctaNp99n0icLK/bC4VXtxIzrkrVlUFsHXzp94pu8Eo9vv4DJNt+sgO8qsFufd+1q3c6ayN
pMkSBzvunDfhz+Yt3KeYquclJPxwzNfQH8FyQBmM0Yv2dHyOjs/HBV2evdn/bLQyuWFqhGmJQqk6
51QibEkqllQGc4yf4NXAYD8Wdt8/Mi4W/aoih+EPnDIFctRurVWs6DHnjWg5x+Ap2TpGTwIDmCYq
rkETDpwphmK41oB+oPe4Gevz6OV6/nn8Hfd+zuQ7Jj4lh466NOUYB3QCVphjXKfBb2mo+7pv/gRG
lZOfjWw8lnnfSDuROdFo1WM4jldd5qxHKRhlu60ZfZ9NPyRne0faD1Egn7K54jfr/vW4WkWG8vnZ
658XeLlLnu2oylOjqmA4K+D+3BhPTF4Pzc3dEuPMGfArmS8ukoDDuTl4b/FepOFatdpdy5F1ZJQI
JcWVtq4+gnVB1zlH9KWutlmrdv0pk0xEL3QF49T4lDJaSdVrx1JJ2LTPLkeCDt32jP34ELhxaZOl
Y0ohuocxvZKT0Ohwa1Yyta0wfgi3HH5KvYcdNToMukBNykOB6M9jYXcRm4YxQ3gtFQzchtCpQxmz
SpxqMpRMqmgPfrpkw6johdpr58dy7hOdv4LQIYnRdgJOdbIoDFmsi1wJ4JAQPT7VH02I9Kp8kH4+
eT0ymssKKX9lkUzgPot0K3YKGmxCJUXKM2SQX9VD7KUYkG1uyiac9qURS3OGQ+MxxlLDWGHMWZ9S
goVdq6VBClnNiO04NitTWLWX8OM82gsCMA9GfxnP4mt6QL0KsJovXJt2U9MlfPHc03/zIcKtAqVq
rtRpgg/JZSLuA20tOwZPO/VYK98VjWuStQtzDe6zh+M+X619cl3DrGe7IYTIl82u07M/pvnxsdts
NqsMbHblIcEtlumh/3suc1JfjPjMjVmB/B3Pc7KcpJ29QSiniZIgoNT0a+auYgyOS0MUYCTmHLlG
nYG/asO6h6winmbWmqVGVO72/rvW0baxSs1cUPXRSN7dXzwhSJcCNIH+49vtxzxF0avrFkZUIc4u
QY+ST91Ab00enL5/0nEmyBLF+eyCcQSYXwkWBOHXpFwtOAmYMExrhTmn3KHB1rLp0qDM+1YT/HhJ
GwfTq8hvSPLECnKZ43Z9XXsXXt0DZEDjwBbCY8a8ySLIbxOTobEhgw7AcV8S4V3dCAPFBvfZWuI3
UmAMmrPgbc7eN/STKwI6y0FJ8GtyrhaNEdRF6gPTcRmYo1fZXX4U20vXvZbI7mWYpU75/IXvKyKU
bw2vB4NiNAMZXoL2U1Fogx5lxU11YSBZ9Jdpqa/5dEjNVt4pgt4AY+hXS/7iXX5uPCFNwqhu9KZi
LvHEjXGVzBEjv3Evgqk4mIUQvYkKHMYqIUNNxJSqgpEUVu7SHiFa/BS5Cy7Fr0M61UwQKkgy5giD
IGKKOVSqNi6jXPIucYIa3pMKBn4dflxit5+VqLefA5in9fJlyHZc/l5lIMqQwSyvfKUpBXQlyANd
MmOwFJhqRWthzG2KRsp8Dqf8EmuUcwkrn0SN+EbTG6xkxIrJCpSznK2mUs3sQlt+zQY67H27dgg6
0DlNT9eebDroUP/jIBFxrnYOxcihAJNXGVL7uvfZYvaX8+fxFZ01V5qgiSogTaNWT3wrr6wdiXVk
78IE1DvkJHjjqbr2aKSbYISnuEC6ATxiQp4Ooh6tQt3ITuvQ/FQ+V4ot6ZWprVp3Mb0z80hiyC4L
FpMxZgOXycRwx7wnKm4v4o4NOy4j/kCzp1phiVS4qzzfNTs/pkxE0mc11RNmJTnPRUeaUyXTWly6
XfcmBd/CYwoh3GBk8aducI8qVzL0gX+p0Jmc2T2nR5844fyvFJh92JEsPBcu5TmdkdajH9SSMmhI
j5KC6xt8ZDK2JtEkNLjmtWWWvMM7rAlGA4//4C7Bb0E1+tbExlmQh2kb+xfPZt48M3WeymDF/pQI
vfdOTjI0VackZL6Hv3H4EbA7LUCzALvi/2MQ9Pgd4jhdHVPhEQRO/OW06+Siagv/EvVP2jOuj7SN
Lygz1P2RqX2w+JjFXxkZ+EFnVSt/VpqFd3cmMgPRDCos3PjMYTLaZCN8Jh4KzmOCSw6AQUPLgaYK
Tf+WzmtqMP2mzcEosm1IUe/hrjLFqUvN3DValaRf7iGUdg4Dt88sg0NwqgoqLSQh7p34268bdezK
QhedVw7C+HUV2nU9Gvh4mGCCh52WnhyWNJX++F7PBMgKXgRUIARMUh45ZG4F5sVQ99XgxZeA32aY
h/HJOkYd6Dm7SXeOY8LE+Ge2WHEC8S5pQAdMdF5CMNwnODHDnBWAjZdYVMC4qRvoJEXANkKYXGor
wbSbJ+cdEC9YV719re3owi4Nh5+5qDfyJioQy1nVOQHkJeyPhucOyMnHu3rvz4wLEuG7w5OSpWnb
SBcnnOJqSXIBe6WLgcA/7df/oTvtPsa/lTLRFc5BV6XsFsmlUe362G0Es9poaySr3WKV6uKGqRfu
zqgLt48heD41VcEQBCBa+GlSAXiPihEEL704xU/lmV310qTbxzs3Ezreypi4gqk/zsbNISOz3yqe
sMFGPjMWuyl6VKUey5o7JRHBFcy1IkrKFOHuaLHLV02VXuBL1L2BbFcC3vHS4F6YxU7CubO6ljW5
ZlmTB5E0lOlF+W4L2B3CbjxvGwYvTHWQ38qalo0ZpcbjBc7kWeF4wr+V0fmPV+mXieLKmgR1LiSa
r2QXr6HNAAdCeQsTu2FMjB32hG1T6nFosE/CTx4NBPnsKjy79Yo5utqWkT58LiA8R3J3pQKO1RIp
0PmYRslKUd4q5qUu7aE01NJufGRb1j08E7To9fATA5rWz85SrvRe+5CjxOM1Xiu409N4OEuExvPb
Nr94vi5JH2myE+uFQOTe+kIEcgjIIMg8Iu7RHb3arygpHcbRhvwCtm/Sdc8FYAb+iW2lVW8nR/n0
+HjuSw6aCoI3QQa7FPwGZC5uxQENJ/QsW+YXJEObmigcbWyvsLx6L9ulXpy4k4TGbC0M4W/+kXOL
Wbpso6G7vdD4ANxmDdk7+CtT2osgiNuY8zustwPYDpRoLtL/QA63pNk5JdWe6lUmLrw495xe46qv
hE58eqVrWaA3IXTXnfnLl/kVPEeDHm04MM6sKzR2mAZVLJCcPEs2DZrV402fO2JtjCZw7zF3bHrp
s7JxBK6t8os06JlD2k61wg6oYk3Tk0+/olLJ0scSf5mY73ZZ5rFoMJpw4A28PeZIEyonr3vMaNKF
zkxRV0wSjnC8of7kLzWoinKiGQlDHVaPEoPzzTolrUiHE3A2xN/0Mk1QefvMA+Rw+V6HZxah1ajA
0CCPFhEdXFo+dX+TjHaAjNR2BvZbn9bDrvNWRbySv/iSNswqz4wMsckic9b97AEEkiPpHBamgKRt
qkRcx/vq0EjFxRMIW0U0Kl6DmLq5WYQ9FdoPP7VY50XzzPC9l06dqIvts/AXRSZJAmk/TTQwuJmC
amjxKkB5pwTgurAbwKh4nUUoilKYstI63VM2Naenmok/lJDPfnxIv813k0O6WcVEK7k8ymRWkosL
Wtp9TVcAOFJ2Ali5hm35M3wBLYESkGMlfzEL3H0fVDsITE6xnJ4q6qoMaDisedbq9V7Wg2rVJpY2
PEXsVmSMNDMLh3onSTikT8qHfxIywxde3RYTJVFY7g33IH5XjqGkW8xIdF47ZlNYgryWtaOCoO5v
HlhFrDP+S6hZZXgIOXNgVk5o8hIt9ili7mzfB5kRNjkVPTJYaJTw8FO8NSORQKYCxG/L3GALk2to
3z55X7Wn5xqPVA5+PbXAvnrSwnbe93ZOlGJ8D68sqV+VglyoYnHh14G9Y94OtRXnJEIuzWJ1kHd6
RIZrS4a/GUb2Ino1EquwfHOp/C+NxzY9VhlNA/AuQYTC/UYDV9+RN4wHYjK1uAiH9kf5Tvf5vrI9
kwMJhHuOt2aCWTOHng5muHeJspOsYI8JqkjPXyLySsF2iZFELGaQodeQpS+Y5XtZSRZv+odgIXqc
SUGq3PWXTgKjvkiFsGSU4sIqJU3Kn7FdW35OTpKFUw1Nb0nevfdzK2+SXs6zThAKFzvDHQqzRL1m
nFg7gBZE1T3TsR2T24uHCLOL6wULPFOmuZE8LUcKCSvHsBnQjWP44m4a6TS8i7tWpWVJ5Pp96G34
HakehOtUgmrwz4+vOj/z6l3vtDC56m0oO1B/7LS24qnv0g5JZ6CB3lzcBOKbqMnpgp1uEiq9O7Rc
p0a6EewRnPL4O/4X3ZRBJotmMBDzTU5AQiW0jePxOzb5p3wsabdJ9GIweRnR5wbXhR3nPUZ2lpD6
h33Nnrpcz5Fo2Vd/2IBq38oqjmMirXMrbYwgJA5hSqLllAGzUW2OWhMe2jPDWe2wdWilx3qzd3lS
fwXHBkZkHeqOsrCmGfcdZ6sIwBQATcErv6Xoq/vGtX2kxYpfXvpW9zo4jz9yqlE1iVY1v2XZnAY5
sy+U/zhqhlT4UMgpqBqSL5MTVdkmlnzJgS6LhhOR+qXrPKJ8eBu3eZaXGF1nqk2jNAVpahVBs/Jr
+67WmIs8IDlMUF48ZHfKv17Fm3K1K9JXAIPEbDUE31Ljk0qwfEwsqGkS8QsexezVvfqASS4u8Gqv
ZdOwvIihHQEkCrfbrkJbLTfdgpWYSfvdrnVileQhKTxBxVrZ9Y45BOfBZD8PoA6SabyqxlY2ZPyq
sW2fvtag8oltxGokogmtjM+M5OZPZK8wOQFPFXXNpahqJiK4OYjJBULHoNDH4vhxoc1lqzgQidyd
Ht/SmSw+fDakFxEQoDfl7pbKiYy0Z+X+anRQvufSOZJW0iEOwb+qXOR+k9cWk5kKmIQYICZ2eYU8
rVF17x14EXuL9Q+PP2gmYzN+kIKYDp+Dis2Y6btWP9WN+kbG6St4wmtv35kt/D54TRVmgDLbASN8
JJaqGkA8hHGeIir9idbJEoBzTgcRWoKVEayb8KQnyQegleUslyroIDj769x0vJch/XZKAAycbiFO
mZOFPlpFUcZxweI0d5lnYdi2slddgMeuvuHIMMhwI1mI+gMy3wvby894DOqITAVIRYFTO4kBPaVs
unTIq4vQblTuTf1hwDmsKCD/IaFrCVJJVdfIy3DNhwvplbl4kLsWPbnXnJzFmZ9k1aX45r5CQaBC
r4sSTSsV5FE+LUkt6umzLFndvhR9mgBlkBYbdSnQnikBAxF2tQWTS58mbYqhxmV1wWRh+xw8SzBz
74r1rCJZfFB0fuGKzRrUa3mTe9yImZuxHOQ57BrDBkN+l2PGbBag4nKsWlutKRcSlqNKs1LOWrNg
TWc9L40TRtz97wMyOXFNGJyUqerqUscoqGSbTDTEnDrdLqsko9ACWnJoA8iJI58XdG38yVPv9Fry
5MD7pJa5Ei1Gl6BsSZ3AKVZiGg+Gy6IS+Dcs9aH6TPLvuH8u6w2v2W7/Gle0e3/8GfcMMGMpEB6y
AJvCssKvw3RlUULO66RIwQb0cIKfwIIu6nxC810fEO2Sffyo+6OEGo5vcvQi2fFGNQKjJuVKsvml
KzCu+G5HUGYTkQkeWSvH23n1KV7o10KewqQ34Ue/a3IDaUZ1zIz0LYZpDp9MuglFW/Go/8Yd1FZP
s9Xjzfj1/u6+AKyjSBCoeN2VyZnw49h1vozLC/eWGtJTi4RgxUdEZA3W3yBOAcSptIAXLjuz34Bb
xHIilOSDvxWirXVRoA7mv2Hg7s5zqdRRxbcAH2za4+OvnLOIyOn9z0dObmjm5LwWSNimIiV9Tn28
rvEmz1CmdSm8xsfC7lurRv3QeBXNKSzUdZr3lbgY803LAk8gBUGWTOwB/QIINPX+LTz3tmcg9bdQ
r5q9GVciJ3pQK0kI9qqyvFQhsokIXD1nnwR6oCwEAzMFxNu1jcHClcIVdZBi9vjv2jRQjWTbGm1x
go6svYG+CBvMpVsBRGeRkYBS+vG+zh7iiOj9bWkHMeSt6CiJGiWrm/KirrlD60a0GCAlqA+RsvCA
jo/xnU5fSZr4x9zQZlrkQVKVgEi+TRjJdMv89fFyZso441b+s57JmblCwDUiyNQuSKldmC/5J8hX
CTAcwlZOCJva3q50FpKJMx4guOpFjpM5TeIxl+N2C+vWd0WlkUBPXXlGANsYZu+SsKAjvwHpZPtu
pExMQu10qg+SrPLSrnsqGvXffOTCzvR6lRuVHj25G+GrQ1KOo6zZUB//FWhrNwZrd+iD7fbh8xJC
fkZ1oDUg9B2rZSp68G7XrRUSMrcBU16i9tVXMGq7OTZoS/VNATF023T/ZpuvxE30p/W9KB8Yp7zk
yd86xXAV9SsL/YXrMHuWIhqCxuOUMYngdk3wwIOhwmjeS63R0PmJBXRThEuA4DkhnKriZWE5JPil
yVFmXFczfRDUF9cxXBETcyuQnS+1lc0qDGA/aOdC+YVXp28IU8giA0+xvhR6ZHc6p4t/PXCQDmhL
LdAmaai2T2NbPYQ2QkbvBJZx0BtS4QBohSGueL0gP4/v5gzyBxB/5PlZpBpQ5Z3mwbTWUbU8TesL
l5Dcyi/cF1vrrqHR0qyQ41IoktJoOBZZ0Hjo0naDxivFFOmmQWNYR/JNtPTQz2nw9QdNTlsJB61O
xKS+KNzJl2kabZh27Ye+rgbEFV0COBrSGWasEl5o18Mbb8kYtvEi9wumce4BwAAjTRtxy0CgTQOZ
jusKtWmK+rKJUWgHd5jdHIaVcuoPPbqhkVyPjJg0Wz1bc7ti4Rmfscs3skdtvXp8HCFXm5DFqXQo
qg/crurShbd71Oep6cLIpBFGheklijKxyf0gllk81PVFiAE063ZVtnHqVVQ+iY65oGKjEbgWpY04
HPQwosYBFB/+53YxfsOpSi267cVt9eoNcCZAsiwAKxKQP+7QyNlvXbDRqLTVVygsPhZ+l3dC/UFE
3waQSeM4I2WKWh26VByyKG/OaWC/Dbhi1ZdzANl3u00XXoOp4v5KklElxFAW5ICmUz6bqHbSKODr
cx0Rvo3XWcvuvACTxLzqGPQ2kLMLGztVkv8WCLLCETaD5r2JyZJ9lg+qQq3PDI98MPoGG7FcsO+z
IkbcOMr7wORMQTkYJR4loeY35yhGpZf30PzyHxr330Wg+RDwI0lDIXwS4smaxySxXzRnbpBNRnvK
hZC4br6wjruywygGEBIczdjnyGrCrQ7Wcs01wyim0GWr2KqWulbX7Yu6dlecnuiMoRg+ZtrkNkc1
K7WzfW17K560sHcLCjl9aMYvAVpOZEWUxcD6PVkwN6jlAGepOaPQ4q8QUamgIyAxg3FJG49dsVs+
teuvdFOi+vGfi1Y15GUwxAKJGXzHZBPYKFALLezOMioJvtHvUkyHD/b1KRSfpfIs1nbD72T+SUqM
YA+mvQX5U5ODlY9DhJAeFfCIY3bRRLyWeXmQ5t3Z9z2aM8A9qhdUo0rRLpWFyFUYz/PW5oyyBDR2
AMcBfOjkvNVWZFrXrSFLYQmeVi04is1ORLGOQU8z7DmqX0oT6wEiOFmxYtGjTfXHKQ1ZKEhfvHrl
Osxe2nIToddd2ISclSaGE5CsojK3Bgz3mavWcmpwIdCOubj09tybzNvPn5yUVDgtUyjYqkqxefTA
cgQVP/cUaj9RSDSBRBqNPv6NdnAA1YoAU0BBJ4rpe6ITel7TnUNVr8pVaQj1Jts0a140steUe+7B
k6TZTbiX3mugA/+NdEyZQXANT0SbOq7o9a8Udqi6c12cxK6mBfqPe4fgOhMHsEeBI3y2StQCeRib
CQwupWn7wqndwneMG3urNxp6ofEkwkrA2xQnOioDMYPAsmPPbBYyNOPFGL5mnywYgTH6uJECBAeA
1mD8Z9Engirk7U3IU57pO7RknyM1JEK063uzZZ+4wHi8qXe9urhtkIMa/K8cWPFbOVAjJ/Tx1+fu
oD2nBSnXnV1SlIPPzlZlSOGSZh1vt++t3W+8tc8t2Pa7F/FXvIKHF0CqMWV6K75RGkzWSyFe2rrd
zm+NzH9vOJQTuRGQOyys9q58+LtaEV4s7KskAsF5K66v5Q7RCMRx2TnnVkq+KhMjFjCHKSB+qdBq
yFYehiiXcbYL6vrTz8tPzL+iQW/lS2Z+9oSBm5RlKBIC+cnOC0OYpNz4LV0B8uIusoZgVzBPobC4
6nETp7oEeKQg8+izg3mfbPIg5SIKpz53lkpD7I/JWUyoypziEz/W9z3EMEWvu/WhYzgCEJMehvGC
yz53zGhEAnaGR64CdAK3+y6rTqa0WcSdo/Zn0KwqOvI1RLJgn4/OUs4uuD13WcnxnLGvKppCMGdA
vnvG0j4JO0dhQTQIPhTyssEEm4/DwT7bDaipt6+1DrA3efbQRLk6vjy+UnPnei17stuxUPKa6403
t9vX5UuxyQH6rwbrsZQ7fN7vElUJsDY4d2ON6XZL6yD220pJuPMOawM7pGghzsF4O2Km1ALZv2WF
YIi2zxwJjYGAze4iGPj1OXbd9+RnkULoLnD97w+CDwVWHxz1FB3VKE4Q5bLDnvUGlMopPX/sPt7e
diEdaG22Vq5H+8LarJ6f9/sj2LZeH+/HXeFhFA8bhqmkmorRh3ddsy3AyF1YcmelNMpLDLqGSC6o
gPx7kOQYdygQHh7ksRneYyVZa08L4ufumAJEHh5FkLXdcXD9F2fftdw6kmz7RYiAN68FR9BIokhI
2npByGzBe4+vPwuae6bJIi4Rp3uioyd6RzNRLisrc+Va6dj5CC0r7iwgpZkA3l1tqiABXumode9D
n6JR2R14yWwkiBXGhtCfy3RWQrv/GbPPoE/6zB3Lw7sJIoAB15tCQVtSHIgDd+ZlK0/MskdV+6N4
4WOr690Qwcx9c78ledoeoPhwYmihRDWP8mFVK6l1EXPcWc4fYg4qqPY0aLiNH6AP3/ToAJikjZAY
g2dpnlEXbvQiQvFOju1BPgspkf29LOkDxIeiyWQ7HfpwafUJbFfi5MNhqjMypmaxJvx3UzOatwqC
SywWPBLe7/z1LI1DA2aPCkcHsULwNu1CFMXEDQeGrdMPmBDvz9HCxlBQCQT2GTlw7oZABbi3OGGg
SXsW3oBMBwf13/u/v7DkV79PLcEk+2UmhA041L+R/pDQq+t0O1WyN/fN3ETmcw31n2HQ8YiG0krU
jRjGO94gxmi0K+d3ZZpoYE2qjH5ZMvh9zvAM7cD9uf/5N4U6rPnV91Nr3khjx8odfn/mh1Twd/8g
bjuHBKGer9hauACuTFEPC03oC6XQYMo7fIamdIiO98eyNlVzgHqR+SlCTxLG+ff5n8BCrX61z2bN
wPznFwbCMW5bad5SMUE/Gpn2KtqNjHaPvvufmXdgnRVuZRP/UrZeWJy8IOuBXRMhP1RD5U0jjxzB
CwzgkC9g6czRGh42P2sgqoWg5Gqd5i1/YRQtikKVphgmxCtknfnYqM/f91dq6VKCj0F6CelBvJjo
N2bMyHU8zOJZB/aQnTg933akfYogIrfrV6peCwf0yhS1K6IwHBQxGyHl9ifeKaYYEn63RrS6ZoPa
GFqHbEUgwAZb6rVOgod2bcLmC4q6UFS8rvAgQOcL3uTU2QkShW2YhJu3HhB1OkADNihqR7Jm5+b1
PLeQXdihZgtKELzI4Bo9+yhbix+O7wh2/AQI7cMay8P8S/dGRM0ZExdelYUYEdj4vZWn6OJ6XIyC
igHxQJLyOMJvpzUBNrbfr+aD1uaJOiNiLlVFPespnaHr+gzouGgJ6CvIntcO44IHuFqQ+bBeHEYZ
sPZqCmBo5z9bn7EumL2xEhwtnPcrE/MnXJjwJXQrRAy4/eXtwd95Rmf2DrtyTS74/ksbNMAqAjuq
HIEK8Rw+t3byohlrspyLBhBig2oIMbZCh7lK5PMegFUIJwhn+AA+3/dYaz9PPZChWVTkYoqfr3+i
p9yeRkij37ewFH0Be/bPCKibWPU4vvHgAOaG/ZxgVz0P5O9Ws0+bZGXB1wZDORNlzLNuQKbzbEjI
nrR6fl4ZyuLpgMAsKo/oB7lJ0iRxGnQtBz57cLjmJCR/a4Nf1XVbuI3n5Pd/jVBL0mRj2SU9jARG
YWr/5zTi7Agvfp1aDVYppXJs8es5Xsq8boFuR4JI1VoUfFPgR/x1ZYdaCz8Ku7jOwO9uQBX4+JI5
ksVtuH6VDHnRj1yMh3Ls/ST0cFoYzxy7pFCEPxe2sbLsi273wgbl0rEebB5GGMvLC9LyQH4gXoGW
d+MTfn88HtegqjfYPnru5n1+4bg0OWy8Abf7Odw4B+VZd0/QSNq9PRh79+f+0BZd5MXIKHefT0XV
h7GG0PKYWKKzn8DhtjactdmjPL0YxHmkNhhN5NQk3G9/jvfHsBTqX201ys+PaEuGjC6W57DzHzLn
fH5uwPdAVswsbzQN5GeghuSBw79elClWs6qRpFmZNEN35F80xrj5GsvekhFOQlkNlzxY5Wh0XQeW
kUjNAxDr6qo9mhxeRmABINVKHLHkKC/N0IemQIfZ2EIRQbXDDd7qtr8CPF7aV5cGqBPj1b7CNBMM
AAXzU7r821e0HdeO5ZI3vjRCHRMv75txYGGETaDHWBPhmDvyI7f1jXqT/4t7/tIWdVCiElxH8gBb
vM3tvU3urIXzy0uCGqCCWhiQF5TXB+8RWJ0H6HtMGvpIiehEE2KilZOytL1AfCEhg4gMjvbbnnfh
WBq5i+LKEwS8gN4Eo3rNdsjG6IWOnCi82A6yqC//xiJyLiqw50i/0/n+ifXHJoeswjkk+YH423yw
h233oG+APDxKxjdjtfrwuLZaNxoYswcFU89/zVJbY8y9yGMiVYAWhSGxJDplaH0Du53xcwS/288P
Og/xv3qjApsqgdNsLbr9zcbSr4DLD6D2CwtN1E7J8QGY6cnCFfjy0hjxQTHJ09PzM/dw+gnMwPzZ
fN+fb36+vm/szhAVdM3OXSfUyc46r0/ZIpqvQ1hGb2XqyuDMLUDNvH3QTQ7L7Z0j1OuAISaro156
zf2CVP6fderYSx0fRg0P6y8vsL6zuFj3HNnx7T9btMmdwHkbGpm9BnBbjDUuzVKrDVULrpFrmPVA
C6Z+Z1sIls4KLvfndvHwXEwttaRDWIisX8EKKxuPMwvpQPCM5IKVIHYxh3A5Guq+VOqmZZIOduot
OBFzcuif24OUGMBWHb9XfKi4dDlfGqNutbiJG0ZKYEw8zImyPiHCxnvSnj/BMPbem9GrZyBcnzu+
B4y426XyU87NHMyFHhYQcWoI85T9BQWob5x+tu6Hi1LDysUrzaHizZ5G/RVlYBR4JJlyjY3Xy1Ks
9v8J8d7eEkdBkkohqj3zgQ6beSnOjiM+jRwg6Kwepyb5+opBVg4Z4GpTmA3glrURmSq2/3bz/TMn
tHwr038K++fne9XnLTsfJP8BaZCA6KBBOALvJ/mYIglUm/yx2A8QwznndmAFr5Vj1XZNfMf7ymxB
34aP4Fc0cgMt2879zXqDw/71gBcfQe2iaEjzeErwEcJjshfQzJqc0kPsaocS1nwr2JVPa9SKs2+5
WSeAFFBzRLcbnkjXEVLZK5VQlBNSukVX6DMxlI5Aqlg5hovhnsAJLGIwyFGBDvDaTNGrOZr4SihH
vaH51ZmcXgQ8wwC4ylzZeYuB+KUpyrHwPSPIqZKLZ0DUJkd6zZxA50pbe/9RIoAweQKanR/V8g15
hfpoKX66NEz5mk4FIaswFeK52ocmTp8uo2FgzaHdAuGgwIVLigc4TWOBhaLeaFUdhcAeKdO5qEsi
ja9RcxojuxQl+3VIAE3mKiJmayWrhaGhXQj1bwDw8E8aupsN4hh1Tceed5pk1rb3Bdqg/HGNoXvh
JrqyQvm1RGyKjse77RxJP/4H0+odVF4mKxm+x+8GdBVKsFplur16cdrnXhSwFksSr1AnLk67RBHw
HD0XkBvxEsHSppc6QK0d7XZ+phdddQLYuhZ1T3ID3lo577cDvrZODbhoynYoO64/s50xofuhbATL
y0NSiE7RiLqsbKqY34GSacXu7QUCu6oEKjMBbIysSAUcfTK26qjmgCWNVtJtGaUmUz4BtVmYYvwQ
jD+VZkU+6MOGnSRBs0NTngHltZtc97rvpl25zxZCAXwOSADnjmLgWH/vkosIV/R9Xom1ajgrX7V4
nKpjOW1y5r37kTvQLpxwh7abNXrIBTdxbZSag1BE3MuJgGYxbGOqXG1WLemGfalAnDLajOMb04Am
yFHz/jM3xuix50BLyIRkyj5G8dBk7sqazBfitSO+/h7KQ7Jl14fY/cN5Ko0x2ykxLsbclDM0ex59
7mkkfJQbqzip39jy1ixIakCfgBQT3Xo5JX1ecl0/nNkt7+uK+KzUg+3zkl0X75H6R1CsUk4fogSc
/CcN/YhDfihqJ54coTsIiZ6WTwPXkyY4C6Mti49qWK6EVvO4730gtU5dgJa2mgUCMOqFt0JjAjts
gx2T8dPKabxpBAYyFtvwn6mgVkCJx4ABnedw9quX2Dsp4HtGFhR9+HFhMfJZQfPgaAiAPWEK0m1V
6rx3YOrniDtWyYnjLdb/s7InlryTAhgfGiZQDEfD2vWtKYVToQo+N5y1JFQHM0uLWPfFWPzQRnWy
Mqn82wAb/lhJpWey3LBjIqAkUcb+6BM1XUlC3kJH4DEwQyxaHlB3AcHo9cckZZjmQ+NNrvQIPi3P
M9XtlJPklOy7zfTGlHb9ojqywe1SVZcP9SES7WEwoKbg+baKtmFofxTmS2Cl6KM7tpv7U3VzQc0f
h2Y+wEQFBXQ1lB/384FVwCPKul4JQEnflQWaymKZFEXAEAgRFFAJbtH7MDCled/yrSOZPSkWaSa3
A8Di93V34b3AJhVnPdezLq4N/jipz0PNk4/xU9lWsa1xVijqw89g94UuBHrzEJ6DcCXwuDki8xeg
kVEAQTb8OV2YFfmyimMAZN1ESnpj6lI4i5JDy4fXBWsh6nzcro4jbAlIo+MfAOQCQnS9C1ipbIOh
zlnXAFgLyjpvrflev6H8t9akfAsPoyxRm79u0YwmsCnrojvDkPDuBcU+/l9rDoa/kW2NiDqrl2jl
s8KObMFLKtloGW/Po/HzL1b4csxURBkmSiY3Er4EIK75Iw4ccewnAgSisd+C4EhfqRLftKzM7KKX
BqlIsmj8ssmE/xhsUIExuo4YpT6PrzN9aN2DOXEtJljaRJc2qRMU1T4v+C0WdnewPj+1BxspOR0c
XWs09rdPZWpwVNAT9gp8bDkb6iyoGBdIYevooD0Yaw+Bpa06Z8yQPOOBp6SpY6UoLdQOCRc3J36o
vweVWb1OzzEaIMD5M5KgNb6jv/e3ypIbAuE0CzcAOokbEt0k8nK+qgfWtSRG554ZEJ4d+TWRjTUj
1ErJfIdTmMBI4mhk2Gs4FTqbgdTm/lhueCjmXXg5GGqhEoWpB56DTy1FK39N/oiO+hJpx5kcuFTM
ZJcDoxPqCYQXVDNQiLh2Cm5SCLN98BtCu1XQULqjHECfa5WQjj3nohrVeCRGFyQejYmlvj24eiys
eLal3QIQqoL8PURqEYteOza5LFW198TRZXLOyesdl64CXpeO2KUJakClIqfSxAijO528mLzEH+8W
kKBOtevIhPJHQjQwHoJv5cHcbI4gRf2+v6C3eUZM6KV9yo+Bhx+NkxGGqLpShaY34/0cQkVSNcDv
2G9lWIZzARF/TyAWgxzLffNrE0w5NcQnfZqo0ugWwNyqcr5pmTpZsTGPgL6dLkdIHY26wLHsK2V0
eWRL6sZkWUctSqv2yvP9wSwaQqZWRl+yggZl6mxAdEYSJyGaXC5wI4FozU8+WaK4sidvoZtYMdSU
kVUAlAA6EdSKhUmIlJDqje6LQHAPcG+j/la9GW9AXp0HMJuBn+i5/xPqJuAeICkYdye3ftLXXPbS
vr38CmrlylhJoypiRlcpjoF0YOQdaP3+7/N5aYJauCTk0jLNsHAiC5ZqZeYVHEnV7ideWLF0m4qa
51QS0Rcyp6JuaoIN2B9yoFknN3Kkt3TD7aqGRJ+pk4LbXSTh5/2BLYbNF+ZoLIhU9moAFYjR7UBC
q0MKIjAGw8oMBwhwRd8DQWO6f7zH1y8EbKb5cYLY2qrSyE2e4XrIdOcmWMH9VJyCyeXHQ6l0JCiO
rGr46J/qWw4Pho+wNZnVfu/bRg54GySrEJLiWaWhZ/TapaJJ2Y9jTp3c9EF+8Uuds9qtUu1yK5oc
D8A0MJD3uraP0am11od0+66FbUDuZ9GzuQ2KhsIqSZLIUdmybud/DPwpT16BlcQ5JeL0kYaNPYEn
ERw/AVrmmrBzIlA/lmpGlLdWIjV4BtRwU3pG2nyAqtiQ/B9pmgi70qq15JBnGlqE7HjdoaWR8iLT
JIMBVBwmVzwc3kDP/r7DvTB8DRbeKwlilbwysoe5lqyffOP4cn9n3mYSMUUX1n///OLhMvpQpqmz
cXKHets+90BJKK8sYw3CMawNnL410uzbPA8M4nKVJTQt4hWpUN4sy9GH3XHy5HoDGZVIH3zN9EJI
SUHRnCGdGBzQwb1FPwhv8gCerwx3wYvJaMNAhy1kWURsx+vdGMksEgcNM7nttjbfBsvIRzthTB0C
eCcQuEAL9b7BxdW9NEi5zQliAYMq+aw7lCCTEHzSoDLUgf88NobPNoYqGxhBMvQidl8+EJTFA8M9
MoIh430j270IBUtTgwjGoIEEa8UJzqapexKygGivYsFGDxYDKhKR84xpmLTBp3HkXUXr5Ecdr+QL
Fk0A/DavObjM6C7RqvEirepwAFPCoDq+0dzhJXFXpnghFJZx+f7XCLWmcRK0jczDiARNcB79LOE2
teFY5ZmMwSr2QDDtoV+i+7yBDdXYcAHlKdiyu+wAFt7N/a9Z3t9orEEKiceFTbtZASUUHoomrOsr
4hf4y0y+dqo+NpnkR/TOcm9FzN82tBQkzDLJWDG+EC0Duzw31qCvBMyM1JIqeTZEwlSybj8wZGjf
wL7asjorkzjZtsNEkBogQcZZeTARpnhJoqeVD1ha8JnZA8l0dFZBhOb6fLXJlKpZgLXwolMrvxXF
UbbbF9XXg8BCqfIkDCMRQb48opoGGtvMaNpHgVlz/LPLpHc2QJeCoqCxBiQg/PVX4E1TyGEisy5I
NgX2qXypNCN06sAQKwMU8/fHPM/prTHkm4S5CxQFtGtjClrAxT7xOZdD/2eIcySIpK1X3kHzHr5n
hLokxrLkh6iDEa22B/kF9P9QM0q7t/tDWbwN4A7+dyz0hQl24Rpoawb7Z4QCj/an6V7SCBz2R1U6
JIPZgUaYWwlvF6ePR5OwAP5eEWQh19OXDwrHJMATuwJvag+dv/Lzv7XLm5n75/fpITVx2Q0tm/Ou
4PvySGpWDI9Ighe85bNykpHQn7IRmgDZ9MH1VXpiIGopEr/zs9KI8FQciKh1uJlEPww1qx+LxIwk
D7SPvYb3t5m1sbYfhLzGDRZxNdikmhYvmolDLE9YFR0/pPAgvWGmPRN/D2nSvgeQq+rJUE24EZBS
miCY0yedoGdTAxqBzB/jucW15zKbk7q+0Qu8MnIyMXgJ61mRSo9sh+AEzbCJ+JJzmSoaI1jfagJ2
1Ca3i3EKrEiepIR4Usm8VX01DNa/2ScXk0oV9usuT7UU4A0XzeXIP4Cj1kZivJt06Nxk9n1jt1V5
3B5Irv7vDvl9H12EKOCRH0umizi32nOGBZpzNJ1NVrhR/1q83jxOzzxpHsa9arFGsGvPIE5f6Ym9
LQpQXzC73YsvaFlxlKVy3qPsk8qYDCRa6kdJ2JeJWUxPPmsOxUbNVCOpLLZ8Q9+l0cmZIXrHEXzo
TWdm6pOGXv/787J07V1Oy/zUvvioIJf4MpfhEhLoM4A5cdIT75UHi/V9M0se/dIMdaWMNTqtxwJm
fIh9CnslMDvNFpBqSuuVo7oYrqMeOXceg8PmhtdDm+QuSzgstEQkMGwhrbsLXzoHpOLwqBE42sC0
vgkIv0m20bH/BKl4OaecV7OgN1W43+X+5zuomY2LIMtZL+XctDOapwb8mDt1n03E1NXq9f7s3qI9
ZluI/LHDEfvf9OKyQTK0QL9zLjuasu0nG7Dg5UCPHv23rfdVP0IXLF3Dqi7GKJdGqTX1pjIdRznn
ZpkoEPOTTJ6nuAIBqKE+dm5VWEls3h/o4gUmgJJL4aAtgwD8erfyfuBJalNwSHvx2zwzWkBs1npg
Fk/EhQ0q+PD9AmwAHGwwgs4e5cxkMzef9UrGcSWuXby0UIrDdYUHG/hXrkeDNcukGmQ+rpqAGfJT
gpBivhJWzPfezb31C76c83WQKrk20eRTLwx4L7p5boIPHHWlyN8XMmGfpMEJ11BHa9aoqRsDv02E
HNYqzx7AeQx4E/IgcaOfin/x6kDHGECl/xnXvIgXbgu0ILHPd7CkJmg8JlnwVEZm131GawCHpd0A
3m5lBq8CnStTQ+Kr0Q8axE1u+BP7BOTdIeGiPzk7EE7+N/fhpS1qUDlSY33WVrw7PbKIJiAsznBf
Qq/oGqhNHqtt8X+l0UMIi/j6n8HN63kxi3IbSsqowWAsdmib3wjSW/L3/old2hIXJuiclTpxXS54
MNHqYmpO+/dul72onBGsJEAWvdGlISqYKPqhGyUfhqRychiI1AfTi8f3pILuYghhoodBPLWAoEIe
NJSd+4NcjHgvjVNPBXXI/S7JM94NtO3kGVg89LJzSIMfM+AkV8706lCpQMLThrrueAy1rizIZOSJ
4xdPTL0t9mH+PLEgkmyssN3UxYr3XbxmUEaRwd2GFBz6IK73i1iLZconNe+mgT7N6R1DVQxf3FTF
43BOLClzhgaMhYWRoAZgTf3aw3S+MmlvBkFSMOTIeFyA0vLaPl/njIczikxco1fNCTI2ozHokink
Wy6yWXkP4iiIxmhPWrjyclpKn0Or4B/T1FFh+LFqGrxYXenLijeSNTk4ntWegaRnYkGe1QMJMhhF
gXdWjuIG6psJKKF4FioRPGFsxhYh494GyBvc33lLF+I/n3VDQxFJddrPOjsuCgcE+VeoPN83sHR+
ofanieBSn9VgqSjGZyD+4fUV5/ZIrdpQ/esLMgS6f0bWdSVAXirnAubLQl0NaRgAiKjlHXOpSXxx
QCxqcJ+e8dAArssYR2+VTXdpULg8UJ4D7RoEHqkDNIxVEvs9x7mAnvRxt/G03Bj42uy72KiqkoTN
U1KsseDfNkLC26qYRWAecalDae169xbgp+nGQsXre5OSKXjQRrN+kl48kj6Z8WkHtuqV2H6pPiEj
dw3ufZQ9UfKhLHaC0E1jrHFuTHbV/tDbiQKdBd03xOf7u2TRM2B04NiY1S4kOkVXDhWIwkqPc8Px
vWf+MorT+99y7WRmYVeRzgcGy5pVpYd/on5XcisDXVzPC+vUOBmxHjUvn63Luza3xY/Sf41Vp/If
JaSF1/Sfll4YoK5EXmjWBUOwTcVtA5ijFHkMeXe040mHwgcaAsvpTYAglweu8xiJIrM6ZPEm/YKY
0klMzBwZM9CPSw7HGIP/k/lAekx/7q/BgnMEZmcGyaMaApFq6gKsJyhX5yo3uhpe8VMZWlqyVndd
OqFXNqh7rh3TTuYz2ABzh9UzqSUy4l4G2TFQldUh8g8DtNehNlbkvZWXjxyAkPcHufoF1NHNqpFv
pxiF73w0w7qzqwkv9Vo0B0RnHLNrPIgElQLJvYbU/WCJWuqU9QpIanGmoQ8FLR5FxFuE2m7gWa6H
dmBHdxTA9eMpOhNFK4t5IzyE0AxEO//YoOJOVckLpZww06M92tE+cAKnNt9/+058sD0Nz8guOeKj
TP5sT3MP0/1pXio4wDxoMVEz/j3X174qaiVuSAZU2N8O758+JFsgQG43m1i3Udl3ce+ih6LeBPZx
TYVrnjvqir80TBf6xgZADVkDsKCd7Fp+UNqPPntL5JWX15oV6qyo+ZT3XYVd1KQQfdbK9qlOVajx
IOfGtmukrP+fyQTbLKcBEgJc+vVkFsH/TmYLZaXD4TFDF0gIkq5ngtn8o5LWKa3T8btYWcSlbYoH
EmBJoE8EY/HsNS+ie1AWggRHQlGOk7ex/8yDWf3+LrnlJMMmvbBAB/ecMEQVslqoypIeHasH2e6A
5Xs8Y3OiJfNFO2iHQW/IV6rP3UMhyQzeHNBDcUZd5e8rYbaNLekcmhsEHTKq0Py+/303TNbzIbr8
PmqZmaSR/CzE9wFth/wisn6JFVm5DbniJ89Jddt8cCMztio7tRLImmV6Txh0BiHouP8lSzfx1ZdQ
WyBVew24h2lyATgUdWgFvmdGfpigxmfdt7S42S7HTDlIWam4utRQCJ6p8NBwDT35yFKdwAATHnab
jyLlCVFiv8vsNf6F32CQPryXtucdebHjYniTVJN/bb9D8AnPLkAcAyclCDsIFn0gT1+tNaslNJu/
+9cCjc3g5Mv05ICe3d0qTGjxskAFB+2uqNwL6HG5/h7IDQmCF0wj5qI65/EmP6pGXz2IwinlOGiU
ZK1KIDypOPfXYOk5CKa+f+xS76RMllq1SWCXt1Mgbeq/nkb01NqsHPBVO9RF1IW90Psx7MQQf2O3
hjQR3e3XwF5L4AsgxqG2jVogCvk0nyRUUEO+lHsWZqSvx8dzaTs+1JaN6SXPcA9svIeV19bicbm0
SA1s8pHG53pYLIunTIKwhqj3CdKJUJbp9sFBkx68NdjQ4mQiogMeHRySULmlblwQxcilOAALeegM
pP7ew9j2HU0mbayraw/pOUKkD8qlLeqlEyIvrPLxiGdbSw5vvQqNFGU6GKbUrVgSZhd3Ywkj4lWc
AkjZUu5ABWOuVvYcQNasqrd2qew1nEJumzo2efZBuWXVlv6THVSfJPZxh45p8QE0NnkNV7i2qksX
Ejg60R8FBVhIklFxc1RPU8aJGPUhevOPis5t9caeOTl/cPi/75/BG6nZ2fdfGqN8f68kXu9X83Lu
Juvz3Xpv7R4U3xa27vOzpkP/bPd0/mu+mh+l/lrZg5voG0jKGv5p/b25hMJGMygCG/S8zU2ZlEPo
BzVONAa1gKYTs90Yp0alJSrWfJLNGtD6rcSDT0IDNf0jy0BbUvNGZRdncv4SyhnrSCjN2RE7KQ9d
Hib4z4reFiZReazxFwlbX1vxYIu3CAi5gekQwGmBz772nMwUBgVUPOa8guHZaAUR+1lzONoYuBs1
55h//jDGZic5Lfog1+Au80mj9yxo0AUFFRzAPWi0dZkVatDnyMDXkzlxnwJ3HhkrQAP/qN/fJGuG
qPtBjSAc4iHZ73aK+y626GnujgUmtFijPV4M5y+HRM1nJAs5hoQ0ipIR422mp4UkQG9WfyDIKJnI
qUhoS3hSdxDkY8j35uX+OJdSD+AB5vE2R93kdjnTqtP8JIX5ooJIhXKQhL8iVEDbMNRF5sdjKp1l
dLErUXEkNdQrfDMWp/P9j1jcU8gPcLyAsjXQs5RTb7LCA7l1w7mZb8e7iWgfr7VlN5ARs03T//Ow
3R4V8BLsQAV93/LSBabNZw8FbBDOY09d72Y1ZQRlqoAebLcxOSDt0ptgugL/GxJMR+GpJSvh3tJy
a0i6IO0yTzr4AK8NDrGaiOE83zshIPlAXqufDE0eBXkgKIVkumaU0IwVnJfN5v5Q55FQRwdsGvND
A5l9yBxR7r4c4H+EimddiClp2XvpfzX9PmEJZMIVITLQFbgyt/NI7hmkjpDEZ5I6INHmRl9cflA4
iCmARvz+oBaOKR7aHFjO8LSW4ZCuZzPlWUbOS9hIu8PYgbY1nIysWaGsWepRuLJCbU9RzusiCGFl
qnV/+xge4w1rgnXtC/TO6NKXN7gTN2n/wharfebzJN1MoqggRQdqcB7XxPUAQzkQQ62Dt1VBjeur
J43b56mZxiaQJeXQGhVTkuGvIpOR0ZPazT/vz+/C0OEcOEC9ZrJuDjktyn4hcmk3NTzAo/xR+Zqh
GLFpc8oD+4bu7A1QCLXpmdPTfbMLgIhrs9S6TiKEPtQcZrPqKI8+hASBqjtoltpvqo6oITpFFUsz
8Alp8CE9s8hzSIa471602CirlehkXt7rNcDHgE4a2ikSCukqdXI6v69jvGV5hH8OhJZ2a0Wb+b+/
9/vUHCOFLvRJO2GwTAN9CUeE4gVSi7o07bLqJMqMztYHDY3bo5NPh6ZbcUkLGdrr8VGTjSTE0KXz
+CAekb8OT7V09qDqnD7H3sf0EcuPSq8r35AIJACw3l/ohdD62jZ1tApl7IRSwtgTkO5UVlcXhMmf
htey3lQASptivVZKmAPom9kW5xgQneBoxaWC+ZZvxlgqkWsX4iYBXBOqz+AMaRN0UCq9LJ5ij2dP
bR12RtlNkwSdu0CChkYVyzIRSxbYwi4F6641lGq4m9K4KMgY9MNnPPXjR86m03eu+GVq3p+oW0eH
ebr4aupZMI1hAl0uIIQqKHKztbwRANyOg5001HqkJivW5hWn5ghdCzNwdwZ7QtMTf37xWue4plBz
dEu5ofQqlo4andPWuj+g2+sIauVgQQF2WYYAJd0J1SZqL2RjN2NgUsAZE30sa4cJYkMpXsAT3iep
nudrKZBbb4p0F9Cr0KWV0JdBVwkVrQWXligCJBJXkR2kycfQBcxK6LgQU8AKOEjA8A1/wdJcWlkv
pr4XBrwr18D3J9u6IqF4aAMeKFnP6royInU1GWprhelbldhtekxBTC9FX2vYqqWjjYedIEG0Cxlp
tBFdL6Rfx60cdynvegfIXOilIZlOuC12tWFCDRgypEQ431/XhRI0Rj9DvtG2hEuDTgkwgTq2rIRS
3XjMSY3ccKqLBvcw6A+xIf2L+A1ZaHRkowIJ9RIs7PUA8WhSlLBPACJIcBMBxlh8sx+8nkI/UYWE
RUDaNxn/8rl/jeyVgS7tYDzagALmwMCKPuFr0+EoMx6D4MMNcoI61khAmOc0O+UBigvZrjG3f0sH
uHsXT0fnvukFFwZX8F/Lv7fnxfFEX2aa+HwhuFwX60xhsz1Je0A3zSkxvGDFFyy8UFF1vbBGhSAM
P/U5w2Cc7E9hlA+C4fjbVEc7qPdYmSL6w8Cfi+p1HJByrZ62eJQubfPXc9yok5h6MWwXT0NDWjsz
oJKJpjudDUydAVPZDvOrp6//IuVzPWjqzm8QwbexAsNKYcQfop48SsNe0tkzAowkWgkwlm5B5JUE
BR537hZTqK2UNUiuqdoAhMqwGzq908i3L1mFZgAc3QcfU70GiVly8BcGaaE7fuK0Keg6XLtA8I9k
4AmPOHaPHndp2+8/vNdtgjfI2ut9zSq1k5DoHppygNUh3bOZXrd2K/+rkYE3Qp71wyTkkq53DNPz
LTSZBOBt+JeGER2Bm4wGSoES75YCURknZdV3LvupPSvhLT7aMN6mX9OpW3ANUAadoaa4RTlwKF1/
RAJi04INM8Ht9cFJPlvHtzCfa7HTvPmpW/rSCr2IRT4kaECElZmhTXwfjNbm3su33EEZfy2Bv/Bu
xX2Ph+vc5w7RLfqJPja4ZhL5d0hGuhGbWdt7eFbPX/2X+uXyROOIvOMP0yM6fgNLKIj4nK299hb8
3tU3UKHbUE9SnEv4hhj9N5oehk/C1gM13ec6ZdNCpHBlitpGYcJGSjsP93Ei8rft2+SVCNuf3NQ2
q3JmC8cCLSQATc1TO6djr3cLU41eNMy2DpL5vbpLln8dbziIsgCo+AtZuLgsWl72c03IBbeysjNo
ndPNc2jXBmuZ+R9sE+P+1cQtPGZmetr/mps/58JcFSsqgLjzGpHKqn96G8BqXIfsY7s/tZtuVbJz
8RBARkpBal5iAZi9tgcZ0bKIs1ZwvTQi/bYTTF49RJ/hERwuRHzqqmd22tdZvjbOxb0I3Rj0Vc40
77/0iRfjbCMk0/q4513jjd9OeKpE+kNABrc/zRyTa3idBZDZnKPCLSCy+IsT5/16Ya5R43YMmgLA
EsjgsEas6V4LPXHIZvFCbPqJamTe/5D2ZcuR40i2v1LW7+zhBi5j02023CJCCu2K3F5oUqaSIEhw
Bdevvyc01V0KKCTO8Jr1QynVAkAADjjcj5+TYw72VZV6Q1V61LjTbDhgdAj76aDll3S+yEvdb8ut
AAik2md6YNOHQfPNxrd+GBTPy0Dtf+XIo+RLrtK5ydKQZXCPaW5EuSXDpRVQ0wPp9MOXANq4/XaX
+VBKxOGIF16N8tN7/TJowdvog1Hn8/14huAFE/ema8mQ2VCTjCe4c6Y7/Q7JvkAE4AINXI+knvFV
bcLwO2JvPkQyvn/fXPdX22Kxsv2cS3x8CEAjENo/Op4Gp4s3JqjqcnVc74bHEMUBwZnmCR8FoXfD
irf8SVfSTFtxCpzwjK6+BME386KGBLLiaVcqHLTt1lxAu7wquso3EKgJIPeqWyiFk9/SiL7ZSZPh
aiXf2if1i305Bv2jcZ2Fj7a/2WvgkKEevWsODw/G4dB4Xvi12O49xHMf7pJowSLPRGnI27FIC22P
k1EYigM4NipNwckUERPLbS5FLM5tZfDHobQf2Dko6UlP457UoPByZuMgyD1zPV5sknCEa1iEaXb4
fO+e87xBg/lXX9LFMCmjHk+liqM7QHGM+2D683N6UCCCsy+eHO/iYlv5v/2FXs/F3k56lU7UHtmO
lg26cTimACYPpNYX1kX/6FnBbbjfN54ePc2zT7fEb399/sHnrioQ2iAqAJEshKOluU1jUcxdZuGl
4fh9n3jDAxu+f97FuV0CJUAENCEzCfVH+XqaUy3VW3xcPgGU6zae0e0Zv6ALHv2ZmrLjswVsGohL
H6NM0m7UReLYXMGnDCgnm74kX1E7fNuCkaHfeh7f/8QGxZP4Z++9KOGz0Xp02mgLs2mdm863Y5C8
0JaYNNFSxziUpFRQ1pS1OdkUxux+dWtaH0RWTo+JRuwXK3atLii7GOXipkLtqzGZUQvo1r3goRim
QkOFSD2BlC6Di+FZVaY+6xzi9F7ZI6nkHeW6iG8kCoW5s7hA4a3GcsSpElL8zC2T55EVcztslO55
RsnJ9US7qvcG0PN/Bx6/283a2NUBdxVysPXWeiyrIr/Vy6ZHyELoVe0XE8icfKOwjCRsgWhK8N90
+s5Ku0GsVKuqrWJyOGbCdgE4p8y5yoiRb6vcnre0spJfOkHO1+9MUvp5IQpoSvFeXDiFruzyqrBT
L9cqu4eGa94VqJfP1SEsGtRheuASAHS6oM2Tmg+N6lnD0MU+KnWzZ46paj3EJdTe+3yXnr0x/lo6
sGee3hggaURlp43twx5rByBn8uBO4FsrPWVHL+PQTaKELgTkzmQC325ZOIunfU6O1U4FUq4Hurd8
+nDDguRO22gghsjDfEMWDPFMzg/dIYOMCmpY+7uKAZSkFi4rYuzOkO6DPrq6yrY1gEmQsCQ3oEB7
KivfrAMr932l3AQLt8X5r4XaKg5xRCBREnj6tcRM48kauXkw+6BX7ubyLvtiolCo8dQd9pRtgLGo
verG62kJG3dsWb40IcD6r57lGyQpdV7NJDUP7je98iHp22z0cl/2m7a/XXAHzp4A8C1Ad48zlcgQ
D9SE8iYZCxMP7m/udNX1AA0sZC/On3Rv+jBPJ5JXk54SFX000dUl2EVAGkSD+5c4Sva974UX24ff
W3v3xVl8/579OEAmwaGK3Bi0C047VoxZmbRkNg+XKbr53ACPbtK7NXrTtuSxdQgd28ax7ekQgqAe
AMDP2z9v4G86kPw0m4zMcit04LBtvKEAFn4re6T0TKTz7AqK43dlZ4GbdT+IBaft1dv87Nukq6m2
OTYgyLhheFdXP24ioLW8oQbeB3SD+329u76+0L3gATzWSbB0LZ7zno4w13+tmWR1Y8IqllDVPJYd
XE2/f+A94pkhCoR29/nlpvr99Tt/vL44AEFyt0UMYZXR/9W9jEpVtEo1BoZP779p+5vjAwAk9rY/
3TwIoB83bGEXnT1k8GCD34/nKUD20lSPc9lqWooj9ai5cDX5nAQinB4vQLTzK14idDw3t287k+bW
HQeWzBNBGMEMswvbz++3/3ftzCOpFTAaLnTCIcpHJLso+iwRcZebCFVE1aUaQR/k17ZberOdiyHg
SY8rCOTIBHzgp5bdwy4cYuOETBs//h09195RV8d7di9vdt/7kN47TXDtG5l36A9Z8PC5aZ7zEAH0
Q0WTCiJ6jOC089zuuFH3unlg1nM9PU3lI1eeJj38vJczgFjM5JtupG9UDKPIrdbA6fXteGpSv79l
QEzV3vNj4lHYg+l5e+XO8Ya9L3wLcrhApU6eErgByLs6ZBw+H9DZ3QNsCNCpkClDjuz0syuq16o+
2eZB/aHc5MPG6nalHqCCwrpd05F1lDnHsxHLe9qRrdeaWzqUHETgWJHxrMbbogj7bFu5vz/v6VUi
Uj7pQOtgkyPfNyqcJS9KSRKl4hxdldAStT3lYY5mw893P64i0J8/oGj3JTkGp3JPu8t/h4WXPYJL
k9+iKjkNwO13+Hw857IZyDeDCMk2EOgDsezpp8dccbWEYmsFV4N/1eyh4OEyv/maX/I9uaCW3/lL
Fvuqpy7Pwds+pevZITFVRI4+4Wgg+nFUKQOj7vgQYZt5m5/ePhS1H26PHKx3wZeFDz5nyCg6AnwF
aCfAZ6XjohXmkekA563yUOVuZOTfHHpvgCdoLEIQn7Gx8p16A/dLwe5eCsKfvWPf9i7dsWbaz6Xp
TMdPvwqaW/erraL013OY/xv0d9uFbz1upncTjXDgESd81NiRJnp24lFTUss8cJTDiF29SRq/oHaQ
sR514U4wskDQn593evYuhyvy704lH6hLp6Kt4N7CZ//yLYbyoO1d3bTe7mW4vb39Wu73hg9Fpa3/
Zem4OOMggTMA+AD47yBasyQrzmoWM6vl5KD/BknJgDBvALKaUdl8/oHH8UuTetKNZDGlmeSZGCsc
FmSuNjNzMKdKyvwpRgbi867ORVsA7YYnCx5BsOvKT/bEyioy9zU5IBbpHSlT7ze3Gx+64N4D8KwL
pnHcDScfhssNvcEu1CO+6hXm/iaem81qPeQkGQ6FkycB7fBh3UC7hVvmPW34sRtbBaAc2X8c7JIB
DojEkyZx+sN4k11rgbHlVwiLv4Cva5P65OqrCM2gDdz+buHz3HfWIHUs2R5JCQNzPB0OiXUdN5fK
g9gZfJdC6sbxevFk67/45FPf2qPopowyGj27T7kZcjzP3e9623oi4Pd1kF7Vh6nbZelX8FPkup/v
6aaJvbZHdUYbtHCbw+SxvClzv9+7B419dbhPA554TX4zVhsCcWIoprXb6sGqbxtNeA0K1BSPbYun
GhworRslOt655rZCme9FChAo23MtGPSA+xlylF4BhB9xwsEAHEUXXnY9Hqv3r2rCPRQGIdkulK9g
M0FcwAzplfnM2sXS9qMpvdsqb9ZQciLdOEUy2rH7A0FB/5e29g0BPuS9BjY/DMa+I0rY0tC5/9wc
3vkDrwuInJSGRDi0DaXjzMno1NvHBdQiemMjVhUnEMj4/+tDOr166MvGTYU+Ls0Nqt+qS33Jps9v
w7++Qtr/41hNTp3AzMBWHxQ3AlCFLxm2iFdfxk+ff8x7rI00Y9KWH6a6IL127MtDsSApt0Yekrvr
2Ks8za+j4VLzH9wlwYSzywQIDN7AcN7A547N8+Yc4ZNVt0LN0Klou6iL89ybtGwMy2HXcCCORjF+
Kai6xFj1Hhd6/FgkM1DrjGMMWCqp35Jxu+ixdIz9UGfUq+mohrmGuvURT9yqngHKyXFj/Ur1ffWi
3jROAF0Bz+xuP5/0d7EUaRjSnAM3ORVqwYZjtr+IFKTBG3xyHKbI59Q33Daiz/t7zZa+M8Y33y0Z
IyPlbI4C823WkaAecSEZkLJdYwbiZ0k8e4aCAPR/E9+6ddKQ7zJ7W/7UXvohoHhih+ovDSjC8uvn
o1pcDcl5b2nalXaaH7demW+z7p5oPn1OqkfX5yUUI7tvQ7rPMCWF11pBplym08Jx8T7PhpWwwc4A
Vw/KHUiunm6IQudtxysyHFrrMrUQI74tbl3DFyWO3O8kLiDHRgov39UE4gooGWGee6+lX0cjmhyc
7OGI4heCWO7gGWxjDFeWuSOLOJtzR+nxHjwyWMIJl6P/E7Jjpl5YGGTjWRdsxAJad4W5s8QmGTd5
epGRH617S4yHhQU6d92DAuHIlGHYKl4+p7Nj4FXZKpYYId+x19L7dh79eQT/dJ3eMuPHaKmg9Llo
9EiLWaikGJz7o+kWkK/yUwBFjhAocFCrB2EvFc9bae9mSmy3pEOR1Tdz8w07xIFS2Xc8LDflhkPv
xgdSbdpmEcpAruJ7IKsC66oAlOSogkkWDubj8fDGjN4NRZoPBZAyoPln9aAC1m5kg5ep1wBzx3zh
m+U3gNyRJp2PBigY+kxBRw0YDlPt1xjfOnXlgdsuJA2JBGQwL41OgCznx9QVC6eFdDq961wKJSTp
3Jtlq6oHUT6WTzF/mNWLtN+mWqCJyFIWgmvSVfCut+Pmf3MVaKriCGXC8mZI5liP6TBAN6cLeHPD
s6XajsV5lcw9zl11LAnKMIudGiZtVKvbAnqtINxhvsDpvyXhuEiv8bpa8rYB3gLECpoFrpTXB//b
T0ybyZ51rCbSoZBtgz5LxMCnDbkIoC+15yWGm7NfeaQ0wlEB5R3APE+ntGMqWFEBxT8wMyS5T8SW
7VxjW0+3cCJp/rt1Nw1uXC3+uXBenFtLXK8qwoZgowF+97TjOattFk8oPzM6Gn+xumnYjDoyamWR
6J7B6fRjSnv+RXEMttNUe9pyZUIZXl5+53PzO9P4sGlts7zLgYW7mUsduCWVPFUTW9LTPWfISISj
ksnQLfOdbvDIVVrmMQaatlGH25BqmzIwnML/fELkcNnr5j56GkCQWEeslOSO9n3cDkhngBC0CZAn
8tktWDpv+Z0Vsl/DRoDnXglJuLejdEc2Q8B3alQjVQZy07sscHdQLYC/nkbKwjn2+k6Td+Tbcck7
pNR0qCZjXLb+YvF820eihS4jwjpJ8sOGZllgFP6fp+d//Bz/M3kpb/+n/faf/4Wff5bV1KQgkpN+
/Od/d61onvL0qfjD65qXp+6P8vcfD+JJpK1If7b/dWzs33/8z9Mf0daffQVP4unkh7AQqZjuupdm
un9pu1y8jgKjOv4//7e//OPltZXHqXr5x99+ll0hjq0laVn87c9f7X7942/HufyPt83/+bvrJ44/
++8mObZSwAv/n9b+9ScvT634x98UYvwdrBl4pR8DS4gRHLEpw8vrr2zj79BWRbTp+GzB0/cYnCjK
RlD8ma793UbhB2Ly4OAFcut4CbZl9/o7Qv6uIuwLGItNQAlgwdz/NbyTNflrjf4oOn5bpoVo//G3
0ysfHYEXC33L8U2z7koQDtEcoKzu6+xOz3H35c1E/NnT/6Zl6TpBuEAVZoeW8eQHkGj0ULjorWta
uibTeRJQKQSSbHLtW9VQbnPNWEJvfjAhsopJ1dl6EWdxFoJod77CzYu35JRbC5b4UevHk/TNlRAD
fdtCty4LtT5SS+InabMQRPmoZeltUTKVjZOjZeE8Fj0gfipCXNnkPqyacfkBpcfNPBR2CYJfSMn4
qcnmwFLMhYfBR0OXTiV7ovZgWmMWdjyztkkhngY1W6Iq+Kjx47+/mfHZaVOztoE8NNoasnvzPm2S
7bpJka49UoyjI1QBvIG7cVucfussx5RcIyxbVQENlIVt0urXLSm6nwZLQYe4btiSYcZObzss7fKw
m4wdzsLHjNgrm5YM066HegCLODjBnW68LFmnXcWOspAS/mAlDckLJ8I2u2bCtFD9Z13hzZqQdefJ
K3DwzR6JLSsebaZjIVmBtyBI602FL+kwfTRsyTDTvs1as7SzMK3qm1jvky2pxiUdrY8aPzo8b0au
Gk5ZtRpI2Jtpyn/ODU92LdOXKng+al0yTDM3s7HsWwSGvs2Qalwqh/qo2eO/vxl0DOXGKQVFVTi0
VeE1Ws18c9bWnYOy010YjlXbBXZJMrJNkww6dAHGtSOXLLPPUGpYp00e9nbSevmYxv7gdPVulWG+
UqC8mRda5PGcDLgcHDfHgeKkUDtGhGhd45JpzpzPQ9LOeWgnKQ9MAhKtyUbmZ1Xrcj7W0ruOQy4Z
9wPbtx0QcQvYhA+2iqwmAbBiwQCcycNU7694nEOFuqgWCuY/alsyTMuYqerOQFGhPmdXZpw/gUTe
+LFuQiTDrC2nbcfBYCGzrOxHY6lt5rlts/Rm/2jskmXOXE3r1LRYGLcp+GlLcztpyrhZN3bJPvNy
6rRExcToeV4GMQEBZG+JlXeEzOzAoFAlCsZjEJRWnorYmt7/WjduyTrBa1wzmgoWtp3ZeqQzfxnx
EtbxowmXLs1CzEzJKYKkDuoZ+Fj9oBpbAmt/1LZkmlpMwJBogPcbuHWorTXtltv8/0ai928HX677
FL0tpqbBwLMBhZAGQWKKZXerJlwGDPUOLbhOMHCGZlWjOLSc365rWjLOYgSpjlOg6cYW9k4Y9oXa
jHa0rnHJOLN8ombTonGOPB2oGBpz5aglsxxbs2047rNwygcf0AmERm22RBL7wTZ5hW+9uR5aVjaT
alFsk1ox/Ra4tNByp8O6KZF82TxWqiLrOAstlptg8dfciXy3S7AXrfPeXoNXb0Zv26WoqIAyKp2h
JKd8pc1StuOjeZFMc7KVbowNtFwq04VIKg1aHEucPx+1LZlmRSjreht6NYwPz4rS7WNSLam5f9C2
rHRXqnY3jtSAgogxWvdMHQ8mSfQFgtCPGpcfmkWdpoYLva1Eo1dg6sC7Rx3adbeyKhmnqwuQzKWc
4jX40iQ7p1j3oFIlu2wNmtd9gnbjATJdLiiGkaVbtb/lOv9C5HhSahkNhyIcGGRlnZWOlczNqCem
xqY6p6EKPXrEz4rveNAuaXl8tIySWcaoXcgcQWiYiqwIHaUF4hwh8nVzIt2XhYI4Vaqh8Sr97tIq
pFRd5w7K4HxFrRhLDJNi940OUmqai3CBVq7c25JRqkwl1eCg9Tip9jCgO12U+io3Gdia07eJaIZE
6RQY5Zg84VLOvLgDVcCa+X5XZZM7qTZ0/LhTcoS4nUR8aRPXWWU774hihj7lup6gcVsQjxGA9Ne5
PkSWXumIjrcDsp2wG+GDOB08Bla2hNA6v8GB1z2db2QzTEF7zDd3atVjHDWfiasMq/bhOwFrxkaF
TYpOQ30Cb4s6JMyvxrRf5ScDYnw6dtL3XT86aL1Uh+s8G17qWbFW7hXJNlncxL1OcRQ2CkqWIBMc
ZnMbrwrTADZ8OnAzcYa+phYNrRp4IkdThQ+tYbrKPIl9XOo3N71wrUQILmBCVdxt4gyla8YAYNI6
I5KMX2+SLlEnTIyjVP5c3VrVt1UNO5LlN9yZRZJA0MtIFagLDYCZ9YPjrGzdOZ0UED1ULKMlzqxp
Ri4uBjvaKiecONJlnJRDMWQ1WmY1C6Zmm0OVd92MSNcxCv3doXbRMlegA0KN57FDfGxd25LdI98/
5crx1sxAKBbQiRR+Ny7l0z84VGQ0WFU7Rl6WgJmVHUhi+xk1UwDJrBy5ZPW0zS1OlRqNi306bXi/
yqkijn66Q2wdeZ9+7oDRK6d9ledX8xKH7kfTIZm7CsLI0XFhkCWSv1A1W+U+gBT2dMCFOXQtbRv4
Js64szRxCYrqYNXukBlJ3FoUDqU9bHG2LvhwZUxLOjgfzIUt2WE+GeowmrjMasrYPTXaQ9EVSzq/
HzUumeKI8rXMHrGEZW4+NM5VVcfrjg8ZGTuC1kk0Jq5JE0WwXVjQdZtOVsjVclNpmhZmCM7ln5M2
e/NsrHOMAWA63R8cYOhWHY/brlSacNbLGCRiS/RlH021ZC0GwHJTWRdoPCmqJ9uptD0ls9KuM3Jb
MpnctZqeuWi+q2dAgOkIeldwaa/b3ZLhVImAEmoJ/5VkTf11jlE7Fxl2BzalVe3LLLGJqmYKSyr4
Djm7y7TRY860Xde0ZD5lb9O8b7HDOde2FHBGPwWn4LpJl4nLy9rq7WY4mg/f2OZ0M43VAsDqg90i
6wdNzEAFqw7zMQpnmxVzvVEh+bAqmoQc+uk+z3jGWsvAOTgJvZoiG2VtqLNm3bhyM8opaRWHSj3O
lRWJbuwAoK7HbU7t8XbVkspiVakDmAwxCysaOsfyWS+cb9zsluB8H8y8TDzT8JmOWZdbUTEd2asy
atz2tRDrfB85LW1z7gpdMCsqM1SbF2rGrwadLEHVPhi7dfz3N45so/IJr2MsbKOY82WWd79YrS8p
Tn3UuHQ6dtVcGfoAYjhTeyQozNfGdRiDVzzJ22EDVa0P5vGu0KnrUyNufcvlS1x3Hw1bOhjtukyV
cUTj+VBuaXo1K+m615QlnYq5owuEkHFdZE57mzuKFll0WsLIfTBsIjn39jQD+VR0dti7ot93qlrs
a+TwwlUmRKRT0VKrJONitqKUNUnQgBp/N4HJZ2XrkleRFRrDJS2sKOkrvnEbMe9ikUzrpl2ukbXt
SoyaSHEDxUPvG3YyhdRi48qxy2ej4szT4DZWlLltt22SWYtGhFfWXaQy3TPEJ6ACXtRW5HQVv3ZJ
Ag3DiYmVY5cstCBxOsVxYkU061WPGG2+Uai2tN2Pj6i/IHn/yssQGXhVwMEoiIKji7OS/bTncb5l
rTF7ZV2zSKtSa93VJxcIWxkdRaXaJLLjRruE16R6cZrEwbqdLxltOVF9HKYSX+FaxR34AIwdBCKW
+MQ+sFqZfV4pFKNWbVxNnHUOeFGter5SBVFW3h7Hbt+c72obm8qkoHlH18qoVqDmyp1kHUgN1MGn
rdva5DhWilt7qOldrYBEsuqdYd3b6x1EyEDkkCW4VrOUpxdGS8ZtrFprHQ7pkEfNNXeLBHZFzLF+
JNCD/U3L1F7n5smqg2mfpPWYYGJG0fEgVu1y28HrW+f8yighV20NuzxaLXcmEY1A7nuNNVvrTksZ
KcQNSJ7QISZR0nV0M0IdIewdNVsXrpSpmE3g9Vhj4qQXLNOjtjcE6IP4yg1pSOEcaCyZtKMKxk7q
MRDqwC87i6wDrb1ThrGyum6ZzbFnSK9v4RY4/qxP2Tof+xVw/cZUx7m2WqdTYUxp291QkiTBDJXI
dSe9jBnipuEA6DRYEWSr72uFmBddYVrrnkwy5WOXZUWlD70VqaL8lbWVuzPEIrD9gxNShgwl3Mmp
Ojsk6nJiBYmRdRuqQHll1ekul+sZXZ3OmTVaEcrW6I/azI0Ns6t0VUqOyJihzGSNkXPDijThKBse
m/aFMqGCYN3gZehQQRW3YmaLt0HdTX7sGJOX2yNfZ6qv1UtvNmRsiSnXCpeAk5erPi8my3dmFq87
ZmQKxj6uKpACw1TNjCsPMYCmgVY5Ll85NZJX5tidOfYGtmSD1PYlK9LRVzmYnFftmteixDdTo+eu
4GMGa6pT3fJUnqGQwaHmgjkdx3jGb5LhQw7T05KDETDqKOqux7ZuLzMoQuyysnbWOTWvXGBvPmC0
KZ/jCkcZiEemb5WmNneQA5zShdn/6Auk2zWF0CUy8/iCxi2L6ybOCx9BLGz+2q7GhT4+OBdkznWQ
yDnYNBYBtfFo7VyqJN9wjQ8/V62wjCkq+rTQ8D8SWU6XbisttTet0FYGf2VUEbdZqiu9CWny2WGb
sTF55PZWvO4meS1OfbO4eoKB49ojkZOkNh4jsb0BLiBfl/t65VR503pOsg4PHWwdaioW5ED0NASY
W19nWXJBKKGqUgtzJtFkgSi3KFBEZWS1u7J1yR2GaAC12hkvQaVN+LZMwVwwk2pe52y/MjG/mRl6
rGNB0a8dTQRnJdCKzhY8AStTVTK6SBPxkCYMXp8qePVrrFDWOyTF9Lhuv0sWK0gW91oFr08Yuh7q
yuBuG5Ha6zxWueizV2scfAq8bSb6KQ8UZjcvFXj31iEAwSx0+hAZbasZyIT222nSTc+ZbXsT96ay
8qyRC3VHBYzWBSQvIsAxxFdHbdP9nJf9wnl/jHKcOe9lrBFQtH1qHXdla2Q9in2RI/Ndt3RvuJEa
QZy1s9chmZisMwIZgtQjQ8F0O7MjAwnboDWb6rocNLYu1iqjkPBom50iRqAoyeva05lJfZBBm+vc
WBmJZI2DNaoVnGSw8IKqJR0bD8gN82GVEajG6TYi2DCTOcKfatWhv0TeT0RzI9bBA8HJftq642pN
NibEiiwgZDS/aEpQh+AMMuJ1mS4ZkqQhLZ4nOHqimuvzl86Jzd+N66wMossMqCYgWlWvo3XA993Q
0atvKcmnVf4I+E1O5yYrjKHvoUoUDf04PvSFqd2YbZIvGNh5V8GUiYS4XuqZrYDcrNU1cduDpdK3
eV6uum7BuHA6dpDRKxBHayF/JoYy3sWOVj4IWIGyas9DluS0fXDaDpWqczciTed6oAzII2WCM7Vm
z0NX5rR1VpudY1alG7UtM655ztW922b2t3WtSxeumYHviFIHOnEtqvWUznYPSVMNqwJ/KHY+HXur
ot5S6ww3ss2a7aqJci+pxn7VSWa6kr0WcTl3jmK5UTxnQFYRg/+kiVG+rJsZ6cKdUNDg9p2OebeU
6QvQZoJ7DMjQ+3XNS1FLy6aZm9qTGymZXguoTedgLHRjd1oVnTNlKBH4ZduROmUcTcg7XJWZcD1V
bYx1W95xTheWGN0g9KKAIgzRxk2tDnFQErZEMPbBcSDDicqUuCUoq0F/lwnF67iqbCuRu+tmXqbY
S1sjzVEKHR+TjfnlIKhxAWyKWGeujmSuPEc9XJI1cUQrON6WahrXoujMddAzU4YVpTR2uUP7OKpL
VQ0VQ2FPvODiedWmlHUbG6Odkk4vlCgdgFW0eqZHpEeSbV3rkr3ao1vGiIZAftiFejNUfPOgGmj7
a13rkr3OVQbmOMGVKObTGHaOFm8GoWgrl1UyV14oDWtdiNElLXQXIUCT3dpGZvxcNXYZazSNZTYe
M0lRbuT6FdWU+hHv/yVFog/MScYbzSrlAoQYStTX/fhNH5PsIrbVeVUUCuJxp0eBabNKz7oqjop5
1qOhYtdpzMtVQShQE5w2HvNBq9tyiCObKFWoTWPsjTNdEmz7aGIkW417q6iUrFcisycVeOlUthn0
Zh32CNwGp2MHy0WXkJkokSjyZN7VeVU/GLFVrTyDZWxTwgXSgYmhRJqdGUCTDAOktvUuVdcZlC2Z
K7Oh1FCbGD9XhRUgPh1/Ncw0XWdQMropI10xthRHTTc19SWdJrYzk3HpxfbRykrmintatycwuUZ0
6vKdjmK8L5k18KXn5nH7vX8QQsbldGmrCs/AqRyUyKEdSSAsNKoblNB1UVZTkIZZpWXP/qqjwZJu
WiCZnZyboxJNLchRysTQUb0E9eR1rUvGm5aWmqfJjCPZGI0L1UxMr0EAYJ37J0OeUgC1XIUnyaYd
yGBeqAaxDiWiLs06x15GPVG3nMToqPVGdFocIR80bFnVrjwdZOiNUHSz5HbZbsosyYNu6jPIjpfp
/Hvd1Eu+sdkRmmqonN/Y7giNJUragNOMrXPQZLZZRifFSnWubMwO3iUYh4ZNzUDuuW7s0l0bUxdC
ngaJN2QCpSGCCIr1YvZNsioaBa6aU/NSUdFA20wk20xX1CKoCuTcrayBcO+q4ctInL6tyzJ2wMFh
V6bq9Xrf7UWVJet2pYzEmQ0XROyq3mzbTphKUOVJBaYSytfVXUPG9XR2sq4weNY59XbISONXDla1
ABnKuo0jY3Fq4lhqnCVkWzFQigCcADooA7r362ZeunHLrBuwL0dlm9bV12kgxUtuD+33dY1LF27j
9GzgKa92vWHmP4jGql+VKJaQodYrXvDMqS9TjGUd6N5Nvat2dBJGckkQioq1jS2gJlzsJ512iovq
oZapl9CCts2rbBgUZwNuwSl+gTqUesz+FaxJj3LUZQWVP6rMirhSTPCCgpc3mww7si2Fsue6GCbu
QVkSEl2eMnFLv6Bll1XcN+bYVSOW9kb2rIxGhaKz2bQG7bt9/JMRDmRaz/fWODX5RRG7Kb+yqc2K
C5I4VfK9K7q6A5F72Y7Ng1rXXQ45lUkIk3n4iDh5VvRBS2JwC+ol+6UMihhmf3S7MTnEkOyue8+E
2hE2XTk18U2pmWzcczHOVuO3Wu+IQDN5Ft9XPRgwrkBj7sxKwABIZfd23WUaBIzGRB3tYKom0nzJ
myanG5QcFNXOdTqHeInoeV8GvZrnHN9Pu7nezY3pomZAVWgN9ZfcKK6dUnPr1B8a0xL70u31mvvD
MDrOL25WWn1tU1Kr37jIe10Neo2neH2V4MmxQYWt0yTBx0IdECTJPdqs66CtQT3/POcqAePo4NQs
BeWxATI+yGyTUYcmoKvDVWwQ2on7KkziIS6v2VQIctckpEULDlEUnXg5EsxkChOwzpIb1hYZu3b1
uc+3Lt4mFT4oNsv/x9yXLUeOY0v+yv2AYRsWgiRe5oGMhZJSUkqpXF9ouYIkwBXg+vXjkX2vTYqK
VljWvEyXdVmbdVUiAAJn9eO+gO6MIu9co6gwD+VctSfqZH9u1mMuFmFv7cBNZ+LCA4jh3SoFcyZx
4KpW0LueV9WmOUQgvM8Vd4ut4wLQuTCPx7mq5wY1kFmAxNBF7WSHHUB7vJ8SzPstnN8spRlRViN0
cWuczXUoyiMoq4yySbdaD8JNax1lQZFAks9vv47cTtP7oWBR/r7LRDf2oB0AmQ4UzgI2g4nB44rn
V8HQiOBLYZkpfzkSemt5AEp9ZXU8QuwZpinIx3JOyxm7oselyqwBmTSoFyiJaR1i3X0tgQXDm5ia
IfpFrMp5CYLYLsPgYxcNtffJW90gwPqfr3z9Dg3Zxfvhk9BUOwxRgIo/L1tZ7Xk7dWBErRd9emBh
5/Juj2H1Rs47MOqPcr7xi4bT/lCC+9vVe0/mjpNEDDzP6l0YFdX0E8KQbniMKrUUducalwWJHtTn
YO6bcF9aF3Ux6Qmued+FhftOLc7oR1da1iocXkWXa1DrVuEbTMhb9hh1aKbSGHmjeaiCoLieqCZv
JZPG/9FMY6MT8Iet39lqS1D9LiE4hSDO8+RrOqkfKgi4f1ShzMM1VnzOu+x2No3TkLfRiz+BOdLP
pFafwHboN/rWX3PJimtQ5cyFSSbotOUfLayD3+z7cg6LfMeyYGquTamWsdsB76fKbuebJZg+Bh6x
60+PZ6p/b8ewlWXsclSoSTxw360POc3gjncGnoHWiZlCXa4xrIc3d3FD0MNsDyNAAj1LQzKCPuuI
OcrAZnEFSqPuF2bD2mWKFeheXAt8Olhfotj5S8TGOBzKsvsMtjhAIw4zgjkDlU426hGMyLUclIxX
z+8Ijn0BfxYYWPkiH3tWT8FnvnhOQUR3rHofv20aJ/+XcT1vHorcRt2nuakaCnbj2W+Hu4yUbP46
qbE04IFbSFscTSbGHvRWXQsaqpgMeVXQw6SCEBgEvfRcszd6hE4ZjY1fd3zc9VHGAVIwzLP00zxM
C9mHvg78X4OHJMxc2UbJxhxCjS7CgRJm+7tuLIe6iXUxj+sBjPZ++C4H7QP5hs86TFkczZEoqhiu
YZJvwQnIQkC5GgBe8O+E9Tx9K3nTK9zmcia0jz1Vz2w46q51Xge6Iqi03Qc597odA9k/uSKF7+Av
wmCMVOx1U/Zj0WbMH3RopuG+yTrBjjgb5X83kV9B4bmMRKTew9EPpY5NdFL9jHNb1dNV1PlrNwO0
HU0EqoJwpXj4zh9rNiXhYAb1HsqljUtJz+z0yZrJr72kE0Wup71xc+empJ1mMj4MHezMrS1zc2L9
IQVNoLhL9E6ZVUag/W4a+hDmvhvi2iwFg/q7P83mo5cNAQTGENuXaGH0GAgu25slbNdwP1Hbzjdo
I3qCxIzV0MQGJplCdzFDbcxEcUWapfomzOwXAmz0+YTiZN71flvGQw66IQ3qB5XfQ624h8nOstn/
CmYzU1e7dSwdBZ1yFfZtENcMf8ZHG4XSgg9Wl019zEmZ6+hY07GPyJ4qyFfcsKYmdrmfolFD4Fna
han1lq8rvlXcUWd6oBPcQjKya5hXldWuDvBxawi3npLr2K3cax9aF1nIR2Ewc2Hdfp1Q5Ktj1wtV
R/emm9TnzGsEQoK5d2z+SbH3NYuhmVKOP/xpkkC8zZbWoK/15tqlUEyeeKI8kk2g0F7cFD2SgWIw
QUlbQCodbSGk9L+KbB2X7tCiLSXfwwISVsSjX0jvQFgwDMGxD0AFXMZ1nbPl29KtbX+TMb2Q67IL
1+mpNqsdb32yNI4krtOF4IgtVhgBHbd4j2v+fp4sLkjCLPTa+wSsra5okmVm1fwBVr30vgzhEjIV
l6wCCEKVkuc/S2nq/qmPBt6oo9/wPAIZvAk6+UaQLlLQfBkaPdqkoG1TpEs9F0RCkIHW7Rh3HqzT
4+SFI0yy73d+/ZYHE5R5Mjm74GElmowKhCiFWMuEOadqm/Q4kyj2qOKAkCAkHaZE56rBzFJIGTfv
ZN3AlYMAORfuizdPo/rZlplvWwx7VNMAXl20+svPEmIYXRl7kyn5RzrKkoMzv2+QwMRZNKxeE885
CKro3q51q/HeFgSEIh6Nv5Q3Ihj74BGdXy7fFavojMOXYLRDETboihrlryjAnxesSrfXkZ+J8oNZ
B2hFhqxo2RL7NZ9pFxvZ0+B7IRTcQMyKwBQf1aKyXmHU10PsE0MYJOuuKgvNSag8cECnP1jTFQSU
7CPJPRxg4ByuVrYUoTqKAnEsSwpwgpawg6PwKIYXQDAzIILqkRbHRWXa7CrPB4sT1MtM3yDm8KMP
oO/29aFd6YmjrF7BP/dpabjWh7ljU68hMFHxDMy7srEP+CkCRg4iWZW9mUhj2dug8iMvloD90Tis
6gFctVI7apISxH7ZY5P5c39FZwM9+tXH90HAPTbyvQvzucfEo1XL52wNez3ES+7xysU0J41/6614
Ew9kgaQaj9tOrvpEPB8IU8DEGiex/aVRpYDXGOuqRkjiF77ec2lV+NNqUK+1cUuExD9flejepqKC
l/q4LlkYXs9l1IhPisKefF8bHNiD7p0Y7/Om4uPdDNRMfg2cVYhZPqTPU3Ttatu7X7Rd63EPAvRQ
DPE40LxJs5GXwyfdgtPjHQfiMX8cJ49DJaDBnPLyQRdWdyn6sflEYwjuhs2HnqBn+mOtIgrhUd6P
czDFDE3C6UnLjiGgH9XUiqulK6ciTCtVGsydFrk3VGBibgfxkw66FPCvWlUfJhgRnA8qcgX458ns
ZfgKeM9ddzOvlVm/EiADHxakWuJNOHg9ppvdQN7OzYDJCl70hYQOblGOVYIMqRe3npZaf2agrirv
oYIj2KEv8Q6/KtvhTSZaZFJg9AjiTxjQpP7PMWs8+bCAfmBG8jR5RKQ1AQvQFZrQkXtqDHP5t0X2
EbYPU6+X+3CqTYXXZhZX3ypvKYeYqXyqP/EZYWTcthB8uSpb1XZvepLP/DgOhdZPQrR5peNRL6xK
Tes3HayA5R8GQL3a+yEbR320pfO8Lh5JHXlPedsp9lMbNw1HeL5ujmug82gMtxjiVtKSQSXejSV5
0/tDJj/UEGX1YbMj0e5oMUTteyhLoh6JU17xCOwaOoyMDQFCsgfPTg6l50FnNTQ1Refp3RiNLnz0
lJ3ZdT8qP0zLdTIGg2azNHfcrHpVcbXC+jzNcplF0tT90MDbqAx65UFphxtCpjx4BElgNeokq0Pj
1D6i0eA/ogwn7KGcRw1LOPmgiTv4ayjIsbVVFO5Ja0dld5hQ9iGHzvK8foPgMxyvoSRLgz2kC5Q6
lBwv9Lpa6yDbCx9aQ0cWFrR7k42anJhOh6bQN0XlTwZAE2i/uyuyuCHaMeS75m4EssteDfmKHmuQ
mwYaNAN+YZCGtSqCuxnE/PxNRdAS2YnAK1v8WMw4hTFX0Upusj7QzXcVVJH9NIS0o/fUIIpGAoc5
nOBetVb3+x6M0OObYGJBe+VnnYPNp8NIrgq/p/MbjKeC3iIOSufLL7op2vkQgYC+ftJ4xWB1KFfa
HXuOpOY+GK3fIrSKyjAfUTFisro1umbr3RjgoGuTDN5MWHklFuV76w5YwaIuksxbQglKTxZA+fef
FTk2VXlRddRrSl9dzfCIoIapmg4QG/SNv/yzP39T2utYhnc19vmVmUl3g/Y6udN188+mC3yxqeyx
yg0h4qT1SjS5jSdLu6clarOHf/Tbt0OqoVj7ruYQcumCgl6z3JQfTxHzhUbXbw77M/Wf7ZSqmmiv
lqXQV6YxeVvu/WAFGST1++xKAOiE+SwwRaqdC5iHa79UAEkSEHb/LKRGrlU2StwVuEgQQWEIvSBo
4beyh0Ch3y8cjijCjN3OH6oI/4BtfZUdWdfINi51y8LYGABobz0Z1vZajQWF5PBk0RMj6wI+/dfP
7z+0NV4MyoaIFVU5T1cyRPpwGHvp5tRmdPrVEEf1Diz53aVe8H/o0GzHZudOc2+0i70aQarnXZui
gZb1jheUNDvZrCjDxCJbfbFDNcGLhiQHumSJgb+jnkBJbCXQWZd8snsqnNcfZpPZPpUVZ+JNMGae
TtoaY2EQTnHakwMKAr2p7V3BTICAzLl2iByomK1t+3ugEafhDkwxUNpCaBR11yfwWuPtwkwjq94X
pTdosTdzU4Y71ufLBIsJu8OOOlBsPo6qp9NT1Vj0NqD+OFb5HGcmA9sXslnk78ux44KiENOtyuYJ
yZau2bEJlEb7SnmzHa/9aJbjXRUFCmRjerJTXex+f9K/IsC/Lb4Dstb8cs+57Z+z5v/v+/Fn78CP
/1+3X1v7X4eh/gGG/Kbe/jvP2PL//6DHP92h/0yPn+SF+fknNf7pH/9vavwg+JdPQXIv+G/Fiv9m
xQdX/r98gNF8nwfoTdFTLfx/WPFp+C/8PzyMQHwfBAz/6B+s+MG/BIV+HFRsI59EDDDFv2DFf/4Y
UVKJAFCLggCK2xBt5luwOA8NLz06rzcULSIUIaMmMA+uj0z2ntWocbzPVdl8++Nk3v7blv3Jl78R
afitF0GhGHISwEbN8oVYVTELVWXKRNdhfK/ix49v7t49XJqoPDVJ/68ZfbnGpo8hl9FvA6Gjax1/
+vKk4jdZfKG3/BvQ/doSm+bpErRVt0osYfcPn26f3pa7t2vymUCB6sJ5nfzWawud9voHsrzzewNM
ORa6kTHdQc4bm0Gmf6FftREnfHFkW/eZsZySssFn0dm0a5tjWKFusuaHgLXoFkD6l1c7sLnJ8B1F
eZFUY+whLETNNXF6jbl/rSsZD+3wb+PyTFzjz+ty4Utu53v95X+OeT3c38vkeNfH8v9xiU3Y0y1E
jJBqi64hxponTy6+Y/Gl4z01n/74iCeVZmiyhCGDZkoAxamTq/rjI7YqW+dKhu6I5s209zSohIKC
87hTXvj29QtzutvbpQIo8gCMSmFFtlPFrZcx1Do7d0TdvXlSIrqu17lMJw/YnElOLna6u0SXsDEk
PkOniYQRHnQYCZiTTcMZVeMSk3SiSjtL7WElUxCLceh34OyrrytE7sfX98i353laEBWS3+IzQvi/
46g/zjPzQFXRM+RWXYWJOoZ2zd6v+yBphA53Qzt1O6277OjKXO5z14U3QvRtaukUJVqq7qC0m762
LYECpaN0SLK2jnamKOYiHop53XlzVj56yABiKyp5G2LiFmDBokmBYI0g9Ti6fYF69hVKldWNV+pu
74NAb4eRwu4gmI2SJQT3RaA5xf+qwBs+VuLw+hmcrsyf35n5AUapIPpHACePkMQ/v1KNA4tyNUh1
4G1ODtKcsjfU/v92FQCvKefQTkET0YfO0/NVFki/ZJqsHWZyKpZMIhsPvTdcQlm8+JySEsC7ZACl
3pM09CYzWHsgVVGD9A/Oyf5DG9WI2joxvRuCkF6ICs8sRSMIOUGvJoKb3ba4mc4q4GMz/7CosN5p
rPx+Qeqwj1Z/eHz9C51bSqJ4JoCshvvfNnWbaomaghP/sFIl9l0vyp2/1lBdPTGXvL7Ui8sgIYoF
twqirICiT7U5wJLVa5sVeXBAN0/sVzTpds54l2ZNt6aFcykJZoAorgLCky0ANbMD9I4mOaRhRtmv
uqVrnvTGL36ZTMKsrTZs30k7SnPBQp8u2Z9XHZKhHCpBAmSL0J7i2zFgwnKCwbAxOyqlGj8ORtN/
wizapA81KYqPToT95wKxFqqU1LJL/mFr3GDdEIoBKgKifEYhA/b8CVQVw/CDb02KHlunkhX1W5HO
tgnRr+g1eWSjVJdIsLcnDZUxdnpyiAAlB7Hn5ntG1dxXrvaC4whGmhRWV31qATJLbB9y9HfXZg+B
J3fhaWwvkS98CqeB/8CwMPli/q7KVjCoR02KeV/I3hPR3IJ4sbiA2Nq+it+rSESxJ40ygk0+P04a
ULXgATZp52x1Q6usiQMj3EHb+e/Y02Ae4Rmg6IwAm0F5iG2DBzUKwDojbCjo5bqbQuRQ4XqRd/DM
hlA7lDDFJEK1L9p8q7LpZswZ12061axBkAQViuKgpJ+zXdfBDl1A3b9cDj5dYG+U+8gbtjBtMIVk
s2bInifiG7QOeH4T8apI0FwwfzW6fjq/k2oW0hA8Pci9ba3KOniuyUWwpCTL+juRmf5IWjlfCKVf
Xjs8a8gIIqFB1Qbty+cXwoskUWFll5RWABK7qehTr6u//Z2BxFYEuu8hEnegboLtyLl1uGzSKydo
S9N1X07NUkO1Kx9+vb7MC1txWgZxkDyFJ8jtNnehiea586mZUkDY2H04dNkbRvruFsrHa2KXefn+
+nqb8Pj0hUSIr0MY/HSErPH52VFhWjUszZwGta8eAsw07CnXPbBCVbfr5KR3rnVsH5VZAJWBornw
6c7cxRCKhhArkAT543bgT8Nehjkbp9SKwttnbeEV8ZSTOTYgu3v/+lbPXJMQVx5PDCaRQD71+VYR
plemHukEBa1CQ1jZSJZItH0vVT/P7YkjBoGCLsHt3xJaZK3lZcnlkmIesP6KEw1tGtW2gJYiFmuu
Xt/VNh32EcXh9CIuT16VBlvrYYsBo7bceCn6KDw65OhGRm+Jp5oPtfK8OzR7K/u5rGT0NGVR9IjJ
QR6B3RNkz3EzGFlesM6/R7if+VqI5HHwNZEAEtb4pqfP8Edkreag9MuJkFThHEaUE+dRHr0Q1fMD
W6ErsescoEQQrEHQu4N5JxSC8cHYJj7QWOFRZ7OrMboTYv62AmTH7HK0OT5QVSxv2Vzzcvf6+b14
APi5IRy0gDJohCeweXAzBCiGiq9LWoY0/FFnHjkpUwwuyXsmbiamygMa3vZ2CKdwz8hyiaHohaM+
rQ8ZX9wYfL1gm9iFbmiFX3VLuvAui1kt/YSCrPzIq6r/hDHk4k2NvV+4NC+uKBZF5YZTKdAffUFw
vQ6rmzFKs6SnXtgXLUczJErbBs04WttL8PCzq1FIMCL8C6jcTgm2k577MRBLCmKE8SosQ1vEaLCF
CcsZuXD9zh1nxJEGIDgQ8Aibz4lnn02Dw+MzDl1tqC4VMNNLMaSyKaY9Osbzfg5DQMlfv0W/Q5vt
rYdlofDfTMJ4b2K8nPJ8De28pGvj+rhbczMcmePZW15Ek5+UpE7NMh7aNtQfCRqe9/4c7FXNdcKh
9AGprLG4pUhbML9jlGMXArMXXgXfG2EgCLUEQeFseypeEXpmgi5AumASN8lruzwBJ+NNsedcf8OJ
uZS5nPsMEkVBCHeC2Qt1i+dGIANHRQQCJZIKE5hEoxV923HbvG/9Tu2HHvAx0Ald4qE8uygMIYqb
PkHlc7MounGjJ3K2pp2ZDDAypd/vQbbUvWNFn4PLmEB2omwbfomo68z9RvGCo3yPGB9F2k3jCLAB
JFWuIGkxydYHQENab2+yMfoBXET/8fWbdmaT0PtGoAN9XsSLWy4mb5aZ0SE0gnNNPNwihw6LKILh
DtNq9R6/Y4jRNbd/G8id/BgiRoaIEZq92xHrYMRAHAdPWEpQF22hSed3XUKm8i8pIhEx/l4I1vh0
kBFc6POLA1ZrDjDmvKZViZlfJFQ6RbNvuPBcX4QCWCXAO8WmGFzmtsFDuiwEqWNDU7f2zbgT2VST
HQ0FgL2vf61tlff3fkKGchrBmCvyoo09qgNMmWTao2nXEzLv134Zuh3UK9WacHU6Poo68JN1yo92
04pmR9z2zKoESOYwT9xkSBiTVugiLaJC/N34179PGxE6VHJxeymezPPTzmRWtwCl07Q0USt3TanR
dw/8fL1UXjj3RP5caPNZkauabOFYCKKg9QmQ2nkkbufOPNK+A6vj66f+It2HifPhrgO4cwRh2wfZ
dW5oJl3D+nhemAC0631EI51d2Xmu3lXChvdFz/odOnIAhb2+9Jlwwge7Ugi2ZASZLxS0l2zSiwlh
CxZQBD4JaCaQpO/k/Ai/AKg3gDzkjfKy5ZpLAST3aID8e/0XnLnbSO+w94Di72ybqJx48jsZWJIG
VWlOpL/WTtfFYFv5V3MSvy8PbjbyT+TifiS2deJ6Acij1i5MiRL+zph23tnFVX/vupChIEKCbyWn
rs/zK2pP09xyzsI0E16A2n01zXI3TkX1HYYo14ldM//T6yd45rKGpzIRonfc2WBbG2a6AZgmN2Ha
ALG361Vo93wBshAp4CW2jTOOWcJLwtSdYuYXA6qIjCJqHPVRhnbuS6UVMIEy88ad7KqT9mcT9pcg
Ar/5cjahikTSwDj011GW3dZ9RdO3C6XKTwGj7sKDXcBDGOddpd/2NO9uIGTcPqpODb98xydAUNaC
PjSjCZoLkTf9PaW2/SVIcXFPRURx0hvjiCK8qMhaBunoBmis6xnRyMFR1z14RPnBHZjFeH0EQsmV
x2KQgCDpmYnvTkHv+8C0C0q8oHoU+wCS0R9KlaN3beFBmquiZEsfA+CaR/ux5O5DXRf9kBRFxoqd
Gv3SJKRes3cNo+YjkLLVHbBXtvvEV91zjETQ+b4KwqlNIovBwN2IwlZwzFWbtQcPGEqeLMzzp5tc
dw48jn4PmUY5LmGZiKiiP/p+dAB8e13zJgfdtgUunekPnZdXAA5WLgz3hbHNoxhGH5Bv65E1bq0N
x33DnP8dWhzTAmBjBlKHrqY4kmnx5KdBVuGcgHFU9zstRi8CeaeTU+JhhqFPKs2ze/SHxuax5Bgu
3YV8lGsMgFoDkrOys9DsRRII7bcuYtl+rf35C3W55+4hddzfjpPASEOQi/4LAIghfjFqXV9tBgj9
1VIVE3DOmB754MZ2eMLcUo0xFbvSJw74wc+lZ/53YLHK/kiNtz4E0oDRS88lQElrxuQCFiJkdgjD
Z8EfDA3AAT0uLHvoC+It0O5RwWPWivI0dKGy73mNqZF4LLP2zpFsDFPsaXzfDIPI7oNBwXuIoCTd
3jR9dTfUtLUJ6PQgQ97zCToKAMlWXyaClsSR28gA5Qvk4D7rpgGDGeOi0gF/ho4ranOaiIyI7wCN
TdhP19b1DabRSZ2E69zlsWo0WiKBPwB6nA34QQdbqag7FDWy0gcCVdEhruqOMtSTZzskkeEkuwKM
ehkTx8jE4pyP2iYQbGOp7tuGHGcGmoGkYZXlO9VBxTsGxo1/b4QSMtaUTmGiw36sriHeY77O1TB/
Rwi5Xi2hjoB1pqxvYsE6SAP20Zx9UxFpvvncVfTQ9IMhSZgRr943S4TBFEUCu9PW9ABwTxgtIBgR
SzXuGVB2xE1ABHmAqOCGzOizTWau/L2Ck/z1v0Y9T7MtOw73aU9/9ILqZ4y5k/bS0P8ZPy3h5wQN
kYlGKM08t+0lb2XnZdZPAfHr87gnptN7DdG/T70CPiZWoq/THsM8iGlHl11K/c94SowooYiMehsN
EQw+X77iXlZPpGWpg5m869Gx2FWAMl0wc2cCdmS9p/0hPUQbZ7PJeRkcb3jFUma9sVlixAfw/BEB
3jom8KCA5wGR/C0PF8BjXndk57wL3DP6YhyNXHjR5xv0h0adQgWWLqYEXLsuxHK0nKyPoo3CI7iq
Pr++3sutBoCDkFPdB9km23qWrM1qj+aTSNescjrOR48Uieymdrjx9CqC2LNinQ/56iH8fX3pl1cp
9FFDYRDjwgDbi34umk60wNDPicgHSH1oD4X8myo0KRMQwACvVTVhPewHBtsaAzEqL+WeZ8pwKNyi
VXdKWpCbbRMXt+SBvwRldRUUQa4gCBzlmH0tagB3uUKcvXdI6TBx5YHjJUUfoAXlhd9z8PZY4t77
pK71hSN5GcaglYeaFtACCIFxDZ5/fe0VHZ8NIIFdD9jsSV1Z3iyWiuuxL6Kvrx//y5uGtfCWJdps
oXzB6NOCMrluiNFXdcSHfc4LiHRTNtzm/gTqqWjML+zt5U1DzgLIAI4clWsQgj7f2zgWPkYU1yiN
ilIfgQiK4kCs1S0vF3oEBp3GmGCwF17ymQM9FQihvYU9Ao6xWZSTGdgMwWUKy23u4MiBZF6Cda8G
Qi7s76VpAtsjDAbuRACU/LZxgsGqIHTCyrQRLTt4/qCvXblc6pqf+WohmjOSoVyLTvY2/qIZRIeA
uAEoh5QeXEjmvbP5NO6LiUx4pTS/UEX4zQz7POBDJI9+GnqDeCqoxj//bOW88mlG1obaMGsMSl8R
zB/qGRzw/anjD1AsmoIrTBFaTM3SLMuOZU7zezv14dvCw7xNHE0zWovA33tP2RJatQMovjK3JfNr
EWMIbh2OthXuoQTWPbsL68X/7LJFvj9NV1wCUJy5DwACINtD6y4SdNvNLhaG0FK4LAW6eqbAgWRQ
PeMSFyhelJj131+/CPAf1C2w5KmU9/zwPBvJdgXyJ227IVriqK4rb4+qcf/km6r5O07rU3YHOM6p
IQmJSXayq89X6xbaeyGmK1NXWYSXagw+D0HVX8AanbnnWMWHq6ConsJXPV8Fk6AUyKklSxvMliMY
0ZgueU8wWhNdWOiMf4g4jo9E8BMng/h8IR36Yxf4bZauYRGuO4TLDNFfdJqwGioR9xhA3bfRnEOy
bq0uFQXOXZRTOQDpK6495mWeL25QLwaemGUp8VzxhIjIsU+6hB448zD69/S6KT63GEqDwHgihwVg
bFONVBiinOQ8eqnXg6Bs7EqMzEI0g1yNVBaH19c6Y0Bw8VHfRZ8XUcYL2M281tqni5cqI6udGZ3b
EcWmg+sxk4fnccEqnrH6aFYA94lKGhq+W6soiHMz6Lm8FK3x/J6Rrt9BusC8sdrUMUbsvKueVsGF
m/OyogOcCkr6cO8o55AtWZ0bczfDd3spw+wGiVVF8izRHbViPwTgsdsF1RTImBf19NXDhMKRWbv4
F9hGzu0cfT50ivBfH1XY5zdI13NQiWDwUhQuT8piTQZg2KjENB24GReyW6XCsHyULf271z/xuRcK
KXn/39UkYGeer4ynmI+DrbzUdGtwU5Wrlyiksxf2d26VCG8T/S+Eq2LbPsGwwCr6qMGX1UsexhP6
cHxXgyv6EonwuRsb/Q7Q0PpGg2KznWCUoJXMcmwnRDWplK5NZIFBVYWaa68wcfX66Z17jHgW4hQV
ofe8Xc7JojQtjyQQMdbf+byxaD+5IF7K8R88DvTQT71XwNJwVTZXBFQrC2GDydJBO8DDhqgcHsCu
5gPJWA0VEKl+i+2VnZR/bwRgTyX+grgqMBibhdcGV9+t2OOQOZeiLGvila7BezOiPoNia73/6zPF
WcLfgg+CsRdxrTAoqp+SydRQgUnSjELWNY84io8gvH99qTPXEk0WmFEChD2KnBvDjVZ+zanpJAhn
RHFnGHQlBzAPHl9f5cwlOYVgcLmALuLunx7/nx1zQAOmBpF8qrSZbyKM9e1VR9VPqUS9e32p30Tf
mwgMvkFioAAmLcJNeb4WMy3mQUwp01LaBnNnIzjeoTx3Sr4DhfEP3+yMy8CkoAag9Ow4xi0G7T/2
fFXHzHjRBfzHGbcMUglEAIDFwTNvS60GhY2qn0/+37YajcKoaUG60o/XCnW0pPCU2Rd9gIgPDq27
cBbnjp1zNAqAdEZuv7WpBeBjIehHshS9lr58A3JowKGi2gcqN4CG2yV58LPLIUeF2YEBf5GMF7xo
wY4kEC1CeOMqD2Ye7XAlprcTCGcuUXCeMXNSRIjq8XcfD+X0Y/64UlO2Sgz94zNjfCjAAOvsxYh4
eIw5wyW2hsgLD+VMURmRKTqDACkz/LWNhQNvnEwtnEytWcHhUjnGq2Rgub/ul4z03iGA6FB5gzK/
1cdK2bHZ5zX4gFAPnRdz4UH9Tra3txytbhFx3Co4lc2LKiff+iVG0VNbTpWfSBRhuuserBv5fd/0
KLdi/C7K9tnqjfPOM1rfjFU5/wyWYPiUgyDJxf+Hs/PasRtJ1vUTEaA3tySXYalkSlLJ3RBqqZW0
SW+ffn/U3sBRsXhqQT2Y0QDd6M7FNJGREb9BfsgWiGCkmca9oJXlRYUeeIfGkoG/O9oF8enlk3m0
Ylt28bs0v3Umn66YxHRsVtckvmJxhL69Z6Rf1TyvvoKXQ2VCZqOl39j/z88eTzE65dujgiftPhTA
t42tRCtdQAHr1FzMbtS+xlDw1RB0RYG1Up22+SaRZH5Yu877O3/o7YHhqgYtMq4OdXvn7q6Nwepy
b41zl7zKaL1gFnbmnPMZgN+N++l5EN8GMgE7ArMh2OwGSkD+Dr1wnWsjhItFXSGjoTdvyS0+P96M
wi0BYI1iC3vu6fqhdrmRfjtGyZPirK2jGZYtWG1wifON7X34QTyBID8BRwT4+HSoZKmGBJyycy1i
QDQe/IBrrY9D8PKGPPwg0ggKh1R1yMqejgLIVl27xXauidPKsPO0JmhH1YgcBXr4fxiKpzTFSG0D
JO1WSDcEHNV6otRPqAhcqS6n2kvmYF0q7b98FdIx9Jtcrr/9ppfwx7mMVOeK7+pnDbAQQOypu7h5
Pd242p4f6A1h5aiQWYB/UBF8On/oE6T5as8OwK6qj1JNume1zKdg9qQO18m4ZX95MB4gYsCcwACB
k+1rK3Fi6BJ0kXuVCGfeVQjlITqwdidpdGOg2dOtkH80Htkmh8rV+e+eByFzmZA49IQPJ1PfDbS6
H3i3Nd19XI7WDzWuMv3GS+xgR8KBALwJYG8jRO2OmECEIB+U2r0iDrH4KbILPh3834ptt7xAjoZi
4UgOSDW1Z3AuB4Et8GOGe13l6t4hrtKFtIDmUJpyvBGGD04zVUMO8pYCbSng032CCIZh91w6V2Ok
Stu3qFnNrTLd2PdHq/XHKL/v7z8SAkPLwPEunXvlaAC+9PSFnt8ywnBP++uMBNjp5SN9OB7wfJvw
QaF2Dw6YSN/Q7mtZq2qVSMBUqGag/OeLuZJn08zUv6+xuJRXAIJ7bAzKSbugqLijQ42vwjVnjMXJ
6bzhbAPIo8s132KTbCvyNLugCAz3FVqFTRV47xyA3ltHQoBTttWqetDXNKZykx2Zl2serJOhXmuX
7nMDUyG0slb/+fLUHuTwjA88gSoI4Dr6LU93TF+t2ETbzO3kZGZ9TTWR/+s162CGeeo6RVDqdle9
W5q8nS5uqzsNCZDRfUCpsbuDrr91m6cEsaeXf9ZBOkEsAOEJzwVM1T7nki3SJu1sONSdrKWGa15p
r7M2dr4PQ4PMEm1nr/NdYxx+aY1FC/jl0Y9OEV0uiC6U2GASbgf6j/1dbtDoxiPhtVulC+cCrUDV
1JTo5VGOwgKbCy0oeDzgQ3YxPRGOOacKbQcnb5Y37YAcSjYubujO9Y+XRzpIqDdyNjfVb8YS74Wn
H9RzpFYKPNixz/r4dpKANQKNPocdzLKwv5qyy9Bl8MQUqSqPbU+b6Pb2aAu8/DsO5lUHuuZuPT0e
FM+yNEyEINgs3hWxsvwNMp8ojKCr+/gfRuEyoVvlgS7cR/bWNnOklzTvisBMGv+ujoDCXtz+lnrE
Nmu7o7sB06FY0GXYyk1PZzUpxYarEPEVkkEVh0WHg27YFm3+qSjQl7ybsqJ5bWg9KnAvf+FBPNR5
3fN18Difdz6Wls67rAr2Z5Fr9z2zfYc2pnhtirYP5OLeMmA93D8b3hBoH7NK3/nplzoVEiNarlEl
MY3xa+7G9Wsb/Qh6JPQOsGidT1ZKjgrd1bt0eVaeJw31ub//aNoH7B/kARB22832jEDj2qV0sVCz
y7/OWdV5F9spM8+vJQn7ib+w5jcunoMjSgqOXAINd+7V/cVD2WMySo+Lzu2dIWjXJPUNlErOGXqb
/2EoxqJ0s4VhsuSnU2xYC5q1VsIdB5DhsUg989+O4Gz5SWmhiPryXB6EV7Cq/2+w7aD+EeAQS5ql
tfCKsYdENQOFLPzrsBZdNAMfk36yCu0dYA/X8SsQwvP15dGPwgDPja2xj7Sbuo9GOr1H01sU94oI
b/UG4bHpHqaAfiNlPlo73lBboNG3osz29//8xpx8oh4WwutitSfTSEUwL7Z5Spo6vjGdRx9EpZQW
MkDR56wZMxHrqhZkXfGQNVEer2noIs/zH0YBgrm9rrdG7jNQQJ/BsZO5fU3QALvgBFSFa9rUN/bh
AeXG1be2IGmxuoHudxuRAvZcr3ZpXyuMHODaad37xUDwmQNOTQ8h0KCOl+RS63MadnWs+shTOveA
x2hamoMSqgpyZY7TtG/KTFR+vGbWjZXd7V5o3/ROtvIGydnWsd/dZp1lVZkEYxg5zqx/mowiccNB
cXTjNaU2q4tSvRrtSGTo5YYGYLRbOOxd3N/Gp/NsEhDhmlHy2F3crAJcu7Svo3XIlbAbxiUC8Tyc
MFIqQ6rj6Smbe+PvmhrboKSHjqHCvti6ZLvwN6GqBFJurKJJqMbZQHLM9+bpFth5d2h+j0L7zdgQ
sgdNMYO2F33cWEaJhqBbntb1pTZ0cjxFGW9ttG2a/rg+/28siKrYShz0wnK8iQxVGWXUNQkKeEYb
N50PzKR8V0wAPM+1VaX3wm7HJRzZbfm9PldYmbWL00xwYDx5KxXfHePfP4idDyWT7qr+7PE0l4lA
2W/h48dZ/kC/sUefGTT+jYvscBhzQ5VvnL5nVYNh7sj3khKZv6ZrH8SUOxH0DiV8OcgeHBJKtRvX
nzAPkWgX/pq00NvZa2RkjYhyIw8LOjk0yiHT0K1OpjtzSajjZqOSXSqdB9aN1T34SNJnbmrIAOC4
9i8oD/SkULq1jebGNj4qVjXdafjw3pjKPVBqWzKqmyhvbNzqg9fTmkwAAso2EoqpPnoKYu11qzoX
pdW6oM5NJajBpQbjuPZnoNFeoOdz89FSyvwGfv3g4Hhc3Nt/KA0+6yOl4B5RaxRthIqnRCvPkp+R
qmt4o4jx8vLKHk0tlw3VR5VW4LOkJKvTddYyu4mG1U5OI55bIXvoFp7xWZCj0wjYa7ujmWN934ir
aiNWQFrkkYrgfoU2tGfxNZM3ckZxiFfPrm1274QeT+Jvtw4jU4/ccCI2/bJ9kxjlUFfNmiKL0sQT
740e/wALJdYbl8izWWQU4JpcIFRZqeDtLpHYa3uJF3EWdbazaTKvoy+X5tZZf75Bt2EsjT8Mg+Lq
Pq0rC5E26RinkRgbzjiqImPqW23p1W/GvJyQtkr6Vb2bJr0zzqM6pn3glpZUTsihrrnrm16W6Tce
nnt1JRtEO/ycTSGH6AOXchcbkJfpdCfpsgjBcmPm3kLo1F9MUS6+M7PhTmoZL1HdVqvjJ27m/TBM
ZOd8agNq9ipOUuW+znqUfdUWtLs/20b3VVsytT0D1Uw+di0etQECP+kthtGzQ8bvhjFGtQSE2aYU
+zSlM4dRIrJv5BF6x/OrzJZpNFcF2O+i9G5ct4dDkVxQAqIL/Sx+bfKDSO2seWSYeX5du0T38S5z
rulaPL58nI9G2oiebHoqQM/eNaKsalyc+oyDVtp+b7R9VMSz4Q+iuOXbuYfM/V54CFrwC1USYqLm
0wkcqQcK4Hl5tMhF/1mZsu5PU2l4j6g9e5h29EX5rWENvmUI12Z3Ng4Rrq8BSfzaJElbBE07mMhE
kfYMr616tB76oreUk1OkThXMuiv/QZvBRCe2m41PlQvTwdeLcsTCQiBjf/oPE0dZnK7PUeVMbzaR
2mzKImcC/ocIYuY3qBsEY/m3Cf7/zhvHF0DwRhzaJ1/gxxMJORLnrhR6zTos6X1ltH/no8NNyc7m
yoauuCEAed8/XZ2mS3qvcJwssjPPDbOkFZjyLvaNxOAo8G0YdeA/HgF+n9/DDFnHEve0yCoXKwTM
aZzp+v4l2GH7FiI4b1mAcoy1xxemSAQnFUjxaMp18Q7XyS4EclT+fRBnFDJjFGpcOO+7twrWT5PE
fI5R1KU9lWOcn+nCGDeyjIMTSosA3u3WEqHXvgs7rYL9VtbkxALZ4F7hbOR2jEVclOt5YbrZ+eV9
/SxzY+pgxiLtQ2JsavuHa14mo02xI4v0SS7XYXQl4tVFuUAK8tbPs5ZQclcz47taZLdwmtsOe5KS
b0PT47Z+h71nFa0uceyc6yqLKq81wtYQjeJXpbYaV9zHqtdaMk+fZK94v6gNOj8b1fr58qcfjb8V
RNF4gVJLd+bpCbBjC3fz1ssjVMkxkCHrc9s3Aka5G9loawuguU370CGBNJyIWLQSjdXNb3kwHqQ+
VP1JesgrNw7+LkoWPMANsA15lODycTFmnFyoH3ju+17L5Aesy1L9rjE79cbBPNhmNKO4mNllLMJ+
m9FumKgtWYD+4U8tQezKxvJToLVlICtr+PsLjkckgQYIIMPtEV4Q1zvsg6SMKgDouq/BO3vfuI34
ORuLfSulO5jRJ4PpT9c1R5LastqYF/uQo1DnIh5MF0z1u+xRydQvVWzdssDelUi3+EPDbcOtkkPy
gbs1HNJ+auDP55FFPXb08yKbPnaSWh78rlRFSE8R5XxDLmLfS/k96MbacFAWpziw7xtUnaoYIzzS
CF+Y9YEuCrpV6bygWzBC0bIlSsOQksI5szVA69UYZKJpT+SP7T/dIu0b9aKjSedihGQARlHzzB12
l92Tzp3uklhYGR+sjsPd7Ln1/SCSLIx5N50H2KnLjVEPrpctUJJWWyBByJ+eLjUd+VzaCjraMA7X
h75qDUgzivvPy4HiaHlBedM0oRhNI2EfkvUVvmJPIrMmrnKW8L7OvZc1H1pHtu9zSIj/4WxyRjiW
nBeO+m472T3peYdiU6QaKU2Lda5OlhgAgNjlrdbXURjY5g1U4vZq2N/P4NVn2tJlHtloxvhWM/9T
m9oaLBCnb9xrh0sF9WRDrFGj24eArEsVpYjh9CRDJu/xtJruYmprN6q9B9cZ5aQtiwaoBqBzt1Se
CijemXhoQRldx7cy7sTsz166NqeUnlcLx0kYeuhhoeTcyaRKfr28VfZqKtupRMaRSAApgNxq/2pY
zc5xupVUPpcuvA7AnsgJIWJvRArmBNMXQ0ud4rNsKkhTbo//A5ZkC70dv/ec6nFJM9sM4bG2XbBa
mSlPEpw60oa1h83byz/1YEH4pR5QAe6ALXo9PTsr2Fc0Pjg7XcerJi/S8hXFjRtH52gQ9jHwCWdL
aPaRcYzN1YCfKaLUteYLD5vct9alvlEPOTig29uSTQxNgVrpbtVl08uxp4keWdBt3mvYrLztrDn9
vtTQaBty9VvNuKMBCQUbOgvFhGf1CkdCZ0nKUURKVTVhn676pZ/F8tpVViy0gK68vFS/U8tdqrSV
4UHQ0zrfKrJP16rGVpPuxZhEfdlUD4aNGpWvT0uCjnst5AdtisfqtRurdhvl9GWv07CO6Lmb03Jn
Q5KHRz1Aww0lbzXrOz5xRnntM9xMQ7svR8NXl1zEQZ/J2QyGGWK5L1AFEifbS42cqrZrUIcRPUwd
WWaaEmCflWfcJ4WLVb1aVkhvZkp71+A31vvtDM08LDMEIh/hc1TOGVeI6v+U1/+/4sgHgYuCOAkF
99+GJ9jNSKVL0xVWJqJqMZfT5AJPAoFjhHHfLTfC8dFiI0dBLs6x3gpUTye/4G9NlFeVK3LySxRL
XX7s+6r4ZtapGqS5ov+X3UUtk7IJhBEu9t12jhv4PqWAMjFpgxOKyngj8IT0yQLHu3VVbiGGjs4o
DBhq/QSvDfP19PvWMldx7zBgaKhqF6aGJRDBXuWNyHy0YCDUUO9iLlHf2IUblf6OaDxbuWp6r363
xkZ71ZVt936Ccfnh5eNy9EF/DrUt6B/NuInACxvSU64dYNDAVPLy4lSpvPyHUYANUxQAQAxw4+ko
tr3OCUZfIhI4bvqI+NoX3P9uIewPLjRgFCjy2eQePDx301akyVzQJRVR7Bi023NNOeXtisjmMOp3
pd0mF+EWKsZvxLyXv+9o26NNDMLdBJv0DJU3qL1eTzEnbJiXFPVVkV/Q0tB8L+dzJ0Sdg5fH23b1
LsZRugSKzfXJY3S/61E5q3mHOklUmovyYGLneUYrPEWsGPwmVmDF1ZqWW/jNw0G3VipdIf5vX6Pq
6y4uMstNoklDWyKf1jEY2sSK3F53wrGy+qtHTfXGzXtwFBAZBGqub8VasFhPd47T2U2sKJ2I2Kna
mzq3ex67zvBJGT3j/PKkHg4FWgsdJ655jvjToYBD26NbcP/KNHXPgx0XSBOW4o3bjD//w0i88baO
MUDiPQ8qk15plXUtIug8zRBoaWHWNNiq8msJ6Hw6vTzaHiSy5VkWPWPSCioxCCHs2qLLLJK6z5Mk
6vphuMfXLD87kEmh2eJl96Gb3LQ+WeW6loGJTMM3CLjNfbOWt2WytofNfttSxqD5xWHZWsVPZ1jU
jdNUhUzAyTZGmGhNfgFWN5wnvYYoMHoKb8BmZCq0yg1cCzpaFw/tjek4OKtbdOCOwueRR5j+9Ee4
liUnazZE1OXD4M+Z8xPLls737NyisGL/pWzc78k3aIdR2QVlTWXv6XBFNZl6XG1Eza2+F1bzkF47
gX/Y5up1S5T0IJqzm+hzUUWmYL1vamDhC4aiqjG3LqcpMLSuvVtyVY1e3lBHB4UslfYhSPvn4nRL
2diDhQvpda5Rtw+tsbauSz546Er2qfH15cEOl4t3ECh4wDfP0sdkUu2q0iflmoxjYwWyr1i5WKML
klXaJqYGVu3vR0SmaBMN2Uo++5pybTozd0vL7dusrnmPUSmGYUMm4jeFYi99aBWl85dKAL93CYUR
WvjMK/nMLvY0NfLGLmKNUZZmHMPS9IKKp/x/uDZIy8grqDw8r2PHOGPS2iMVb6UyAMSwoeZcWjih
Z3c0+lcbKhlWn5FYN67/gw2ztZqRONgUvp5lhd5EcSmRKtvSyrS7JKnSU25Mjh8DG7ixeHuUzDaT
6IJu3DeaoDzVtv30R0KDV926eNmYRmMCifeCq2ffhCWejWswTHqrfIonq7HPSLWU6VXaFj62sexQ
KtHXWGl95DPdDyqqHirmD0Z1zYdyfMQWMrPPmRVb6o3E4Whm/vy1u4jY4hRYIDmdRhXAkdBcxgTU
bq/7ANb/kjn6vxMDJlJHwQMs1P7hV3QZXQ561NR/1vGjOq8Vbn20jg2la94iEGGGqF8PN1Z+y/d3
Ef+3HqzLMx+E4L5ZLcehbaqWnMGRXvbQT9ri24jHBMPGzHftQgmBi5pfWR580tG+evjrowwqB6Dg
VmvcrsGnm2GsErufUAyLbF0aMhRtQePUtfpSv4hZx0RzUZ3h1hvoIA3leQAUiUSXV8n+HV+WCybV
w5BEnqKnr7Sh6s4wuHOMpAuNTUSJVQNg+zUGGHpDeeNoN5GckSXRc6FIvvvcWdRZriNLHSl1bL+t
HLWm4YcAlp61zo2FPQjLBGQbMUlIpiCFdjmFs9jdvJZbLwSVDlL6xtAupZ3rF7umcinUZr1xUo5m
Faw0r6JNpgIZ7KdLiXxzZoCUzqJEjOLz1OU1gKsmO7WWtjh3aTd4uJMSF8683pXyxuC//+27fQwX
gESbNx+Q4n2pyhq0mK52w8wOSTaE+ogpeIjOuJrcGZ0zt4hqVYge48ybhEbPk5cuSKLqfmu48i2a
F9OjaJUK9S+hd/LtzMVsBTUej3eOMfT5Qxyn/QN+ou1rPeYfC+rardczrp2VvHEiDjIEhwSBAgni
LM/L73ObNGbWUB1p6mx+C4Rfw/MSS+7zywfvaBgkD7f3CQ2jZ1WmLJvzVBmLJJLYwt67A9JA0nSS
G6Mc7HeQ5KgqsgVV0sld9LTRmRrsyS6j2jLHNTRE7ZW+h6iaib2v0X17+Zv0gy3oqoh8oY+7uTTt
m2Cjs9GXt2ZJjOacOMcdBj8+CC39Q1qa0xDYSY1uHdu01y+LvqD5mZNfjH6PYnTxrdStbD3zHWkR
Ltky/DRid10Dc9bb4upgEzIEc4lSsz94btxdqlXMD5Mc1OmtqSZi+tDbtsgDUzpjG2AYIJS7hsXk
xhqH4pUpBvkASBkHnpc/+mCKISxhwwH0jiLLPpg1aJoNzmCUZMuyXIO4GaeLIcykjoaMP28kKL9l
43fnDAYC4B/6fJiM7IdbC9mPYGeZ4nTU3GDI+kILhlJt0TWzYKsj2t6X33qgyfW9apYSs1iBXYNv
C9RYA3Clmwv02GoD9XlDS/xpLeu/ZJRvFym5BUhPGg70svbvYKlq5TqPSxHJzGX91Xo4K/PS4Wle
mDei7NHsb6YyPH+Zlmfdjd6sEmzr2yKyEGA5D0Xb/4hLePuDvspff7/QEPxwZ9i6q/Q5nsZXsXW3
63gsIrWv3POSG3bYK6kb2Ln8+PJIR8eI+wmAHOVZ2OTG05GmOB/ytSuLiGrMt6JM3ZNnL66Prtj6
YHrTGFSZlYeTVmc3nhIHQQl1Zsre9B4Bwe2Tkbi3hFpazGZV9fUJsVfn9QL46+/7t2Q7W5MA6vNz
7mnRmdh8th3bQ6TFdc1xSE3m1XmtDJp9A2Wxxbf9aaEARN4GMGDTLHs6kynKmSV2fHyQK5K7pJxk
0Nq8yNJh0biAlCQoarV6fHn5DvakBwKCHQIc4TneOe5RWrDQAYjSpe0AQ3Xxq0ybvuHTnt74vION
grvQxukixwBHuv2SP1L5PtUxk9e0PJpmZVwjT6/a4i4hmNYBmndr+3rNqnl+gwu5bn+A9a3Ht8KR
/XyCt24MQZkL5jnsoV/aUhUo3kWZaqY/YoWaPUytJPuo2QWO0p1jlx+tZKVSi+J1Zr9Xltrb9Hxb
Fx84y0zf6j0MucuIMcUrMF7QNupJCNNHNr7sTy+vy8Fm4NFDY5IbESGafVEpdcxxyHK6aTUp2aXU
Z9uv1HxFW85Yg6Ikv48x6biRcR4uESBNXpPUl+gyPF0it64mNcZPORowCf2qeVXxuFRy4l1uJpes
6/P7kvnlelOtG0WIo6oWGQanmOuYF/N+aKpHi4QnkUe6sySQ5MraTX2tQrY1KBA8x3XE1YsiHNaq
lgFG6poRzLVraH4/Nsr7l+f+6ExAAdig4ySHzyROe2nwdnYsfNV7u0GkkEfJl1SYjX4GIt3PN1b6
II55Ft5E/LNU0qDRPJ10XtllUtVcQED/HGgOHXq/enxLRObom8h3qUbQiuQtsQsugnyFwiFe8TDM
nAdAtAZeX4s8Ce7FGx90dMxIRiloY6K2lUSfftCM8n2j9HYRmVaM4X1ZOmlgzInzec6nxKBfMMjH
v10wDZoKTXzqO7SV91fBimTS1HroeOpFq1EINfGKCz2j7i2/WiFavjzaQVGCTJjuJ4Xlzf9lT0yR
JmVAJSaOuKPbVMFQZZ2gP2jln6Ds8ZIxy85tgl6kbf3gVVMi/Dj2gI8vraUsF5uLGCZ8I8b4hHJi
hmNkY07y1Ei9x+TVMhrzrxcERX2bjiFZB9z//esObTOIFhMITgv0ETzy2bqz8hrSkavnb3uvX2+M
Zz2LswDL6U5ucpHg2vdcZ/B0NXWXKoviNjMC0o42yNwVOqqBMvSNtXhekthKX1uBlGIUNI/t7/9x
q4i+se1R64uIoLJ0YTKMU3y1k5HH8kyc+ogLuP41LrqmuqxOmw7BAl1j9o3WyYSvyqZGcaEvE/sV
qPT5rpiF9xMQUzv4rTer8BjENIlQBfMwhWM2cRvf+P1bffrppU/RFSLYxgXjK/Zr46yxUTsNAKrU
0dp3MeW2f6aYvM43F321gza2zH95OKI+tJYeEQhRxOxDmeflcm/LIpv9BD5NeiPpeX6CYYCyvwHG
UHhDkejppDKfg+Z121WtVfVHLVVs35g87zSWo/ZYD/PnlyfhYLitcr/5jXIvP098sG+aijEtoibm
PYIgvHgzZCuAJs+mqGOu2S3WzPPLlaNLVrzpLB1gZTKTEK/kFtiftE/fTwmY7FlFwGRZTfcSl8tw
dU0nu5H/PI/zYJod3s/0FDmM++ctbIAKDls+RjWOkrh1YqLcSt25cZFyxLbayW5L0TLlUUuWA39u
X322yzRWx7zwok60Bl7OsFjEG7k41slD9jHxywnqYDAls/NV6yfU7RJr7pxw6ppx8UtXGX/CW5f6
Rkuzv/To9L6t4yIp31hNNyO4p5Vjcw+rpO+CSc5LRZu5TQSQHl10l3iJnQmD434e3+E6j6MP6q6S
t3AeF/2rdVDLNjAqx/uObrjyxWys8l3JLYtqk6XHX1whkhVjSNKqENih8gtZzxYhpXWs3mil6L8v
y1yU9946zz8sbRwzqBHWKAMjh9cR8ClJ4WdaDycawFj3aTvCiQ8Ft7HOTW8lS7B6zpK/k2ZTfFRl
mX9xMr36gnMNMviJXnSf0LZVMdNL13X1i3aaUPMf4jz/t1CapIoGakOK73pFMvm1VRf9hymWfVn4
cCNz8zJNNq0TD52T+rtIDWqEy9JY7xW1cv/BZaixTil5+HTR08ZGo0nL+/Y+V2iV3pfQpUQ4WHOR
vxpKZVFfARo3jH/GwksVH5vLaf1BRMv7wGoKHbi6tso4SL2leI1uhMKN17a19q6QcYNVihKLEbbI
7Kk/0cT3JPzfZjJeZ0ZFb9YfgWTphGZHkUUbuV0OMPWn7iaDHYDDkjP5rmH9pLMg7Vc84JdLvqxN
hzQh5bTrTMVpvBbuWPxMYn34QsOYTKUEzvA4qLWmXmfcG0YflOUkw6xf9NmXfe0I/Fx6rw4oh01N
AIBI/HJlbZgBfMds9QdZFt+qRUyNb5diomnRYHqX1bFWgAgrk8+NFdcNFLO2+Nq3qVkEutuRky9c
dh4YN4B7Jzygy8YHzaMhZLYWQHWKVnpgrhaj/BmL1ksCTQPsARxfLCIEp4ZhLeXe+RMsW+0NaUz/
FRBRL09J3eXtaSzE1Pqt7o4DFgtxXASu11fIKVlr94szboUj8IqHpfNk6qdLb98rcnCB2jk0HssK
Fn/ASyQPsESwh2D0kvRB6VoHUlKHlbLvmM3wKs9czF74X/tJNHnxKrNwzlBkWf+zGHbpXfR80eqw
U1W3CLwpdh7SvrIzX5H6OAds/zzzuR5Uw29Xy/lXG434y6oLcVdlczqfYNUUNV65hVGEvco9c580
jQ65JK/Nu4R6dYVJ0dS9GlLMD/zcEfGDtqrpF48rtAiWKRUfqjzOPqpWs35LlAyLOStNtCXI9Fj8
MNMpUfxUH4sU86yyEr6y9PNmG+EgslJr/fzJ0BvjnVcXxoDuj8g/zcjJP3rCHKZgbRb7zVCCLA2T
1J1+VKay6P4wVtQvW7xbExhcA55fTVdnItCcMlXDpBqXwfeqdVT464N3ytyhjYNxrbK3+aoKjS9L
nSYLh66ymtBYunT5AW2Po9x5qZWEFf2/4qr0jXmPypfydo0TLywbRdZ+VQ3T4gM7NNegH6H/hhXN
vdIvbekGZdFN7xXEW7pw6Sf9rSmMgj8sidV5vbplMK+TlQSlN8gvad4Wv/JagZXuYZXM6uI43bML
pXzXLE3iBBbGdp8TUaBd2swCPwHsDDggY4uFYoAAVfNPbunV5McEszLsGsqH5z6x7U+2mk2/Otst
PhlyyOdTb4/4wnmdnbyzasUWF/DkEIEW2QwiTIrWwjqFiqURkvDjIdKgoNH5k1D0i9nlJQ7iFU0k
fxRd+xorDmwthricHmNdp/glTfJmv3Iy40eqpiI5LW2zdOc8X1xKO3RfvhqrzJLQpVSGeTrCAI+d
ksRDUKa29Zn6XtufMkXgfAEvc/2l0OfdaGyzuyIzqiyfq3mSLUaeSnltTR7VwdTkWubTy1Py0GbP
eL6m1PIdHLfsCwALMGBj14+zj35y/02IuFnwgqnU7zbl2c8FWIvGTzo9/1ZYi92chFkQHrC9N2Lf
SRkryFKcBvggaVkIkaf1L8yI7DZssSUpT+OIvSBiN2rxFi1g+YAmeD8H/ZwkfUB+bnyCyU0NUk0H
t36Me9VGatAc5fd1A5hwHDUsTFaBCspZd2ojNDUMScK80Xt00Zxk/lTD0iE1tWbFOgkycURf8NYY
QqdtV81fW72Zuf+0ebjYcl2dk4uFERgcRwG+AE411n3TrJcIeTArvnRVvTH+HDNlUvSZin9g5bmu
BLLWtRKTW0X/RHkACwNATAD0hqoyfmKD672GfQTd0FnguPhNWQ0yrM1ieTDmsb638qRzfIRNADdx
ReZvF71dHs0qXx+romGvijm1f7kxedypQsGiIXbkyKFk+aByU24WK+bcxIbv1QNqleqiSmYmK83i
3mhGM0rFkHzHQ7uf/SlLsIBCTLd57Ewjyc/ZCMllpMxf3aV1sja0f0wkMupO+97kAjPRsebfMCh6
lxLmB1WcZOtMv+oRYXq/gthDNbnsCINqV3mvITnEIlyGxblouuyawIgtWwa1lfT/WjIuLH+tMRU8
Z0vvlJwy4f2CxN0uviSaKP5acVsGJTDABMWFtCl8etDlryG1x5XcIsE/xqoKc/E1YAV9oIlWFL42
Se9tIpLublQXaw6wqS1b3zSa7Asuncm/Va1PYxg7pbtQ1VbsB2GoFeffUkxJx6mwSDC6eASgxMWa
N6yzbw6ye7u6+tBhW+Rq72MFOty5I/ZHgz3HXjiXMclxzU2kUytcBhc4deq4dAcnbl3bjtvPulkh
QFTOIv/YLqtXnGQFANYfU8V9W6M3MIbOHLMnK4ylu2sOW+1fQyryXa5IPC6s0iynQLhunQdT5iGk
tuRb1KKLsTzMokrta6Zn6WuMTHooJmm74TmsdnyX69JeLggertqZKKG+cwelnUkKtOVUDWXtveEJ
nz14CzjcU2s2ThmikgLUbVE2uAT3DVJUNEyK+qSmatH7tVC5doRhozJdYJmT3iuKqCt016qiDibI
FtyPyGlwRIn2/8q1z94hg8jrX0N0vA4GCmf6de3l/NPTBnHpbGl5nJd+/ljZS/UqWYz+o6qWXINq
J+k/yKbD17XSibBBA3Zq8ktT5fJX8lwtrq4D7sBuJ/tr4WacMHVtjbs4K92eL6D06cctQTnAEBo3
MFNJxsoX+v9wdGbdcSJLEP5FnMO+vALdrV0aSbZkvXBsy4JiqwKKKuDX30/3ZV5mxu6mi6zMiMgI
Gd8zy4ktTzCwV2XYBqt7Ojrp+8XWTNTFOdiiqESkg4yox53B5xXJ0kdEQC0+H1WDNaBj92rk+DXO
3YIpxZCraTH8S2GyR9nD23HPJMRVVTaz9mI06Dn8WU/j1c519U/50SrYzKeJRU45tFHeLz5npdrX
7nPls1V57zfeyzCo+ocTrdl7srhc8nVPTV9bXD4vtmmq+TwfelgxC/O9GYRaObKYly12OPCjA4US
j/LdZC7pwD3kwFW4zw1BqpsIXgcCjwLmD4/8ZiIT0TRm6+yNZ3dyQgTdERqNElaDGBoXN/HHMD0S
BtwQphgtUtSonAmrn3O1+w1ZF1A1Opforr673YS8SSeOuj+rPx7z1Rg2zvMwuKLNF4TqP7xvgUgR
zYdhQoiRj+eoI/wr0hhwmttn0YmcO2l9yYSa3KLTqflYXK++axJeu6Kbg366Yk722oKVCm4Sh2Gn
oz0cQjKIMMDKu7Txbsj88uxlQHa35H1q11dsUiI+tRuR8xTssfvRqba9sTGJg8WYKEla5KS2twnR
ns4bb4ltnrEqvhUNfso6R39fqaLqbNecvJVGvMhGJpuSo+ph94z69m/ThQa320wkbc4t47j3noMQ
5JbhAE9vn0g1RinjD8+TEHLJ5dj7f1k7j2hBsnE41cmkhpNtRw5ZKPRucww/pqcaSaPMcR6o/gSr
p38eapi3cqP5GHlO35PAPGzDXJq90wDnKflmeQVpifpmmsTL0h7ZI8wN9/8R77M9L7RJ4bePef1X
T0H1G9rTG4oonVxTxFWo+Gt9sT9IeKTPOYzosBs3fh4clnPzEdekh1q5ELD7GG2/e5uFPCaPPegi
lGqx5U7n9Ycg1PmNLHgyeiz9yLtzeLjWBRn+6dW2pt9Feth13tG9/B56w9fzl92ALrMH8FDBx9iz
7/TiLyPa9tWrnmSLJek5ouGg5o5pwkw2b5uQIlxtER/YWg/Tlp4ZY1iAmKpA36NoiMiSHVX/N0jl
/DesM26NPrQkuU3Ngl+Rbp3wPVyZzYpwS+w7Ay2FjIKFTjKlPN919RCKYveEafDSR1nC8xmwFNFH
v39EWzwR5GoOZsvIP4IPFkXpfBxh9Ea+XNbP7C8Z+S4qYT+jdUDK0Q6MTjniFOeRjj1ifF2nvrqY
afDwRF71xs/cR5M4BYrs73IAbtDcitv+axBdBbyezK6Dm3La3lTZKKk2c7f/cWwtbqVP4th/o4cU
SDpD/JMAxro7K7tnLCNIlQW3qTsJVaZEsF3SatYdrva1QsDi7UZdBoM9Q77Ne1DTZ1dyRHbir0zO
Q+jzWg8bcX9V/A0YYz09FWJO5n/Ej6ddbvdDMAOC/fXkElfOx+GQqZvHSIO6khpdPWxTIL7iWIdt
GS1O/2x8V4xkh0byVg5ZQuM+xe5UsFfg3wUsbAC0LRr1nKV7fEn3eJ2LxdrNLZCEYM9nnW79/Pab
MtTTQxI9gnXN1dhmk5fTWs0/6nRPtyJpcaDInXl2fvdcGn+qLZYfXVAfWW77bKX2E+zHRBzTdXnh
5pHvtConK4gbWN5III1EPjvbnJy59/eX1pXiNzKZ6T/8l4YPgnw98r+MN+kiw0Ouzpd4V9wYw7jK
ojmGhPI/IAfGx3sKGY67JsTGcdYPgeDvzcVYmc9NdUPP1H3YCh8BMhFzjPn3qHCnzT71/LvnXjiZ
c4lxAv1VDUP2TIZbm5WVg/CKN2GauZlDAPz8/ytC3w5m2zUpe0dDBPYaIAdLDzyvrR3Fj47e95IN
afZhjxjr5iYb24h6p0nFU6rK/uH5MxE41qCqP2UzLvZnfBHStgjShoJKKuvwRtfo3dkxPdY8VJG3
lCrxluUs3Sn9vVXt/hFaX99EXosYZ6rj/ZNyzVlJdcRfmA3rSJVEMVjnHhDAJxn26eOaHBM5vnEr
/tAfZWFO8N54w1KG/k6dXVEcgAdM1XWjDnCkZXIPe2kz2wLZuy23R3zMScZAGwyXlsl8u5qVaRyW
4iPHOzVLv9yjW9nJgtQpwcC8sEBQo1Pz67fTOvf54o8911mw2/TWUdb9sTbz+sjKN83QEQ7NHU0z
49re9DX5KNFihnw3PoCdOJyAvhClX583SprlNER+/Z876P5q9H35bI9lcUovG8csr7x0k6WtmkTl
R2rsiEFEmoqiaXbejpWVCuAy4++nNGz6P4fxsg/X0XNbNFPmQchOR7bmJt39OlcpIHmxrip4DVwj
P1qiXVtex9RawOdFudfMjaulY7WzKGo9u17RACyT+YjF5ktNhAXnwkzNg+tkPQnUPVZBZxYTYTvY
g4ye2yb2xrL31wP5IgDXnodejOFJm2zyMyagZslrjGK567N0+dm1W/Vst6CqSkgG/9/Ct3noMp99
wsTr0/82oTc+49B+byP7yUeFJGvIu5ahLF8qQO08nLP6NzGja10MclLcMHWTTifF1P7PD2zalFpJ
ybWiDSnHkQpYC5UIix+qYOBOnQBolrP3vWF3o4/JPBIuOjToAXX2pOJ5pUATDgqwkcyBLh3Q1vF0
RJJk+w3G28vd4fBv5CrjkA9cxe94ubDNlvZm+M8JveYer+ktBtHb5Fuyr0tYuLHYXm3r1zyveo9v
nFk6yQ3y49SDWFrrreCST+KbKpi3L4U3W1cq9HNfKtyBZWoSNDNopYzCOet+/VSRXed8151/R2e2
rxf8mH0aRQHGg0+p2h5n2tiPMYuxx00g439kR7s2DOTf7qV0/+mHGrP+1QwTTUu1KbbgWCRhFusO
aZ6yTJJMIfGy9E7hQAQrK1WJ+wIh6MzX43feVp5VfvzQR1Vwk/Di+nlq6vVjq6PhDx2c/xUMO1xA
I0LjFFYFGPmoKukaOrbDmy/VKNxbdkjVjLC6kluZ2lr9FgEWhFBoWb1g4kCU8kkf9fzTgLX5NO91
p070AkCLyXqIBbPHZvrq3cld4ICq4a8hMNjLezBbEr2JtOHNO7bhiUy65guFDjO2P63m9fCW7XEP
G/uL8xE8xxjm/2lAOYkEXVCH5h5O/B8DfhH3dS1rH/NAU//e6RjTYm53eMAsYRjLj86Xb7U146+j
89x3Qx7qy4xX0LszLHN8segHH9nXT34LUVfqpJa9a8sJBG4sD8fbLujSUBXSZPr/DlTgvxZMjN77
cRu2AqsjBlc6Vf9z2MH5S5ykSDB0V16SNQ06jPNcr3uNQzJ1T51fISoJuf/dPGv0kuX70GdzEbnb
tl2yGYSFtkXqnxDX/n9tkskXrDPlrTeJpLvSg+s2ZYc3SFhYLpMt1w05lfC73rHkuw3r18qZvmNA
Er99s1njUDY36wYnKefo3+gkO3AqlM/7IVaCQ5peqBBou3PVCc7H3qjYbjhjuon+6dV+M1HU6iC5
EMpj0pxzieSZb4fVwL66dxQiypuoZAXzqjzzhZSQquKSTOQVkEvSOfO8vtk+jvnrrpKNeUEz5VwH
irjZfJfwiLnKCHfOaT3Mx8TWwJiz9kL4JGrReM57WIExn5QI13LVVJh8QIAtoExWDlZQ+/2/BYAB
PNtzEWPOS4BrNtpCrwj1GjA+NzPruKyJUBonp2ckPhSuKnkEULiXEvSUrHGS1Z7Wbqp4HnaIJXeu
zLKibqf5xvrYu/ERW9OWQ1IH9/00ZHHRN537s9rm+Aur2PFlrA09hu44nytK3xmcMJIh5WlxsjLo
+/HN15a0tE0k4odZAxP8sLMNnyekZGo8pwrS+w3Oevm3Tr5DjV/SNZAMzdx10SUWrbrv/GxlnpmG
+c4T6DmusNsxw2k3svpYqR3XdIbbcG4VGoqij7X8DEXVHidZ9emcE9gB9Nw5Q8boLM36A6fpBpSV
mt1cTKLX+0xrdsFFUpuvZrLfExsD4n/R3qmnXXjJiNPBHFia/3a4t8rznzqzueI0saAl8lQu+1c7
xMGtbJL9NVJe9zZwSqPySCb7tG/B/Fu2U/xzhGgHQRMx4+b4HWHXI7eWd8kypiQSt71lrJx8mmcz
eC2QkDERswSFVEwPCnR19q56iTd2BwgT7RGp9JG7S6LjpyDxhxiwYCa2F1ZgTOhy2p3O3UUY3J2a
2auYubxA3KipB312xzoZcyfdPLecqa8/WjL1nlKQU9oNpDj/LCZAb2u3OO8zn8UjHz6rdnihxWM9
kWn9M9FBCL3CiBwUKA7aGw2mpcpmUd84IFWGWGa/l2xh+XY6tRUfB1Zji29YjRjDs9uwIPTZe2wr
kzg9rxrXucrQyWQ0lDhyMdFTHJChYc+bY7lcPURb6G6F2YfsZbTTNl35xL3vFxJZWibbbnDVlW8Z
4k6RP2zm1Adj/TY66GSBL2Ygnf6wTVy4MovastmbQ9+6cd1Wpy04kqwcxzjVuVhUYkv5HV1LW6LH
ZzY29hZifp+QYieWB9Fls30BiJBL0Wa9m342bh/BCqbN7N4sq4evb8Lt2RSLCmjPdEpuJS8TbfoF
Yui48peVwWGK1TSU0zBMO/gpqxunwBtdBkBRu7hxZTsCj7Psvc17CpLMIN3kjnvz9yoF/B+/08NP
KgwG9xQTSPPTJKvOShskmg3mGCoLJ31rj0d+vgnn+RjGrdQmVbdc2sO7mW1AfEw//e24wZorgzK3
OxMmPrTneJqyx8EsQ1fysgAhtH4yNYwZcUdarse2aC7WiAZRALCr8/f16F3XVsjkvmVQ+Fv14fHV
Tyb4JTUBJGXbe+OYb7izyIKAGooREmPvKxpDOpscOEzHFy9Rvn7aI7Ee74Ae23J/AIHHp5A2psmr
3tb/2OKr94sHdTfcDkcKLEO2STL8lHiQ+mdvwgqjBBQMp2ukxW19NsncyIdwV9WW1/ZIxmsLnD4z
iYZ7UvBe0ASDRov9ZgjCxXunbDHRZIotBJELO69x3gvu4IfN7UX05GQYnwS5k+2bPrE82r/SVVXx
tQ+MXz/Gk2Gw69Jo98vBlcenFECBv9fv5c2L5qBpXnkX4q4RrncKKHntSRA0ExRGN31F1R2Jz57S
emU25fxApXoWEzdRhUbzX8oqvMGNKta3RIL48of1m3T72/bOShImzNVCVnS88rzw0N4e8F5dKW3S
beeCmTUI7pNtw7KcaXfoCtYjWoB0axucQytu/PivjCOVXYDyh7ro0wV+pInqzJzgJrKfzZ45aAGn
w/8b7OGyPWN/vqwnabsug1Ud9XJvQ4NvQZOFk3vpG8yp7zGYdbyL0wpIPWem9J6pc9PXFjizeyYS
CdsGDRd67g/Pfqq6BQfpqn2zNC+Z92X4w80dENzUnQNATP0Dn7Gxz7tldba7JmpNUBA2BtEF5bgH
BV96Mu/Y86x33kip/eQiSW0B0zR6T041pUHRpCpznkIaNoU5w7Gah6yyKZQk77v9z5PrbO/BppPw
3cMAJDkt2xLCrMjdtzftnlp9z5n3dMFUqfDl1LwAZSjZis+NWSL3rwevPZepAIq/Dmzfq2tgXNwE
0NtzaWj2DxbqFJfD1Rxp1ZRRLAiT8VfkQzmbKrv/2gMHLTm5L3h2dy7QeTHtchvvx2Sh9vfMrUtp
5xFB+oZXzZD36qBSI4xwb13PtIBMIpj3wldhphmFMES9yQDaPg+1wymjRV/0iUG1Cs71VOH8V1Mf
zN2YTZwbKO1jKzWtjnxpv5cluJsENjjbumH6LOMu7PiYa0VeNhqAeCsqqc2H3x2GyCwWoY+cA6Zj
wj2TVp8X0myYGjK3r0/+aEZdzGG7duXiQwWdKhzl/LLR4bS/dengu5CT4Rq/RovykpsMLpWhEB/D
InBGPnjdjvrHPG0VGy0SMXthWCrdikWr7ShFb0xMj75rvd0s1Sz2cjtC0Z7YovH5WvHB/kzjzDiR
Z3aMnvnDuRAlX+7nou3ilYdeM+ws4PE/mZyWB0yP6v1q5mX/GYuO+b7pbereuc1GzrHKLJ1EZOkv
Yegc2romrgd109aae7BrnCMuUXwcsN06CdReAJtOwU3m6PAlZJxFbddqDO1ywMluZEyo1uOn3F0C
13GOTyvohBGmV2ZrVZ1d44bqB8TDwg9j2qG+BbiA9V+E1mDK8Fnxqd8ahIfozBao67r3zE9g96Y+
HxtpWZB1UTyVKmVRmFyaVG8P45o49xFyivQa+CBWuaNc4d1GYB0/uI0qU2pwBeo7GNKLz1MAiQu7
cL/TCULDot+DDNzVHxSAnDdUzVkndUwuuWB4vCGXEwvgsRPeM0AsE4W/Ey4LXoQBfc4v0X40oSeP
UtpDVMUQH2ohZE6GomxH5Dq/1DDQ6AawUW2eBP3YX81SLO5j1rEyeR6IvHHvXeztKNgGhAAKE1qE
JodNABKS8FZtcamE7OpP6TayRLbOC5s8TduD6XoIfZ2HgMzT5T/Cvzv3jeTLpoH7NZCzJ9VWjLkh
QuvoRcXCNeVq8BP+bHWVTnADlM2edhy4BizW5ZxPLjPXJZxBKB8O32tF6aBzDU46spm+GutwWc8Z
csDmhaCTme6BJbjxvDkYhytCWOWVtYt+HbCfviVQMJ1LX+gDEhFZRxk0XjTeJUEr1TWX2oCwcBMg
IkIv8IKzCMx2xsRjeAfequJCTGnV5GkVrV/4ySD3CTvXTLeqnvFgMmx+fCrlLY8WruudVXbSp4FJ
XHB/rffgDDLs+NcCBKh5TeuMwAe7hMlU+qp1KqyD6IA3PI/huBATBOdxxCnwFasaFOqJDMZ/7bps
x81IDbQnx4oU0QcV73qsFCyN5W3zn5FbSOkWQwfa/U/2REpeWDDthmKGtk5Kf0xic55CWHm2yDZn
nWSeHG0n4tx1jVH3NS7iBndiEJk7JK7CnONWTh+cVDo6vAIFQGLmjrhl4ORZURDrui4W/2AfvzfH
/MbwMJjHOcqaO5aI5/rSzLsJzhJMGFDAdNC0S3Z4I6qaMahK5XddnM9Wp4h54hkMcJncMMkjltCG
fHMCey+g6LOLsNSSwltgCIto2Pz9yp9mhrfVWcR6HrtJXTTaqroI+uBo7nw4soFoKBaEr1L8sBDd
7mO3lySlrqqQ/u4dpa4juRZQClzQ3OoigMYOV6fYo6S+39QU4Js+2hQgL+uaB41iE+FQs0Z8MeEd
p1h4Orjs2Tj/ase5fjAsKSN9EXxuD//f4XwwNv1smil+2PncY5FV6cqwXQv5Zrfe/43nQfccRr36
qCtvQGhhjvB4+hbapPdeYMBYkSoteNaAcasCLEoeucUw9iPo/KQ7z32HTMtFX3g5Nmf85wne6HO/
VXo8j7OIogtvoU5PfpOY/oxDBGIoLfddXXwn7rZLjHJgKRZRJ9GZxZ+lejUrQ3E5h+H3RTBq940/
zJvvNI2p99sqnUUXKR3PL2Vjj+as0njJznvrHep5rYz4EbYh76wgr55ck2wBqdjC4ANaB71Wiz3Y
i94BBk9bbaOPuWZVJJ8Y5OCEaU5416lIPxewtaaomnn6smHoDqWAA3oA+euQz8Q6ecICYEbEkEam
PcOib7xCfkNyghtIga5Iru6IKWAdg4AP7vijkVv2o91j9YU6OOzvw90ViJQHNhx8I/uhSGQDlha5
QrG7NvHJXnQ0yeYKiZbk7jcg1K9r8k1O0FGv/8V22v94aG4GTCVTZtPUkdMnRFwr7oJRc9FXcbyE
t8Gul+XdootMzlXnL+FlbigsN/soJ3FhMU9s5bQEBm2MbwdWTSsGmBboaLteRaJfsODlbDpOrD4G
dtb+WBTW/zkZjs3FWGMmw6tI6NFVu2ELUMaJVfZHUI8GHVWwiv2q2R0jL46ZtmezWZgfQH3MXzRM
fFb66Q5HVDu9BpZrBJkASjHGItqw+3KFYGm1Jf+r+8QqEaiYZGUR/1DmWkITGfv+SZNukFB7Auk8
1xy9v8Rgz3Ue+Nvhg1aabbpG3MdDoIFQ+TKO+3AOGu0RyU1i9y/mCKQBgGX78HOV2nJzr4bLaE0l
7HXODojEB1n5S3NaAVvb+0624mdju74rJ5l57qlL1lm+J1M1xvxoAWxJ0MGPXbmeDi0OQoP7R1cW
gQ6i++hAOmXNn0U7B64Jk1j1FYogohEI56mIiLKGWpD4XfToJs1sP/tpBUtZA2i4wroLm8L96DQS
Jdcci3MTtnjIZnjr4cIXKPXT+jhan2c7z/aKYtQFJ/7Zw48wqo3cxx7neZkGbdk7Fce717TVeMHJ
F48z5HmhPlUcVOBdFPU/2r52k/sprmo0CbX26tPWaLByN3Pim91ZFaBQk0w9XM383ZlifhkVURIh
DKlZMAdErd0K5RFEy3g99hnubWZM661E49Y0yEkUcJVRtT7ySqWggJ5MnJ/7ODAx8bh+uU66AG0p
1sVg8KF5y8000EFoKl3EDpRmJ99qfuXyWPtkvhKQ6L9JEgImS8CIDf1b3dFhiGZ6NUZk5nprNu9f
vDRxdZrBuf9rjwUxEXdkwwaFSuJvGnJYT6xfx6yObE1YwhtGrxOymfjE6kL1D89BNDjfZjlPR+wP
7SWrBje5oW6arqTNDnzuBjUx+UaHi1aIub0517SL6SXih/9yeV4Tfa1OxKVHkNz/XmYc8XN6Dbjn
XCSjfwX8X9+wAe+s1+y0Zd233uVQRTxszPE+UOP0LGNQ89wfU8C8pU297Za62doiylR6Sr93xHIN
c+BdRRi0DhcGooatvprM0RsUyt2G+DJaWEBPQNTOnPCxu/cQkg68gaAZJxbzqxui2ub7RvPzn494
dV8gycwzUSbZx4zSAjwfRyDpgkO7HB4Eie6XmDOnyzUEZlNC+HjBucs2SAzQ9h7l1wbgvU5ifk5s
6Nqy4mGzurmOKs01AjmLQHmx/gl0vYPc84SPThwsXtx2ZJfMrMV5uoawB796Twjhce5EQAdQZhN0
bxESg2sLv/Gd4z+0GSBseqqyuLS9G933aL2a513yidtcH8OyFqhPxH2vN298DA47Q+Yte5NdAkeI
b8f8xXt22bfEhM8R/vbflMmaJWFX6X+bJK7ndgPrlY/0IiT4wRBXNMKjK90LFCt9SBjryX8CgZL6
5DAxK6pr2r7JxXZhHlR+NL8e4Lz0UV0NBlzRQjhv3jQ55m7vPVi4gyWS6AGYqzdnUgOi8Icj+yMo
kW9tQMSxCNLv6cSyo4E4qSkXOlqRd7bVDo9JZU8tgxkwNQSoe4VwOfsVoPJuz3oNOTdZ1m9IFoNg
/7uabOcO7CYo5hrFzHdSuq6/HDVn5rkmHYgKWBFD+hQ26Y5aFFDIPh3Baj4QznYz0lUUevlkyBW6
hBrR06nWGdF6wbEvSyG3xDwda+sbOthK/tJ0QDV7JtL5tSuHLrGPfLaXsmAw9jVl30P/jQF/kYyH
VrMEIw+1vRwEhLhPGmAIaYS/huF0JazhgqpRvv3nJ3sYgndE2dvo9e7vKZuTn0Sz6fV7vpt+DTUx
5i9+1SIS9w9Cxe6sq+r+aTuCb2QqFel08ZHXouUN0AwXyofU/e8QIEh38zxN2Z2nEniEUJvuJWKf
NH5w9Oq3F1qfyj/5HYQJiUSZccCznGpmoo1rsd21EbjTyZID/zfjqjXF0ihFqV6kO54H7m124T1v
AePH5+2xRXs45LFQKzKLkQn4aQcokiWeXmOV02kM+hyqozc58tcZF8wIeh+F5LdrAQOXoWtRh89v
r1Mkejo8Kl0kRJkBeUl/DYqa545F1TpZSXcRp6pwKbjfvSv7gaXc4bgB8NFK3lS8glmxC7DKopuG
VNK/qGkssDvmE6aZcuevY2sDv/nWQa/7aSa03i884O9forO9zdn1DPzTmjRJeL/Mkt8xXDBpvse/
Aqm0yny1vPZgscd5J4vk+zRmgG9sYLR9ccTL2J9DJCk7ksvvsQbHDrRP3NdcgiaO3j0FoFTQ4nrD
pXMWNd9a04lXb1bDUpil3Z1y3VDjwrwGaJNDcOrHg6QN55xGwRCcRlXX6sZ6U9vchqkydKqBQYvJ
o6H/HIXdH0bMEbDymnqJiypxdC3T5jIu9NzZfsPeR9u/s9lMxNrRrM9T0CAT2ialftso6b/gHNNX
UmiAvle/QmZ/+Me970bdY8+G85MdpZ5PG4wESs519597GmG4bWjt59BwCcFdYnVEb2RJ/Kt6H5mz
uy7mbMclyO6AI72kXNNm+eBtmLhKGf2hwD1LeoOkC/01pMawFLHPyN52giG/6i3z61Mrlm4rEMAt
6iprpuBrcJCxnuIe8QQTZOoLLHKnVsXwzt32Z0Xq/7Yt3BHf3HW8nMNj6txHb6fOF9AV/nwdiLU6
Lh3S9F+ooVh28PchffUSHc+PCjGeBqpKPAu+klbycU13ivSSGuzqzJZGvxvRtckFiANWTNaLuAmS
PWN5Aaf6/opLXSMxTWr3lETJPJzQriKSW9i1vD3UARPR4hXZ3AzE5f4n9SJJhJQIl/yp4kvtwlY0
MtINb9JkoMoGs1x+mcHx3XPStNR3BnaKLB+S6agTfTz99rhQfmxNvMxFgw1OcHKjJkivBkGDf2Lr
KVR0OWOEB1RVy4T9FoWCrI3t8Hfr0/Vt351pvXES1153ujbhs/IitYd5Naz+Z50ksGjh6AP5WzzD
fpnDB+2b8Gh2zgflq0RO3o7s4KopOx9rxPgFUrs1w9lzNk+wsGDXp8Zxxk/8PRiHd9edP6ToW3lG
mIU6uTUGIF+OSkZ06aP7RlDa0ryydWN/MKewQbele1buB7cnGonAZZdm5jbeadj/9OFsibeXK+WM
YEDEWG6QInYemDAfWhSWP7AQgFwLp2b6m6BM03naZeo2CaQMT2m1guUQ0ChuQT44RfjbbkuRNn70
sXl1+3MXqUjyBXqkyecdUQeb1uIwedg3AtXVN1V4l5I0s528aqG7TLSHLpwVa4QbNnB8AJRlx+tL
45vxGh5DDUuBKuJvsrLbfJ0Ye7A17R7xfE58ZOFF5W7BdAlo1qpvFj8ThYG2OE1OQw+GX738K3gd
mxs9sqQGlOj7fenYgDK7OjIEreILtXfDAIGBbn9CSYJ+ELn86DMWnPoldZaTyurtAZ8kG/85eJK4
qtA3urcqCQd2otrVN+dGZGtwim2wd1d9soUTzyuiUvRHr9nvMQ0heww3uNXnG+0kx8GF+QCSV/ID
py1WvPgpAlHChH7Li5Sb/XEVOqscnXgvHg536aeTE6couehLwpCHS9gruvTJVOt5ZjVmuUodIHaI
2wON7Kw9ztyC0nUpyQ+RGfqaHUGvoAlnTa8mNOyEf7ePkKXRDx0z3H2S6KUuk0bXyV0c7N6fYMOp
GB7V2PACrrTtl0VkVv3ulmTxC2FQxN98a8NUSQgGEAgIX2rK2KnZ6aLBSNOrxbNte39MnvzLiLw/
U9U6cWFvRtw7S7yqi91qEd0iCc9eMaMSf0e97liaoWkOEQGPM2FfchQNYz2G3fmQGC5oNFSjYDZB
ZFqwWsDyEWRtDcYkGRbP+KMR3jeJgAsa2V10XGxrdPjEGpUnzpWv2ztMlw99Wmh4u4eFOeM8rgEu
W5kzzdRM4cxfRPaE7Q0yQ/OehZV4CP/H2XntuM1kW/iFDgGSRVaRt8pSR7dDt31DOBZzzk9/PvoA
B7ZaaOH3pIvxjClRFfZeewX6DVpmnbQ/tTTVSykQWd17/lAXh7k223cqHUXy2QSHmD/Ouh8ygkYn
3bJG0YxsclX1PoVCoppjrBU3DEeg9XG08Lhdp07KWUfJz+HLPdjhIkrv1OA9a+XO3hg6x9igTMif
gK+jX4XRG99LSHt0dx2zQ4iCXfbVyHLqRJIAq/nAhEhGWzdME4qoeAy3dhQvAy5vCc7MqGlva3CF
fFOZkHJRsovE2SaWMlww+1l9y8eQUZ3VowuihqmSeTPmaEq3qYpgD/aYromDNOCL7ONutj+rDv7U
xoKGne5NqYJvcuCj1l3Q4W/E9O0BjQjEqm6EBLN438DcabN8ao8uyPcukdNYwW9gLWXI3/L6OYx7
wz5AWsRvsBbuMO4roM+KQyHzvqIYFu8gU9jfONt7uTCnEr0Da6zC91ZodiVMfm7q9l2YDAXzGzil
wTbOxmngEnKj5GDZ2qbalhMtJqT2vNgYgOMvRRU63V5MNFxMsHSR3YU2kSko+YKiezRDt2w2fTX1
t0mf5LBLoULSQAnmfnfILAoTEmw0M+rPREmOpNNG3XgwLNDtFQCrdbDLVJqwuka0PEg0mniD/U9+
48Z55TyQMBHWO2ksYEzT+9EjHyj/AquY97OamYpRtU1WCLCQ27p8L4KRkUc39y2kXgzs0cAMxdSc
YlX42dY34aMlqOtg3mNN7u0548z+YITQVaFC+A2nI1j5B+joE1W0W9n6Ttdd3t4P/jx3qB7VDFfB
RPzA4KJF4dJ0COv3WR0E6okPlQPfItQJ1kNgio9EQLvRurQiml4Vhn4A9S7nMPZDCIKT2SEy7yEL
3Aa24apdjsThJklY9O+UiU/SgW4dOj6dFpQ5WVlG8JImYwccmhfDLxfawXyk+arHvcFQV5wgx1Nu
yjwRO4jtKQspjpK7rrAGuKgw4j+glYLrxTot0idKUP87BMcElbDSXbVGwGXTt2IHGn6QVai/wipS
067EuNOlnyCJD32Wo+xdlf1uPvHFE+w7IPfv9lDWwwr2bHwHUlRHJ3Idsn49ZknzayRQOd4DCcHy
r7AIZAFVOb92RPk+70y3K+dTwVbWm9SJosdIZzF6DMVW/sTtnMP8hweg70K40d4JGnkkNl2C+BRq
JEPbTTC11U2WijhYg+N5zxUWU8kepSD1TJclcXlUtZWEJ8uOCrI0KTGQ4zBgwitTgwqudMCUe12n
TlM+D0XCLrPtGAtLzNEIPXBzs223gN1e+gAtF299OU5oUSa71A8ExRXcun06bpkBOME2iwcQ7tIQ
3sdcw2bim05DcMcmg1CxtHTvTe1Y3SGdPSqXQHkcEdJFliSR9nqbxmq4+n1RFvK2GxUiAwUYwOFr
DepuSOT8EpEHzf8OTN5fZyJg5uYn5HIjOOqnx4zn8FbQJURs4JJ+BBw6J88dsoC7FeRsDNtMoALc
5pZjmJywoHurroZXtZbadpI95JvE29mRlzn70WBUigNXXu9NL4JMWzWTiA6ODCJn10ehWNhibvzQ
tkNQwGhLZPkwZ3WUv2P/FvIYWMYwHpFNABqnTvcQKnSz66IMe+ihvEQqcsyqbLO0ujv8gEbv5Jd1
fq8n5OtHf8JjBLJLMtNJRJMH1yWIf83oWusjw02aKIApPzIfM8P1yhWGaonDaovndJO1oVtsaoao
35qMwf1WNUZRrysFkkSJNet3DSqA8WvVCmIuIiq2ZBtABZH7smfYdSj7WlE5Eobwiwx3EKhYkca0
MaUd5/u+c/rhsbWKRCLlS6dPasC1n0fIzEOeIOobrxi1uTdbWK6rbtZMJzB44GDPNepE0KiKmydL
IL6sxkRafNAgZuwBRJdCTjYN+cMPla7X2h7DaO3VU2VtMwysj6PP8bmGW4mpqUu1XHN/jXXzsen1
LBlTkaVUUDQ5CLJ0N31sksB7p5nwWJQOEPg3ptMG8dqChgS7uQgROeeYNaPhSN1mWLmBqr4yCWFo
7+e+oJN1QoiFvJwI5IK6MDlAHbeSrS3UDGAjOydiCIaEeItZjlY7q2YEcJwgzgBd5ZBNKcESswES
hEy3qdQQGes4abjbAnweneM4Qx8/uGPm/WDygPQKUCjWWzFWo9jORTZ9ZBczTUR6Oa08ayqsvchx
nsU+oXc+VLANi9vCH6b2pCu3/8QGX/L4+k5vM78ofohWTL8g50boxSpjggHmUTzLDn4nl4aH2qmM
s2hr+kXLvBsJnb83xmau16MOgnlbC0EXxXJ/LGBE/WKE7m9g/C3KI/Dp+mWe+jnmw0lq4YF2AyFJ
r6sHZlQV5eEIw+VI5T541OV17a2KYObUEz6GDmuENnmxJbLDhe2yNDybMcQEnqz1Znrufbd9Lyqr
+TxmajqQfV1Epwq0+kbhi7ZIVgekNimxKbB2FW7/IFtBfFvBeHuxw9rLKS0Lq4R0zcHNklfVuMXB
KgDXJFxFHbzB8JLNJEKEQP6Az0boQXXYl9D6MHAwKg8+gqfzR2LBqs+Y24ZP0ZQYn60uZ7yTKW6T
W5ywUrEFruzdNTR371bFI7IR8nUcaE8mEX4iUdAjssAeDssMlMkeFHvQdfh0d40zlt9Mwo6HbTc6
2A5gn4BCXHmFlvuRtA4fXBCC0VM7SZ8Gj7tnRbPkf2pg3kWoZIJOYioUuB9cuMvxHixh/KCyuXqW
TkLIlLCK8GvLqTduU1Dob5UBv2sFpViPezzoza8sCXxCaVNM+iI1jA/YSTiLP97sOqSG1Emybfyu
aR5JdamhUIvZ+i6rOacbYRqXbwqFd/ZGz6p8H+H1I7ZV2enHCMOoH1zmSm6MLp1s2mlLwKPN0/Rb
zrxuhHBeKfqaeXDg1ImEwVbdF5CHZkExP5coVGHCeol7UDbN2TqEZQ+EZOO4vJI1bhRr2wqZazij
9nGkiDAvahnTdPtEF33ANT/IF8+0BtQsInMftNL0Qlbsi5c+UDbT/0KN7+Io1emNhLbyS6o+emmM
kr2csbd+A6Vzt8HfLlNrjJDCT6oo4v5QRTPqDKWVfzB8YQ/3qMFI9er9sYM9aUdiOnkSjinFYw8m
UiQklq6SdpSfp2GEJTB2fhvsE6bSNxYSvWhXkpViUho1C3iM/NHZz8Y83XZVO3RHG8Gdv5EJTSv6
wsFXN8xKm4xNWPEpjK4AjkaVGSdMQnGQ2LhWG5f3uQ4wtGD1mh8TTot8D0GLZCdDJFPzlMgufkya
af5uoW04jhYaymVMPiE+7ItK7+DguTNSJA/Y2g+kb6+dkirgmMvKMSGiGDjMOVGY6L2LEwMzedcp
9GZ0qC/34PKh9WVsxuFD4fRGs0PCKO/mVmf1XmIA8Tnq6CwAWcvsCfpmPqwGlxfHMsCXYM2NibfG
EMj5qUg7d1oBJExwdWsD1zVtSbgsnTHR8tDtT/qgQSq3tjky4I+jzHIoXPrqR2t7NAktzIJ21Q5y
dOh25uBd1mXC2AnkAt/NNBXy6Ay2+NnNpZsBrUjzMZiTDIJ94XUvS2B0AzusLikVnNx3TzO0SoLd
8Qh5yHGqcpD1a5bWYoHyUPkQ9rdT2bvzDpV5DkUWGc3KxXr064ByHhTdc5uvvsxC49iBt72vECbE
K7TQ0X0LfThmKFQ6jxbYOAtuEgwH7KmIgjuEhxECz6T2HxorTcc9gkzSd+1lRAOXpnpvWC1IlZnb
frh127RiJxl12z34gx71dhpSMsQaLN+LAycVxZefWST5sjJTMoNGL0lZWgoTkSiHRRJqxmUcSq0n
9qXtuDB5foNF2SIJBebgxlpPCLtv3GLsWXwZdCZqqJDRDOYtHZxAiyHWt6QO/YeYmw5bGO6ULxJd
V32KwkDbW2NUQBFgE4PYKsxFog2aW/VkB7MF112UYUZORa0e27DiwG866j0jq5DF4oVTcpRjkOgz
JvBTLTZzEpQAbnapdiaDKshOeSjcdccwBkDSNIsn6jVquqEwLTRuDSfWfnbF9JBaHKerfmKuNrhx
tFTTNQD03MsYkKyIwnU0QgBe9QEpSjeiNNNm0aFQVX6jvVEKKxDXfuA9c624rklUGEL66Z2DEddz
UFQNrguhgIA/RxwmO+y62vpk0sw86UEl6O/dMoIshJKqXxUxPPQ7EAgwMV00zqfAS4LHVs/Bncno
JrhxCjmrNWYbxrD1/cHKVvNkyQn2joNx2tia2S9iB8vPRtgFnyZYo/NxseL6xTQkIskshxOx8tq5
xw68CoHJrMDPbvGF5vwVTh9+w8goVHvc5EhJnKZ0knRC+CEcDVVWD0FYWUDykh5s69bM/vgZwhwB
kysDcVAG7HmE+CjPNl5d1QwlCs/aOHkG0ZWUQffAnIzZBTyZONg4s/JgsUFxJnQjSbv8CbFD9zjF
Xf9OZEXDiQ2TvYGGH47PtbO0KghH+hMmDBDIvCRTww3HXWC+ZzWioJCTyHu4a65rbXUAboICFCLb
ih51cdw32+Em8EZIk67hYpPJNC9bS09bpl4lZCv9rBi5L+Q1JMYrUPz+c2d5UL9pWeqnsC3h6mOD
c1O0MnK3wcRMDsMmjRAtEDr6oavOGjdwxfF8Wcwy7NUMByTYuUAwLU4Bwn92Azv8hEd78T4ZIzZO
5OTtYZKFaTKXCZ0blDnaXsUsGjz/KX3irZsI7CSmyPT3hR+LW8a0bU4MN7j3Q96lsHNArt0Pre/1
zarsRM1GgAgUgCxoLk+HSrK5n4Oo8lcalyp33Vj5It/WlDhbQ1vxi2ziat5VTF66Rz7q+FRzT+HI
b1Q+YKp0Rbud0RlArOQak7wul5Fn5szNJ7yeGAelqVd+b/xe1StLS49bI+2QbMDqgETi1K3RrvSS
irCORZBF+9ocS8YGXU1mB8CQaO7t2Y8+gP1L956FmGIWassu2FqVy/XGNIBZuu6gWYNfupXemsmA
FQz/177a4nuMYUGsZjzwEDLi7s+7RWwFkgQGi6eDijd1P7TxrsHLNqTXCvt72+7NxT3AC+/mWRje
ex0404ds2YwgFTENb1n48oMJJQRfA7dMbnTtpQJrHb956ZmCjvsMcf19xt1AjlpOHqxmDlVwS3TD
lxZP6J9YJTi3jpE5eBopL/DW2oE9fULCZmLdXBbjEVsi91TXZC2uULRAk5gpslivtPzuFwts9NmC
qkkFBQkJbBN+pXov7VSU277uJRY33M3rBnXREQeKvtrzZ2GyaoaReUFqy9LcCCRF2c5zuulLqgZA
7rkPfb2xaYazL+Cz3hZt74LuiJoSmk7PEAeohd2pFz2QkuFVLiWKcv2vjNPsFPW9FS73A7bQCCXS
QXzAgs18PzZ2+t1gnXxusrG4Cx09LXqRgBPUDab8Owp9c5EmWyBnPu51P8PMIMWOgYwcVxP3143P
Sp9uUidLH40kTtz1DEE4XrkK7sELlhgamRsBxMjS8GUGwp9pGrlnmD5v2rEcnsY4ntungvkdgim/
bj9lwJOQRAmAfYFyMXh7+GSighaUc1KSBqncVVXRgx4GszCaL0zKzXxtD1FV3gJxFKeCUmve1/Bk
7G1oagMtA5wu3HmyMXxHSWJ/sXRAIZrP8Eggb7ew4WYzrlp8dIh8WFUMmgoQZlHG+3n2J6RkeUod
XUrTZ82FuUPFzAE47jK6OU6BorHKBz93kntUNHV8O5SpCzfIzGBhJVrk0IZjR29dYOWSarJfBqMV
9ovvsD9Ds+5akZcfoc1IsYaoFXzFekvHj2Xn1vGODAw739a2P0DP9OzqnuTmqlpZkcmnRmFj2yfb
gwcOXdtL96mVpeEJrLSghCOXCMZ83kzmS+uVxg8a85y3OxTq3SQzBxLmFNdyhV9kF72v9NzshB6n
bpvaI83/bPcNVFgRFDtodvGjhcURHlFFUc73UVUJ8mbR2JD8Bg9XZ/f/A0dQGm3UDkfp9eEJX85S
3fV2FPirWU2jtfkfOxC1Az02O85BT0SWleVljteOk6fbATvgcQcd3Sz4q2ZYCkVcToeynnK1TTtu
rKnjh0MxkQxXbD0vOIhKChx8NbF1pV1Z/vwPV0+moRMzn7I74hRtEm9YCIgiMHltWs5rrtCX7BIV
+WeexIOSf56ZXcaLTShSnu7Y4Y+wCXA72kbS9u4nXGHWgEXqixHMtBY+dSBDbshoBYU5CsBYXLHd
vOQQqQSZ8UyIFHlMZ6EYBksa5Mzsjo2a212HESb+2FG/f9tt84L5pVS4wnm2WOIcxPLnf75bDaI7
0ZEcu6B+zw+on0VI28j/wTgCJdBPVSlK7Lcfal18yzjfWzCbSQ06DzPJ0T4OAfjjceh76xFeg7d3
bMtYO8xmdlRdWBZBuNlmjZw35ZBUK1JN/XU5FNfSeC8tLfy6/v+DLGakf3x9bJZqVUtecp9l2O7B
u/I8K7pBJ9pfyWa9+HPC3yAJanF0f2XtKkeZKqfujpJR8l54wr2X+MVdMau++BTlKN6WEDDdzn7O
HsJKZzWCDpZYVoAqxz0UQ+1u3/79Li6aP56yOIf/8dZEqyW0rLE7lqihj0RT6K3HoOgZC678FNcw
K6n5+iv74cJPRdaPSXqpZSoChc++GsnxPpij0x0VRohbRvjtfZcMAa5t6P3e/n4X3iLkUGg2Ev4S
NvVnzucdLksQROLuSEKdjXC2ld4O7iRz9P/6HJvVYApibyw8aM8PmzDnOIfVwuqLG3FfzDbc0XnU
V9bEa0NdnkIZKRyFOPKV1SwujTDEXVZegM/izisq+2Pgj8Z4mqPYPgIJBvaVTPbXzvEEUZkOEQKm
wjn+fK3bZJwojIiaIyVC9yl0aTOMOE22Yy41XsqLyX8iC2zfAtu+4nj7Ozjgb79bvJ+t/0uFcjzy
cP5em3gGCRRh0Xxse0NaxwTmL55LjuHTAJe5XRx7BRHxWHfUYwcGBLKiTbHcU9ehU9glpl/RVwWI
iRnXY9jipmrK1ogjAveQo6OFT5BhAMrQ1fP1KVMuA/kSvvcqRYufbcmBgjKbYXYCdTCdnQ+qnkV5
5fh8vTz5ilwMDhQah9Cas9hBy0+LKIrs6Rh6ifyAQxSUhjk03729OF/vt+Upy3rhhCYV6Wy/1YmR
OIw3JqZW+AuExtCujT60j0M5N/u3H3XxC/nS93wH70T8mP7+zUw0qrOnFY8iKHubOIC0C5fwyq6+
9IVItyA6TkhHgrn//RSco/y69h3SBWEXrafGxfNgpqlDxHAtZvDCBgDkNIFZ6XoUA7q/HwXZOUfA
6I1HTYNUrNJswBiqGxYvI5wL7fAWf9Xw6+B38HDt1JjCKwfL8vefbQKPx1uOQqvKiODsAANYjbPO
qcYjcIkBmpgxui0GeHsgDjdVZcYbKYpr6eMX3q8HGOgSUcYxQ2Tz31+6DMooVm09HWMjIstDDulW
1d2wFfjd/PefkkctAQkO0R0kSP79KC1j3OMT1mbsjC+OPXbovBj7SuFkV5508U3+8aSzRdNWBt4x
XTYdW4rQJ2hc8j73iwmtjN0fK+xNGM96cvf2frj4UJ/BoiBBx6Ti+PvroYyjgfZQeDTwOL6xY/T3
rKR58XIkvJnV2V8nhrDf3n7opZ/P4c5zeKmOZ54bhSNg08x3kuGoEb2cqgy1leEggQCtrq+81EuP
8qTtQM7zLRsrwr+/H6bTtKhDOR4HBzfwwalQI0X9z24c/Cs30dmbJKnHszlXoBvwFk3YrX8/KeiJ
CpII9xDV2x0OA3C3rM3WzPEiGCFCXTmYf5+8f+y7V487O8jCvMSbWGvJ7La3vgatI37gd95nu66o
B7nOaic5xGVYQLJNnfLkCdU7Wz9AznflADh7w78/COMUQaKdz/o7ryxw5ULJJHvJ4CtuX/wQawjX
rvRD4ubh9u11c3Z4/34U9TOQqy9darCzV0yeeYgv8qRo9g0BSdScNxoTqytL5qyI+f0Un6OF4FuL
W/38h5Rxu6gYa++AZ5U6ho1nbwT40Y4JP17KYKpXXuCFhSNYAIrbSHHTnucTUbCVbckY5kCyb3cT
gOxs6zkz7nkD43rEDGbXTE1x5VVe+NUwkuZmMqkJTfv8YrcTP9AeiMVBtMBWOAcu5mmGyxZ0oyvt
yIX3KVgfS8QMEUiOfb5SQ1hJCQ7UhyEq/bW0kPv2JcYuIR7wa0MX7ebtVXLxq/3xvOXP/2gZUrxY
mVvH6qBlFEHcs+17VSD888cqPvzDo7hzBTUL7/J87ZcMO7oIiPOQMVpfEdSFyrYyho+FDK58qUsv
kW4OH0lLWVKc9wm+EKCkzN6OQ4EZIDaL1bZuPJINBozrYuXa+7e/2QI+nB0vAALEInqUZTz2DJzo
o8wQM93XEURRpcc26FGC5ZZVrJNCENOFy3+65biF68H8075pkz6+Ul9f2O2ABB4LAo8MzpZl3/zx
O7YI7q3c9vSxw5GZLowgG5OZ1ZXdflY/Lbudo4u+iAAQ2/TO7yLQzygFwdKMWtrylgFVfyexf72j
V5e3OmgLf8MbajWMZP9au2RdfDiRZFTW9tLBLL/6n19RzRojWJLMIQr51XqcYiG2UZ2RF901Q8k0
vCoAIkg2Aj53+yYMTkjMMhwnDJyiwX87NJwj5gs7SfLQvKogXXV7CA8wHuAIwYOeLaCdNVKrynl5
e4Vc+ux0ejbvbvn3OZzT4U0rSmDMgybKJcQy1kBV2oXhY4rD3gk5tstQp4G6jyDgHw4vLgEH4AFZ
yauaN1CLoVNLU2VmKMh8CKeEp7g4kWKle2URXtoHpHSy5YgHo+A8u3IUm87M8jk65l2YMImf7B5F
zCI8/8KIzP5C4rX1eTQcH9Ve6Hi3iVWk/pXY2EsHGhlDNjghUYCvICysXtHIRiQBo/CLkCHUwXZS
+jtKtfnKKXPhKnIsnJVI2QDRcc4DlJiIadOZIlLmsVOXqzDCQnQddUY9r0NUFlh4S78dtlE1dNfg
0AsHnENi5O9kRZue+uzAwWiSxdY3xkHQ0nZ3We+hgIcvgml9wZ89NU7YVVdupgsvliZQcpy6rme9
Ag9gm9m4miXGgSiEj8zW849mmn3MWq+/8gteeq+8TQpA7PRfN2lwRDvDsovggHXyGK5MSOjhnIr+
VA3ksK76GZLzFjwYw6W3N+mlbwgNYTFFRcjzCl5iPNl2LWPmQ8EQzdsQEJFD8JBWLBDH1vOVpKEL
R4KD1h0hKtcGx8JZsa06I+UqmYJDPSKg2/st7F+CKHqvPRDGWRd7nJrkT6Q9+j3OpM30349yx3XA
IpGfWnidnS0hFAmYiHpecKDUMj5aPjZ2G62aCRUYZcZ423kOHBnHi4v6WM1Db3x6+2VfOCscfNKJ
zgYAYw+dfX3fk4XF0DE84jah+h8dk5jwVLD++s1sD4Nal56K8zVUMVwtO+0iYrb8BorD2x/j0m/O
23d41Yy/zPNNXFRVBeUkYxOPjb5BlxQT9YLtFU4t2ZUNZF18lsP5T8HMyj6flxRQDJPZUMahrhB4
3Pml0OYOQ78QXdXEtLtQiPsI6jCwtN6F0syaZx/tzrg2bYyCdlWf1fFeMXg/uaNhdDeDYUzYxObF
tYzTix90ac8UQ53XXYqbDaXp19o4eKioXOTkif5i9H3t4HJeI61/+ye4dJixCG3OFG/prc9ujQxN
aBKgVz6EuaQxwrwBA10vnMVRY3eNaSg2K7u3H3mhWuJGBPW36T0Zh55VS9Q47WhrMzo6k5XtcLAr
dvMg7e3bT7GXT35WF1KoMFpY8BAW+9kah7WKKZTnUrHUbZj9QPvCDKNxLdJYavz+Roh+tvZPU4sf
0L4zER0dmaTjoBAw246P2hZp/FwhVFoskEQNhyPvu/twiFBCtqIv3fU0x4pQjEh208mOUZo9RcEc
y59oBRZHgKwkCwyWti6uHF7nk6KlEvy9aTy5mMS92r6DY42JMK3oaPip8I8WvJxxZYBg2Ktqmnx9
18UmfAQ78OG+dnPDG85cp1nCOY30HgdPEhDeftuXflOssNjLRGfSpi2L+o/yUEJlMwcho6OlgvJI
elcJ/by9lpZ9YWtQ14BVmrZPTud5v1vhm9fX0ouOQMzxyaQcfkzaudyrKLc+/8MXchmsmAym+MfZ
vkB4XUewaaIjaVHjfozJyLC8Rlx5bRdu2+XvZptjrUuFeLZGsddNzJw+9th2CDkNBfsHYkajDkUp
cfLG5OlOW2G5/5fvxktkwEK/e94LpnMv4M+yATGm0ki8J8eIN0XlpVfe4YVL1l1AZZdhok2W9/Ln
fywKLOtQGiBnPyYo3pwN3zG3T5GyBZKAJA/wzw28qLw3iL/5iHE64UBvf88LZxuAq227BMR6vnl+
0GgYESPS7OWgqWnLwBbXVVZBSa3NgLlFGx7+4Xncq/SAzBoBPf7+vgM8zFI4EH4yF+7PXEBMc/Cv
3URTOD2bY9xdWT0Xvh8sh2UKDqjuyvMTrgWl8cu50kd0POU2DYkrGeIo34M5jwcTFc+Vc+fC9pPL
BQoeShOqvLNNrsSgUy8o9XHq0RnOLdlpBJrZu4nQuisxy5cfxQ3owFt+PWzk6I4HqMz6iBQQq/ZK
2jcVWpRjOUT18e1f7eKjUASzVIFDX3USeANYaWHTHfYDhJw5btKboNLeyci64cq3urDdJcMj8F2P
1/cKJ5gxJB36LgmP84RD2U2P5J+oFhpCsSmrGQ/2KYzj4MXN2jl8fvtb/h5yn12HEk6q7y+9KLXv
2eK0SBy23cjSR+a4SbVHQc/UcURY+6MJW/smGSk8d91MQNVmECZM59aHZrNTMgpTmECIb9cGzODn
vhEuzoFdp247yX+xlfBW77XpOuGntz/ypR+GUQ0zZ8WFBwL493ZKRontztT7h6FySdcS2j+AAqUn
Oh9j/fajLmHUoCsuWczgjC7A7d/PMpxFNwYl8JBarn1PUJNDIVwM297WxRrWb7gdsmbc4kWJCho+
3bpqo+5KNXzhuJQePkNLV8uNcH5cNRDP6tisfbwByv5XAbH51IwjxERvdtYTaYJPnpv9DOKqv7I2
LlzeFBTgExIaOOO5s1toRpEVRaPlH5I+aA8ByYqPiqnDtXds8w7PVyAtB/sMhqb3Cr9iwN2J0RT+
gXI7yVdlYzjBZoLHFu5sJIufMRaNn1tEp88u3iWoweIwp9cMi6LYGXOYyL1qZz/875cEoJ1piSVW
nfd/ti8gYDdI31lbTV0ndzhqz7+kr+c9k0F03FNQvry91C78ygoQbRlAgAdBYvp7pYUDtuRSlt5h
qJm7+PKXsqKHsJZ3hHM8E839tcjROrz9zAvnDuQQzhsmH67/qtttcGDM62T0D7MWxecmyIgG9Fqs
b0YFTDuXPxA7OFfOugu7l61LY8HG5cueFxlYHmD7rwv/kPnxZ5CmFhtuRLVlDUX77W+3/EJn64pS
kGPNgRXGqOBs+cralViiOv6hIw8hWhutjWFBg+5lhHDJbsOzAQdcXPes6htGkw3WpVltPL79IS59
XbA31+cnZXx2fljh2G30UQWgYJWGneGTZMr7RrmBtcbPggT0f3ga94hL7e+8Hvy4+Fj2+AwGDCq6
dCH/6U+1G2LLIvrqX77YH49aDo8/ijiS8Ho9Zn1wiDAoxkTI+AzBdNhNVjL8w04E0LFhyAjYg+c0
rWygwYjxnDx0uEsdF5rfLQzrcOdNSOE9LI73//ASqblZm9CarPMbsRQCMC2tggNaRtRrqBrNbms3
bfaTOBPb/4c9SG9Ex8Zg5PXsLMqXKI1W+gckxbgFtiO2bzj4um6ysXGVBGCJEZGtXO1G5fa/f1HK
cN+DNs3bPf+ivsD8C0tDtr8X91uTF3KfFxnxBIVT/cOjQPAYK6OAZzue7UUD7TAW7WlwIKEcBRJz
1nXjaPNgdd41BPjSjsOyGoRkoXBx0Py9MNslwJ7APXVIiiF9zIiiY+/hlt7PJWlGb7/BS0cMhRNj
wWXc+qrSHpSfk5/LYLB0OvWIbHGGGuqY7xzsUvGaaIfmjjargYvbDJ8HRjPX+utLtwZ2zq5lEWhH
EXd2a2gHVu2Q4eFUwLMyj6gv8m43A5v8xLc6+FWFZd9s9JCKZ6qFVF85YS+9ah+oAWIq3/0VXOkz
w2Ps4CuoYVP20GZy3JUeQiTAHfdKLXLxUdAgXIoR93Uyu8LJIiKd1DsUXR/s6ljMm6qPkpPZ2NcI
mxfaJ8XoHOt1l/98BX0JfMwFUCAmL74335bk5K5br00JUkCE2Cf1tQV7YRHx8hhBOZaSr4cjGruM
LpoxlYnbksCmQLjzR3wcULBEpId8ntyE2ws/Wvc7TURxmuwm+vn2Mr5Q6EFK4ErmlAV/Pt+d+LlA
vIOajaGHq9Z10xIcm6lr3IcLP+EyqFz2CbcrBeXfG1N4Y0tIJmZU3eip3VA54RqOzrhHviuv7Mvf
penZ3U/ZDqsSQ1TbfV1NESxD3q3vH3osDvqDO2DIkaNycK1vFaI1/9kqU1xK065L65/aaN3beXSi
e3TZovw0OyUjIqcv1XA/iAFlxNBWU/rJwGi7xhcLlznYfYXOoBeF2fuiZO6CE28938sec//1NNTJ
fNsT6v6eATA2aUgK524/45Hww4+xQSFsp7Ehsw1TtUEM0ORrJPFhdCQoQy+qP0GoTW0rJzzhQ7Gq
/dR/sdQwje/cfCS0xxaRYx3yqEnfW3Oj5aqx/Kjf2A3JVY2DknkFy7Js13GW2yaCrqj9imWdDftX
dywlr2rCJ5l404ipTIKladr2Vc+cwSmxOs39GpFrF7fmyjAZk22trHTnlVd6zn2MIW/yjIG9MLdv
r8ALe87jHP29C1iA5zPsiWDGuFv2HKgW0VUD/h+GIKUkw6rs2JOK+98LJZ63EJ1gjSH4Pjs3I0rQ
wEVKz8ow1Tvcb7NTW+Jk1Zv+lb11adVzBuLeLYHS6fL/XvUQa5GXzKE+hi5a953qcpy9rUR7DY4d
GOVcWfkXSnpuPuprABnIcOdF71RBdqB3Ng4dxKAd16P+4E5js4qTUG5iB482kOPhykMvfkf+VriM
oD+vBukYUFSNZbpMIfuhOfLjBfe2X8iHjgTB7dsL5dJhKZcxJAgX/zpvkxbd/zQ0NXMJCCs9EyFb
A1q4NU7rtYELPTlNU+GsoxTTPLvv1LiOQyWqw9uf4tIXhne0jFwt13p17wehkU1yBC0sw0F/lCrL
185ce5+w5rtGr/9dhZ0fZaxSsPOFqP3qikf9qkSLH+qhphCc3ndEiX5hHqrKVZlGTrhLCQSadlDw
8/Rmjoz4VrcM0FZkVciXRAnvPktLvz0KVKb5Rs0jURPYxs39IS8MJ34Xaenjh/q/pJ3XjuS4sq6f
SIC8uVUqjcp0V3tzI/S0EeW9ffr9qfbFqVIKKdQ+s2bNWkADwyRFMoIRvxkNC/9NvHO/4KuU2Ieh
aWXZNVrMpg45vZFfYDfir6SquXSCuKvc4QWKUtFg5/k9DslR8vYtBZ4F7yS0FbF4WO/jkZqcpJiq
dHHk7EuSaM65nEw8NxHF2/mWG8EP+D3IY3rLfM4rkE4fq06AsfOlS9p0kY3m7i0g1d/eMVuVJErN
OrJjjEWlb3XjFGWpO3Wm8xkjfUT7Q6s9JAMhujsKSxzn+OGhZBMfRzP5PvQiOoad8vf2b9i4ZPkJ
VJGcpc7HS+r1VaR0FDJzR+KYQtS7SHqC6lQBAfwIUEg5KUke7oAGNo4J1x4FfoI9YPX13dfMJkKq
zSRdEl3rXVxU04PuSBHiXcTe23Pb/IrkwFx7z3Wy1fLCBNFio9Oki4Eh2CUyxXQZnNrYATpujcLD
egF0Wep1USjKK1WUQyBdmlCfDk09I63TIqp7ey6be2UByZmIf9KlXOMpCxtZ+nGigC+jbuk7VRhe
cATS3/cmlW/DGbGm4tlhunrvmJjwGrNAHqIyP9z+GRuhxFG4z/luQBEAq7/eLqMz4I8qRZT1URC/
TMgqLBprMaJZ1kz1ZkRYDqGlne+4NeiCVQJ+oBNO1q3/is4UnpMDXW4RmsdQloI7TWnyR/jE1aUP
8+qjiurIToVhI6igUs0G5SIwOJqrzLRuqsgcxwIgmIjKr4rABCVs8UaHvBh5o1Rn92NsI+8yEjmV
HG/b2wu9dS55hesAyk31umojR4ssmVFxLmlyPuJHlnuKU/4NbCqNPPvHnSW+3sTUNQB3oMZp6dft
r1hBFELFxegiZkv9bCFlgzN7Pu2c/auXKa9S/C1o1FBZ4O/lV7yoD01qhV8xXY2LUzb2h7qvy/ed
ozZel3bWO6TorMOM90Xogl9680ODoWEN8iqlvrjglV4PnXVOEBuq1V2Q2e9kRNVE9bMJ5hn9hRzN
gzefVq4CShpwATTatbQlXg8XTrY+TyjUXkBjsGnwOZBSF5G6OXzfW2NlekpJIfQw52UyuRUPDxVO
PKIrLqlUHO/gWTaWnQcy/L7l9JAoLVv9xbLHcYtGUpz3zD13cBQFuI9VPavxLa46+7stV51+ChvN
QgxPGDwmbm/ljeEXuiEBhvSIaLq6hjtURfqBDj+Cw7V2KDCsJkdDDNvFUql/QHAZg900te7ULvv2
9pFVkvmFxkZFe31bOdhcUGSpBwJAUB8Su0zv5RxWDzag+XBW0HTDpajCfnSOA//20MrViUJWDmwj
CTctItKV1Q4IbKixMEWGSzxb/V1S4zflTXmgeihBzUjpNwjixJ32w5m6nq5R1JxiWQswT8QWgh5m
7TalIX53Qe7sXGxXtyk/bAmH/APkEP5Mr3cD5kaYDMZqf+kGyfxq56bj5uVsneEgzJ9rR2hfOj0d
vtxejqvrjOIbJjsUFBiRCtxqD1QYhiqg8bvLEHdWj2+AE/uTPMWfR9wctWOtZk2+cwY3PoBt6kho
07FBusRa7/oh4QCGZX9BoQlJHzWajjJl8OPtiW2OAnZIXqr5xIsl3XlxthoUnaPCbjhbvMj/W8RA
37UIm+x8s61ReKMRhcALLD2S16NUemojxUnRoh5s49z0Y3GiAbnXKdgahYa9JYOS3ZAJaLAtQMhr
4hVQFtIBUR7zMNm1tXMdXCOS2AvAckDWEQvI5VdLVlZUKswg6y/6YCHaqhZh7eG9h7i0hl6iZ8UD
dQYKIMa7GU3HpyrrCtsjJ9UQtULvePBuf8GrrQl7AxwJPrwkNHQUluvrxRcsrFaUloKWsJAQI3Wx
FsJtok1lPIlMp8B3YCTv+nN7zKuVXsakvIaFpwXm5aoeXRaibwCAXSTS06dOb5t3WRkMO3tzc2Zw
T2HCENcJSK9nhoahAZFXn0lhQjzXdae7xF1UfaR9q56VSOBic3taVzc9/XCOGn01kjSyptUpD9F1
yvnq02VGUfroAGd7QOYz/jTiI+COSmidVaWoLmEbhW/tIC4j00vgP8QYasmvp4oVWtCBApEvEgIk
Jx19lQ/6RC/BxKNQ7Mxy+Xe9enwvYxHP+HoLKHb9OLQ1hORbxMEuQJv1Y41xwkNbm+LTUOOgvjPW
ddrPYIrBnUno5s1rLN/4xe4c6RDiOqDOlyGVqm8aDlz35KN2hM1G3Tt4iTQRclCN0f4e0K19Z6Pn
9z6OqQju5BDXO3Zp0C5dU9C3Ci2b178DiaqyD5ExuqiVmj9B1sCzQ4pxorm9g7aGWciGjqryT5gr
r4fps7YwYostywYLYjespsY+OAos/51baG+gVXRIFDWTKvzrLihX6/dxjVQTvhZvRl3R3HoxnWfc
6YuvpzNJzYyn+YLEQ+OiQTZ/KPX4d6DOvVcp6rgzqavQvgynUQOD86PS8F0m/WI4RGWoKlryfMGC
A3/wzGj8SNeR34tRIMmRD/OxKu+9/8MnezHoaiWxHFOMGa+Wi22Myhl34Awh10Hd2X/Xh05ZhCSW
/3Kf0TR/PTX0oEPdxG7kEqjj9CTUqTq2MMMvIVSHnaGutwYJu0Mo4MwRGdbBFiNm0SJbpV1yKRGe
LkDw6F2zR327ntAyynKkqTgbvOpfT2ipWII5rLRLiw7nQZ3S4TBoI1qkHdX321/oOg4AWGFjwCAA
Onr1lI11NQ2SSNYu0zzLi+WRfJxm1LXaLIsQCm3kb7fHu96GMKqBzysLZwJGk/p6auQ/fWp2Qqcg
kPbnIZOrn0iQIs0ZliFilKkTVmg/dvJOIWZrRZc+gQUwB9TQugxcQBG2RBbqF4CcAr+ttD+kCs3y
QtLknT2/taLUYhY4BcsKBOv1DFEEjys5j/VLlSaVL9ou+RJW5vwwx+r0FzktcurbS7ocotcxB6wZ
SRPRgMgDnf71gAYCmFEpYH+i1Fr/SqPEqu7m2ICQoJVZoZLeNpJxTms0X1Uq/X6uq8Xv2z9hY3mX
fi5ZEukEme4qEiEC3KRllFuXGT1wt3Os8qAngXLEm3E83x5q4wRS3Qbxz5Q3GrvTJOhShZl5mQtN
nCHFmd7M2hxvj7LxEaHGcCgAqFJLX8O2oYAaWc81SrZSWbTmjOw0lEbnQRxFzy4dpb30aDUtOrEE
NtsyyTFB/lAAef0RLVAAOR2m1KeyYj8YaA0i5Cj23ncbo0CBJrKAIAFgvN4qad1pztSkKXydJH+n
hFHtzYW9R/JcnfFlLqqMq8vScKGLdTUXvUqSEuinryuY6KZdouDTkP5n4fBYuvqEu6+L1PDem251
DJ5HBRDDo44aMn3cVUbbta0Cy6JO/cGI8s8xTay7PsCrxh3yGE/rIkGFzw3wFQAiY4TaU4L3U/y2
o/i/vwFWNHtz4TCsoZeSpk8jQTX10Ra0PxoaCdcYoK5ahYipmdFcP0oSbtLmFGffsR8qv9zetVsL
DzyPdh6Pad6by5+/iPFlSuu3L+rCp82sHOpp0H4EFho85GeYB0hq/gg5jFvvzaNqUOqRD3jWt1hz
NjARHBtnqgp/hmz2IWxl9VyZY/O1kUf7MS6TvxEYjO+3x9zYyOwvOvYWTa7r6o2C5nY7133uO0Wl
va8KqcLxXE4vt0fZ2FLADwjAKrUaEPerOk0fLgC5Ssp9xXbsn9iExclxqIakvJDZ1KGXqWFeuH0c
xqaLb7pRH8vFj/3D7V+xulyXTQWOjdI+mT5trHVra2htpGyMtMBgOmi+B3r/e8oRtpaQnf58e6St
VX0GHZIhcpGvo6RQsOpoo6zwqyBo0cwOjdOsjcnODb45H+6451BBaXkVr9DZE7WOp5HfxDw9aUHW
CLAHGF010h7c6epAoFvGe9NAo50yn7Gm2FaTXuS9Yg5+3PTtUxin2mnq5uILPhTVgx2EOK5F8k4s
3ByTVINXPHgSqnuvD2E0oXmsLF4OPU6GmVdz396nYCq8aJT74ljqcooBGQaY+s5uXcUsdseSypns
RQpBlHJXA2PclSdJjOsv3vHinYNYL5ZKffqnoEjyV4tLXI/euF2WAfWlScldAw1vNWCNNNAg1Kby
MftpULVUBvg4UbOjMnO1KZ9HgQgDB48tua5U0MwpJGlsKz8rRjrIzqjYH5zYVHcmc7Url2GIW880
3uvPpiDurANbr/16EHOI1VAzn02q/4MntLD/d3vlNgYDuq2Ae6H0CWxstXJI8U9WFYnWd0Qr3bci
7k5iDLJ3k1xGO2SbqztsuTx4LbMVFyzsuu7iDIaB5HnQ+GXZVO2fPBbIK6jdlL7Ly8XosY9qo7/D
lzh4Smm4osWpIEZ2e7obnxAwC8ePUhpFxDUi16yLGc5p2PhGILoHue3w5sEi+evtUbYWdSFoUTvj
gQb49/XBs6O5aPH/63yRqeIUzNkv8B3ZEZhSvzOfjZO2nG3yNYtapbqezygjBayMYLvMeJbPwNPC
GJVtvV8MMvru3DpKa+0E2Y3J8Xq3TRioCo+LdXaDekw7arXR+nItjU/oVeUn3rzOvVrpewXldV1p
uUhoJZFBcaRB6azbm3rlCEx7DFyYsavP7vRCiNrNJByFXYxg9bsGYvvfPJmGX2UC+n8RM/mshjjA
vfl7smGA7fATUJZbp5HYMI4UlBaTFQwIPwMawVPBjtBLmDIcQW+PtfFFmfTSgqJaz3NhFZMsK+NV
GkWdH2FFdS+R638Jqi7Do7wxbfXQDHm1R1q/HpISj8bVyWsY4PF6etgK5XkaxY2f1lg+jIZ5xCii
8eQSg9sc/p13e4bXZ5DhTIfMmGYuqaH9+nTMA4Uh0dq1LxTR+a1hY0zPXHdGud6mjIIw36J9BBfm
6oGBCaIeDEHtR60zvyvRJz+noYMTpAId//aE1kPxpZCPQU2YyEN6tgahSpUeCKeTcPugQHfXFFqD
rR4MZTrgb5VUex6Kw66BAQRRtb6ukYjH8qpOZX+URX5BVu07XufDYiS9h5Bef6X1SMumeZHBK5Pm
JElbyOi+lsNp6ALT0yV93lm6dUxYRqHlhgjW8ugkf349Sh9P4MNJKn2FbCRfvA++Lo0lH1VB69i3
SnwsePw+jrnRHEdl2tMy3Jjkcy1yEZlhR64bfomCVsPyQvRVHGLucsnuLtHijHp7f6zPF5NcatGA
NdEloOi5OtK5Fpt6xM3i5wmsnTqTgdHK8+AhbYMFZW5UO4F2a1b/m6PAFCaNUF8vajdLZEOBJPtY
F8i0beck/l7Xlr1Xnd7Y99yK5EGQFgjr60jQY000SbmpAizuIA0EAQVcH92qAYydUhv5TqzbmBbA
DBbwGeF+FQyMApmLiQYbwp4Gvsm8gR74uJZ/+2Npy+q8KGLx6qAJBaEN6iTciKsiltqaMThULMM4
8Y3zNSqgbPpCL5rPVSlhWGXLgpJIkIbilOvN9BXmuaoSbsEnupjt9Sq6apEiTq3dWdEpdOQajoWs
NIca0bsA5V+BKAo8EpLgAseBD0Wdt5IX4PnwNGMshLhsyuv9ZA5J5PwYHXlqfopS7TGLxPxURbZ/
ENLdGMhJd2iNOQcCkyYyRpfY0+3pWmx9YCpB1OuXVtIVS2IMEbmak1T1hWzH/oxFuhtLPP9g8O99
3I0zQiWbZYeIDUb2ORN4cd3EcR0j3jbNvjyK/psVYUeKg/bgdXpX/h2n/uftr7zEmNVH5h1NVZRU
FLL5+sFg10OXzzLD1ShGygekwP4FVm9/CUu9OChiVN+rSZL5ZaZr3u2Rn5O/q6EBGJEa4n15RRrN
0jBuqgpvKHDjoXFf5nr0HccW52Mv2YZPDcxGsEN04fu5k6rvatZVJ0xIzc9VUKjfhrbP3vfdPB5v
/6qNL00pE9kGGr4a19XqHs5GhRJcos88AxrjEtZtczdhDvkFu689nNz2UGg10KKDo7IOYQ4CAsj/
mHzpVtYe06LGT4g62WNBGWHn4t0cinmBquK55qwfbNRNq9jEMsIXosJoWfRj66WSEB8dKWl3WIUb
G3hRkgTwi+wwqPnlt7zYwBUUYCdubGhURTEnX0Nyuy8jdiePHaiI7LeqTtIbM0UuKg32DbL+IFX4
n9WIILmjEOjr7CtDaX0ERGN4WHTJHvZAKEWnYbWzc9flhGU8ABeIe/CiB6q0etU0vVRaFRwSPxGh
6o0q+h59idcTBjIZtnbhb5kH4Bsz7+cx2ZNcxGQ8V2wYRwgry0KDCzi3io9hZ2NBj18hXOY0+v8c
agk/Lz5gS+WnCHt78mfVjqNj3k7DhyxZ9EukVFanna25uZjQexCKWkqk65yAHrxpC4xqfKcZlPsh
LdMzgKb03+L0eQnnsvwqk5zs7NGt80BjBSFlUmL5qui+2IaVQ4eesoFD8ruxFem5LevovDzpdnKQ
rQsWSoXNYCC4wOK+Xs0YhHHBpTb6xCxk1EMAFXiqK3i7JyqPCrKfrilCkNXWW1Xpn7fMi5FXiWtr
GlMsUZdcElcbeRQLfyYEYU7ymDsXfVS6P71ocD2pzSLfKRCtNSWX3AEp0qUGC6YO2Mxq1pVR9liE
JHzVvq4LIjnanXiuTbSz80aPIScAaBm9nGfRcDDxQ/QnHZUTNzcD566MJVtxZdQiF3qZHgpXUaes
ddVpDGy3NqpmdAfEzIr33dAX6fHtEYAqEMkPvWT9KhPPRBYoU5bIfpXa6WlwJMsr5zQle5T39JO3
rkoSCkq7RPtr3wC5181UH2boUXU1ncJCNBcHsJgnh9P8IEQxnW9PbeuswbSm/UOSD7xzlX/jXaiF
oYZlVO8EjnrSOw2NwwFnnqdeK1TbzwJJqWE2Ne3H2wM/K9qvYz2ILbxSCfVkyquRzZA4J7cJptnS
qJYeJW39V+3IUey3VmXXZ8RRLfuUY5odHaHeifk0VXj14gQ3Gt8Hp5Tz9yYiDqoXyxHey0GhD7ZX
TlEXHuw5aZJTo2TAiYqqj79kiwqK1+dB2Z3kUtThHYah8xfENWRclCbDxOQOfy39ZxsmTnmAXdj+
ntt5LrzIxsTIw+q3+jwN4Frc2a5GLES73srvZVlo5V6HbGMHUK2l8+cQTciyV6FkjPPGlJbbgfNS
dAejVFLpHqLX8FMr5Tg9NR0IsNPtj7E1Jp3hpTmsI0q+rnKUckVm2UpU4Au5HLyqzCe2HTfDEUs+
VA0a0VP0+L+MCTZ/gZlR0l11AmvaMepYM+akWwEfQcFyseVuOBnSOH6Csrez4ZYYtdpvWMIQKmWN
HBok9etbF5C41gcBtmhhNuu8yOiAoQg+ZHTebk9s40gB0gbpQpsfeaj1w9kRiYZLdjb6utFU4kFO
Zbrtoslk6TiNuN+6oZjnh7iZ4l+3B94IYbANUHaBj7Q0xZcf9iJKz0PcmLKB+4AqePUchBlNztEM
YOmgbGOoO2CNrT3DHl0goKDorvS29GwspwrXZ79q5+4OI8sGC8ZIUkcP4RZNPZpauncPbwROWhiI
4UFqXoo8qy1jFyJsNVHNeCbVTv7YJoVcuyZaMZiyZb9MSXq0cksbD7ndBjsxe9kd692DocOS/gPE
v+IGTpOVyw3PU587pQJvwNyyFgux2tZjP010/WJmauaBlZRmt+yreme1t77tomNvmWTQ1O5Wu5cS
cEZyrnArtPkHexwyv0mU/1DlynYCwlo6c4nT5JLOc+2Hbss6O0kUoxxyYHt+RZqkvkdnjKIqdEV4
hp0a0xFxnTkrHzWrG7C3FEr+s2qq/IKNlP0VSWINnzSYDP9xCirzLsJZp/VT3aaOdHuzbxxnwhXY
PFCV9FvXGC9cdFrLycbZ1wVG82rXdketUfcEM/Xltl19d+gfSLwtQupAGldZiwTclXgcUYQj6qfn
oM+68r6pML6Bij72B1zooETEkRLfW3oxjy7N5vkHddxiPrRjgvkuFp/5WbYibEktq1b+NDLC7AeB
G1nrNjPY0IMe0L0+pyV4Mu4JI8+OaPZgSBs7Tmz9Z0qNHRwi6vrqPe/DdLrYTTWEHtimZHDrKLMC
NyjbiY8UJWXqIu7apw/9NMX/jbooP+hRGP5TSzNrvWBQQhkHdEvuDijSDsohQ2r0Dm1Uiza5ZE75
pS4H9U6TUe/5cft7rekUy74CbAt+bVF6uBZESI05i5ZXvW+OSRF8w0qvxvM16SeuDd0ph78dGONv
akTK8yTrja49VplwxgsWpeal6sYZM0S+lDhQWZv+WfhaZjsRaWNLUeLnbFGwI0tdtxdspbTNtFJ0
XytkUOOhoXwRYTq+kRi2LAQPRJpfSGdDB1gLJSL3mg9Faeh+JHHReF3QVvodAulQdcMWx/uP9BzE
21831FQoSKIMw5DrmzOcIzUyRl2DZ5ih/EoO4USnQe3C8fsEe3av9bYRApHYAVtDUXIDGimaiU7j
rGh+phWmr6ESf66B07i5qmbfcJscTplc7gAwNoLDQq+gagRsCozk8ucvoh/vSKtvc6HT4rawy0PN
Gdb2YGfDU105pNJo+vplOCf3zgwV8XJ7d29sHduAFEe0J2NG/vL14EM2N4UepiYmein2sWGUnZNo
nN5+5xHVUfWibbrgI5df8WKKQ6SaczLlpp90xuCGqpV6sVDinVC3EWoA1EH6p65JP39dIo9bwwl0
sjN/LHBJcpQqho3aSketoI14e9mumpicBR6EICIVTE1YvdWMsA2d0kjCE73uLc2Tzcx40O02OkaS
MV+sCcHdUM/a73rXa56Q7NibtV7bWdWNRGaBn/DlqOIuxPTXq2pimRr2emz5Bi7J39LYaD9alRKc
Cnswvk2NE+51ibdmDWBxweHTuyXELr/oxXe0m9Qsa5xVltQ3/wzjAnffGdGI2jFKj8aSBCoMEl8y
jOKUhdFwCKrZ8m4v/easUYfhxlvQk+vjksDdGkUqW76eOfop0VRGic3Rwy0Y9TTNivfe/8syriLp
os5Ms5iUkTiwgmlhfZKacDwsH4vm2HbH1kmOVa3nXmtjGmKhtXSIEjv6CAoi9SRbbg6ORfF/MmKE
6Kn/ekOv2ufItKuvt1di64dRBIXWCL8SFbtV2qwUAyVvWTI4u7b+0SLfdY2uD3fmv3ElstL/b5TV
DQGKnPgnR6YvJ0p4dET303Za9ds46L969HLumqHVdg7yMwRgveRguIGm0X5FEnC1sztLIn+3Cbll
nXWSW1pSV5+KfCyfNCtdZMlAw2ErnBbN9D5vRIO1chkk3aMad7n2kMht/6Nti+kC+T7of0SppEtP
uprraGSnWty4PbCtGms3IYWHehiSj4E5mP+aRO3NA8VSpJRzKR2/0tCRrPMYho3hi9JoLDRyleEs
Eph3noYtDgbpVdwOXlHHSuBBbjSCj3YwAlJCUIEiY4hzaOg1g4nxcQNHeK+fu3kggSmS7CIQR5da
fX0grTFEgjZsTOpixeSc4phM7lxXliwuShJgwd7USBy4KGZYF8XsJvUQqCGXk2GJwNxJwDeu36XP
s0hEo5OvWKtz4kSdUrRiMv2ZtsMxNkP7WMVqfSBy74Hglz233h/cvfAxFpFY2oevp50YCa7IuIf5
fRiJP4kxjK6dlc0xC+vpEZ/u8YKS0nRHf9/YeSNvnbkF4kAtjUuBTuxq5AytRlg1pt/M/XzMDbU/
6GO01zjbWkoaojwZybLAvq72v5nOUxLBrkP1ckz/m0Ml42aLtW+JEF9u3yFbI3GzwdCGurBkj6/n
005tivlCRmR2AhzNk6j4hUOg9hi1YCtuD7V1kVA4fjZ0IKeRV8FDylGPKJFN8bPR0u5CQ6o+m1mm
PkS8wB/UcTB+Wma9k1ttTo+nFsUaDgdX4OvpYYygJXHEQlpa2FlHiSQsO0RGXx5RU4x3Xgrbg/FI
QOeapFVdHUa9dqrMCHvDj3JtuRkKUnFJiS9GV+re7bW8Hoo3LOB34vCijq6ttuEURUiJ9lzKjprO
91U9yQg0G/OnchZ7hd3rHb88lzXY2lR3STVWQxl6kXCpqoZvDIV8CBBmO2RpY59uT+iZ6/r6SMO6
AK0IQwEU2lUlz+lFINQuhieG9oRzHmlhqB+MrhjEfTZmeeoWstPdL/vqTy5J6gUZ4h49aOqlnxtc
oD87OiDDQ53FldIvIpX00LVptCQUzeIq84KmVWovDlr762iZYe4qQs3/zVixfupL7ERPQWHqlCvH
IPhtplivY1Qgwi8YWxfZgw0B2kbCiEKkizSdpBzsPjB/Qz0wtHNUT8lvyxjtxLWFZPytRa/9ruc5
fx9nuv1f63ToqvKe7dFB69VSdp3Kas7CKTvrM9bY1LuSea76j82Yxvk9OvDThzk3huQU9OX8x9aS
OrsEReRM3jSADzrIU6V+HsxJA5BUAfk9APPKlRMFugbKWAqn3Q0hUP9Ok0D0x2KK28njLtUf8aox
UdPM0NS/UwMp+yUp2D25nWXD+09NrdsTYt+ITnThCeFQBnjAUfB4ffqiVpanFrUknyx4bviC8K/+
kytBNKTsFtnCbZNYTVxhOql9NqhxxpTD7T6iWF069U66tPGQ51Aub0jIPZTD1m/Jvu2HIgekQ74k
PtmV3hxj2vWXVKM2Xz9ig9geuzrQ8TumiYUaleMJbDW8tMZDTKK77E3Ulz/f3vfKsgarfb8A2RB4
5SFBK3Z1Ac9ZUdUjyu6+nk5dErumLeUPUR6DWK9nJ/xmzaBZLmMe6bLb9FEUHzJHnqU7fITb9C4r
szE+6RHuTjuBTlmu4/UPW8SfEYEH1Uet9PXHoxEG4hTxMn+Rtu59B43p+JhOQ+U8To7c/ZolBwGR
vkns4hB0ndweKlpaKp68jZR9VbN2hBIdzarmYZGRlgc7adtfNOqn92Wk9H9uL+PGJQXgH/Ah+GpS
j/VTyLCmqpHUWqNtnsmfkI6Sx8OkmdNeWc25XhRK8WCMAQEzmrmKYX1nGa0tYLPKQ+78SPtQ9kC4
lO818tTMRVcxzg6dOqTVcWxSK3SrGJf1HYjAdRwltID/h95IIRHU4OsPI9lqZSZpxYXM//nEJ7Xd
Ss7UHmlg1PGPlTShDw9AcucdsLXERAH6O8Dk0SVbDRuVGfdWOxu+M/fqKTay+I5Xg7pzSDcCm4oo
JzUsKE50tFcLHCB+IOGfq/v0AypUx4rG+d05ZfgBQqQcn968a3hlkEdSmoZSv76fSOn7Ma9TzS/K
zPAnxDs/zG0c7lTANxaOl6NFtZcuLLCH1ZQqROnixBo0n5wyvAtkp3chHVU7MgTLv2V1XMFwgNuD
kmIiXLlqMeRzawUa7CE/j4LA+ecMqpl4MAx0050aDuBjTvd6Z8yNnbjIaOD4RmZw3RnPZxPp1KIa
faXSmp+DvOBUGrhSVl9EXhlbycNUVMnOR9OWmaxmqpP5LEIPW4LYDVovIhq13u+Toa4fM7UCNWfV
gi4KwKb6ieWRVN8W6HIl5hTS7Tat3kB1qBElynZ8b8iWoqq8KMtixQvHpg7fj9DkvwzRvPBLgWw8
WmmVozyfiFL5TC214d3PcyBylYQL95cmCpH8KHla/ULkQSkuCRdGA6RLjZCSTZMENwZS6/BjavcZ
tn/FvpH81tqzp0BoUvuBmrvqtlrCgShbta0fx9r0KZCa1I3IJiqALa16GqlkV96oVMPH20dmY5st
TTpw+3TqEJ9Zzu+LCpDIKy1J8U70FawXnqBwzQejsHFiw1j0A5dVuxOGlltl/bEpUNKV5HVLDXFZ
hhfjUf/qyJ6BlEejMD4MudL8zgtbHAZhjEcss+bfQG4q1KyafGefbRxbHpbcQahRLad3CQUvRjZK
tSmDmm5opzeWq1dqezZCY49vvBVmGYFTtNwOSNKs0usKsfOhKk38tKMuKe5aI5Cbixkrqm+Wgxmy
YYtk8SG1JQl94FLM90bDnvjUKQHdw77TgvZPHZZFduKi6+WnQK1VEEAFprmqPIk9NfqNbcdtCVcE
+i22aOsmWzoMWozqHu08zIVoFJvl05SmAYlAqyWdG9VB6hcoKzve7X23NS5XNMgCwM9oyqyutzLW
ot6eg8mXCqu8pF2LykpdjIe+T5T3hMkGI686+np70I3N/lwYp+y3pV7b96PJ18HrXLPn0stiOfEq
u7ePY1d8DYre3qnnbuw4E0diYgXwRvrTqyNd54ms93U0+U3TaQm3qIMNrF6me0CNtQwSjRyQ8RRq
SGUc/lozcGajojFYOoOP4AmC90OoRb9yykuIsFHXDjAzqXVfkaqpB7SRRJ9kSejqudcr42GkVTn9
ur3MG98WA0m6LjZRBEbj6oyPQS7pdiqjGDKQ4CE7HVkfSvbxuUWh6T6RokY9Kqko3l5lWTJFjsVC
qWZFVnfZnCRyRD8CbmEfB8cgCISbJmFz6UkLjrenuJE3WlxgxC2KOrRbVtt3ciYeqlHZYGsklIMR
mopb1bJzkOOoPY1aGZyVQG5PEWfpJOxi/nx7+K2XGJuKVhJ3KQWKNbQjnkG5R2rZ+rM2zIGHGmFm
u3kzZk+RVOKxgFSgEZ8qi6hx1KJUp8QaK+E3WZjqHol9I8PDMGvJYGEOgktY3asjT+xkSuHwjEk3
eSZoHZRDpbGrvQZy+V63feMIc4PDZeBcoSS/DpM8dgFxtQ0sr6EAu9eK7sIzq3OdIg+8ppPzndL1
1uxwVsHkm+GY3+oMC+QWS82JW7+FtV4cqlqzq/OYT+GP3haN+jZVy+Ug05HlebZ4HiA/shqN1n7Z
dGbdwivr2gOWuM4B68jC72JFOlnj1N6NgI0/VCkFxNs7yrh+t1JrWdJmprk0aFefEaBLHBQpVCK4
fglHtSdV9xSjy1B5hPVM/wsSybs5tYdPTiwcSNi6PX1LZ1saPNB82OrlOMuiqTrjNeDVQSlrRLlg
kL12aBs8jeZqjNzJGWrFs2fKQcdmSPP40ISLxZKNM7XsIjAWGVhuBcq/zNFAmvdBOFku3o7WJwXj
ptSdm2x8F3SK8S9Bm0ScjJGWgY/PkPK5CINMd/s674B8NN0nZ7Bq+YTgkxkfgtaQND7e1NrH3hqc
/kBZIQHWqzSDZ8BP9E1VBMO/Qphd4EPfa62DifFF7tV1GwYHxYwQqXWNrGvUQ1gJ09jZZtdpEUcZ
VCe1MtRpr8Iwwk5Q/mRl8iPktPVPQezEzr95ajpxThITXInIalgnMfctwo4aGkY733/7B5AXUbaQ
lSuwXxWKFqMRiXhs6m38cW5A2WBP01SPIdncmYZR/A6YR/N+glv6/fbeuz7Ti1oe/Q7yDy6158vu
RWYWNTTa5kSb/ZB6zkG2ksiT9dFyBwMH3GkgLbo93vWZJuEgCWSpee4gF/k6E0wTS1So6sE40Jv8
GGWJcTRq+W/bd8Ph9kjXkfD1SMuhezGzUVXzyCghlbXFkBzb0emwR+irU05MPKlCZGzgqTrfHvQ6
7WBQTrGNdvyGDEUbTzDTBdPDH5HEOtLsu35M9vwL6Q/z41+n8ozjPBesubWuLv48m4aW+snSMo/z
4avWD3b006mKRPuFuS74BlkX6nCGd2apbhvV2YTHbRAXXp0GoXHEGNapsPuF0eKPwNhitzSndvYk
HPGSc1Fks+FqSltWbiqwhDjMXVnG97GTUhEPzaTs3C4DZetx0XSV35R62j+RW8zqgU5V/6fUAziy
IqpaFa5QMEuukSpK7lbJaKGYJhruVqVRWuOgpEGenENtnnr4NJPWPUnifzg7zx23kbRtHxEB5vCX
pNQtdbC7HXrGfwiHMXNmMR39e9Ef8MGiCBG9OwvsYGbhUhUrPOEOFlEo8O5o/AwgSPqCKGCFWHIW
ivDB6BGld51gCH8HppVavl5ZLXYxIqbtqJtR684D7nJYOhZxckfRv3qmnR1nh6W6NB/VLDY/6DRK
0ITUuuJnSZB41HHserGBwX9s+PEP6uAokY/Uomy6QTM0rT/jDKX7kkiS+hFqs0HVOcnjr0qn2KkX
qUEzMr1OfR46ZU7+QRk9jF3K4h1l9mCyHJ7HvKm+2Ymwmx9dVlIU7fvMiR6MEGmS51mWkq8dWkmB
X9ftUB6NSHfu8MXQup+O1sefMpHn6Z1ptuNwb4fjXH6US47Mz4KaQMN8pSr01MhswXR1s/ppbFp9
4H4XSXaoxkqUH5Makponj4Ydf1dbyqPn1m54WnBuyjRPyRs1dB2j6J37UpeD+MThnRtvHtUIPnnV
2UczbZTp3NcUDL0igoz3AVsRcwAhjZ2Ab1uhCP41q8Q8d52qVz6VcWr7GuXefySjaXvq4Uo6fs7m
SnV8Gx6M9iGIE706wH/IU8+aytj+OoRACR/nGjzhV1OT6vJ7mKaS4qpW091rjcpWdGoZz2M9UYPw
UeqCcHDHURBdzfSr9YdmjvXkPszLhnyqBVPu4qQgKT5BuBm7Bm2B9jiNCq9eZjc0AOTE0Ko35Dut
4a01pBbl5lpVv4e1FrUPJd5dbMs20mtv5P7FaqWWxOiN1hLOOZ1WfsDNiGsSBTNLPkZWKZfH0hT9
y5gD9/X5EEXjd9Ti45ajpSCj2TUBJn9JN+NmWeY5aiqVoX7r0xh9xGZOKJ7oWTe9pHqgZ64dys4P
Z04Djb81x6cyTyek/yAzCi8FXfEjCBqT2lCaJ9VDYTvjL6e1Yt6ooeKzU6gatYcqsgzpZHWQFtws
iaP4OCOjuZjGWvjKkEFkLfxISc28trc7xdMyW/vRGIAgDrR9aO8jYePIHp5+be6HaiPHfjFKcY7U
osBTxSZkKdwY3b6v5ViKB9OINDridpC9yEZnGgc7AbV+huHTT+fKUVBGtmYrOHEHp8MHMon4KUF6
qbzLBrNrvHwqOFhWNNFZHKMpDx9lpRu0+yyTh0/4XUU/ocF3g6tnY6N6s4EwnT8MfVi5yN0mhh+Y
jUi9oK0y486Ro/lpauz6gVVj0Wlf08eq6T9ht2rLhXKYE6epfZAopvg6yl1j/YL4IcyD3QqdUGOc
goacQuXtnYwi9ZIWPAiELp6sXxh1msrPUZX7r2PcFR+VTFW+GBBmwjtsU+PTMLa54uNfV2sPtaib
5o4/Qjv1NpmXWzYG/Zoe8OdO8LrRj1nkcwgel/wawfnVa2enlREnWWyfAlRZa6K5yEY/VdW/6/Vk
fkqR8vpWGUb21FRa8xTHoX1sQ9UcXAsTwW9hX4zBYehC26KZpCs7OelGjIEIKFID0P8xp1j3+SUz
Vu1RSJDWg6D22PbVcXSc8aGQm+lB7gvj/S8/+pIcPKrfoKXV5ff89fJ3YVfIXcVaJOSFL401RqPL
K5bdB+zlaHFvdz5PZSC+vvvtBziqkJAa1BKvevJz2c4SyDxcHZCn8ElS+8eApt3x9ijX2e/i7wEI
nS0HQGTdOhDAlDsnUKyThA985pIUBqOHRL32XOCx+rWpo+JBN6r+sYbS+To3c/3z9g/YiOAcBqHg
gWgcSctqdU1VTtSuYXVn1ex8rIEHtwoha4zSsCcrsvxRqyiHoRZsCj3za8SBDDlVHoXKXCmOuYFs
RaRkPApy1jpI4k17dm2bU6N4QfEQKYIrETE1aduC8Nw6KWr0XQ9NxBkzx3zNglm+v72IG3Eimpp0
MTD/XeqxS0rw1xalP66mXCcA78KI5CgblGejH6bX26Nch8B/VC0RLKHdAlVidSkEk6nWvTLaJ6OV
5IckCaWjjrIsi9hV93QESm9Q2T23B71eRIjjC1p+oUgsJI3LqZmznSNxTkFPzSPDLeq5PpB5G8DT
e+XwvwxFz5YdQg9vfRa6pKoDeWgoc01xdCzDUXMj3Zju8iTY8wy+/mCUnMAp0RPlbF+hbvW2iiMC
O/tUR0DtFyT6E1FvvXONX294RqEVgFANSD2qLJdrN2cga5JBt07c5IF8ALEZZq4WGtaDXUo5fgt1
rOTu+xdxsVagWko1mlfkckw5aTkNWeKccEtaYipOgeLxEEue2dXDTq69tryiyrLIaC317mWH0Oi6
HC23rBJBLds8DbUdSp4jAuOZDqmhe3QFnM8iVpPf0PIMLDYBbFfuQpxovLYZCrzwChCCLoV8qzr2
SSuVd2bQD4rfV2GSHntb4DNc1UVj+6FjVs1HTG5UQSg/hcWnUIJG8YRyLhIpcPzM5gCOQ+vuJ5Rp
Bg9ggH3q5wYv0SpJtZ9gSIS6c29e7yAqDChecdiRG796Beuynye0qKxTVxfJfdRo4cOMfK5/+2tu
PA9IOy7UKMQK8GZara+DW2DlSFxhZTWUr2Jq0n/r3ikrV1M7RXNbYUXnIo+QyFaburyL7bx+e+8v
AJZuKkijgsWg+L56H9oWc3ltSI2TGPORsEsPwgg/9ywB2jwAV/fHUbNfRlx5hDsh5Rb4NHXHPYfo
P4IMl28H+vWcJNrR1MKvIBdyGydNgL7fSRusQvXBnZjFpyGtGvFgF5RIPXDVTu5lpEif+xK+yR1S
IjnZS2XF3b+R7NSD30ljWdxDbcuDg4xhev1QJ4OlHSZpMNujktv1HkH6epOwM2g8U4dc+sDrxctm
S6rYujpFC2U+xImSe2Oo7NkEbVzRy5lC/om6F8d+dc0MkjCdJnaMU4EHo9elNAlcNIFJ+upM3VMw
Wnbc6kNoqPVxa1I2XjgFlyc+qUK9C2VYERI5sSeccfqnnwcrcW0Arh91gtTaE8idP8ZatytwsbGe
aJpbNGZkqiUs6eXgmtyHWmoCsq8tynbhZKZeNxl7j8MGjRlgJ+JpMGeRfgDafjkM6iit1dTCPjnU
LJ9g5jG9qcrbl1aVUKcjL5kkCmtyp9Zk6RxNqC8pWUFaSNoA5V8OFRdE2fwdOheoNiqvIWe1TJTS
RWqhy93GnouY3ncjZwc7TZpz1YHr9nLAbE81vXRQyKlo/jV7Io4QQp4tegSQ1Vo+QMtzftpKh+5W
YdXas5OT5ZP+qVLpoeRTaQdtLpzUHavBefeNh+wG3VisrQgTYf1frkre5wH/MLFPtmizA1Zj2r0G
DOf97xf6svRAuHWonqqrIKd05MAMR7KLGIa+N3ZWii1R4XxI6mnv9draTdCZkBeT/yh9rIqXvZrx
iqoEAYrayj41cMOPCNZPty/QrdP59yirCVHQS1BHTlk2NZ5B7VT5MRyD/nOC8cDOUBsBIlEoAhsL
BpvIY/WFgiHOqjSM7JOQleEZ1FyQu7wgDfCzOHt0apr1kOb3rGM2ohzoSxzHBd++qB9f7otg7lQZ
8yoT1maXHA1MLo/yoEUeDYXx0ES18vH2gm59Nto6GF6QTYAPWM0yl5ux14fBOqWs5fPcjpMH+Mze
CW221nJpwXGzErqxjy9n5WQghuIeaTYqkM6/ZdeGjovsmaeNs3qu2kE6xcBZ9xSdNzbL4oK88OwI
Sq8eDJsSH1LhunnKxmE8xpWEp98UJq7qRO8UWid0W4RtaMSR5MI9W2cT3O7g9ArZQXcqKsg5U0P9
KWnS+EyXJ3uCS5nvgPM2Oq2A5BADBrTPy0HT93JJx7BmEdEgP1H9DZ9Q2rJ+AZTU3qhPOZ9H8I9+
sRh7ovTg+Kmamy91Ugbj8fbuuY6oAP9gQ4DmhwloYv1+EemUaMOV4bk0Ka37OcZGDzOa5SiWoFbw
NSKsczzqLWnkOWoREqRjkbWnOb9xZBYdnMVwk0cMKsPlSmCIAKkaBPapU2TM7hwZl1pQoNL0u5gD
rtTIjMqd23vZr6t3m5KNigIYgAIEwFb7WTeQEo1GRzrZzhyfRvAbH8shBCUST819HGG/VjjR7PZk
FHe3V3zjvMJwX1CZcF+0q88+hLlROTPFS8PqrI+DWfSuUzjZznn9c7mtJ2gRAnFiF0Wq9aOdwCIN
Z6eWToExysq9KaFN1Su5bLnpAMbABcst/ydLVvoxgSHduVSN4w+ynszfVWU25s95lCaBaxIcRmRN
xjw+lwhy5/iuOojMVkptKp4j9Z3qyqEUK0dU763AaxQM4rxChA6Fzhyz+0MPk/WxhViJconIlAF2
UyZ1fNLJHrx+iof0sc/oM7g9oHXjvgpD5TM0Bme4V0BX09sIe+21HdrgDcWe+LVrikz109go2wOt
lKi7myDBvswoYYERHwaF95HcHZj6VOuTO6RBq7j4S42fzBQmv5cixjf64ySUD84omTbiY3n22hdR
bvqBMIvPPdEaHl52RaTRBZJJ+yMGVuo1Y94Ax6w7q/Xz3qlyr5NEabpdqIQd8YkUv/LM9ED7EV8R
biTGml5OORYvRokZkq+MSLkh7JON6kdMy8oCyLhWLP7W9nQuSEZ/50an/hYhAO9qYo0PQyjyb8hT
po47Us5uPZnG9Q+IxtrnJo/zH7Q0g39FEzY/7SxWp3MikvkLxCql8G2m2iDCIexHeLSwuBJLyo5Y
kZJ5BtSHdBfpMIj0GTRF/UsuWWa08/Zu3NxL9A0Ai8bzwgG/PNKTsFtNEUKCaB6/TaOKV2DSKPZB
14t45wHcGgpFaeQyiMOJklYRRV06Az+DQAWT4PEFIZbyY5FjvxqHVnh499ldII0qxR/IAVdvLQ2+
JFBtIoqOjsl9KrrpeUp6bafGtHEd2gsVAtOdBXG0DuvNshJFOVj2Se8V6R8+YI2dliPH0FQ0m5Sp
xDHSf//EwKGA/AFVJRO8rD5X0oYJDT7KBBMCHJLV90+ZCnH19ihbX4rYj3WjPLhUtS5HsaNBqWPw
4qehVWY/7fPR18XwEzhZurP9Ni7ZBb8EUfIPIVdbnr2/KpC6KWWmGTEfK4FWpUlx5ptVsNcP357P
/x9FX81HggVaZAVANIqdmZeig3FH4yj2Ogiw97eXbmtCvFeU/RfZGzQOLickitpO+8ihjqUI49BS
7vrVSlby492j8P7yLhkLM+2qiiNKy86kJnJOYdvnB02U01Epy+L9pwgCocyjBKaOkHK1bAnaD3mQ
hg7+ALGtkKENgXOfJ83Q7SzaxvchY6LUtYiXLloUl4vWyXOQ5+3iRF0J8TkdEoACqoaOGl30OnRv
r93WYDjpovGL5wvY09UXUoOe8ktHYgMZI/Ch2IPCxQTTDXQl2bkgNoIXByiw5tCKIYJcx6qhWRC5
qPRiMsofktcqBf3xILUTzZ1KqeoABPT2jyKqJh5Rc365PdGN6wmtZD4dKc7inbGaaKShZZXP1N2n
YcxdaZLsCpB1pUOxrabPqJqEO59xa7qcZji4tIT4azUgPo2akgDOOKEGkf4E95sQsOGL7NPuy56l
DAwmjAz5ue0blPJuT3brq0KToEGK5BQV//XY6JTFYsmugPfO587sDUIdo7GegH/o6s79uHHIoXfh
A79U9FDXWg3WcoEEs1VaoPLwEG80J3+2czXbGeV6SkhS0DWhgbFUatfL2Wtitqa2DXB4QkQcZEPr
ijYqP4zWrhPIBmcN4CFKZNjBW3iyr8cCYKrQpY6CU1FT6PHJ0qfIX8pGuErNmv2FlKIZPIzZzcFv
u7wdvTIPoO3rlV6EqqvrxIcHa2zNPZjt9Z5afhilargYcNbWCiAyWkNmW8RLfDKH4ZG6Z/oDqVH9
WLaBUiG413a6p05hE7tZWRvp4fa22hx+AVLRmeCyXZ+h0S6x3pCV4BQLYeReRLuvR+gI9KcrhW35
0A+y9gYuMosP3YDG2c4Fsmyky+SATgXoDSQYkea4kggvm2gocN0IkAiH9aNLjuMXctUfisDRXvMw
3WvVbeS6PCjk1ZhMLyT1dbrVNHVNZ7UMTrJWxV6vd9BJkTow7yahFZ5QOvlgKAl+IJU9fEyitjsK
faheby/61sYn4QJBQsEUV7zl+P0VFOC50Let00inaBw0b3JGmLNZVxzUwjJ2ztj1SV4eUEqm3BkL
j3318lhpa4blUEondcSsQk/Ipy011/6HXUSPGsW0xcL9qidvzZ2oisJeVjWZjrKS1XcAv5LDmKIh
JTBR8bN00PzYQs7x9lJubSD6u5TWwBITq66WMhIQ84JZD04oAJtebWr6UyjqwrNlqfgg0YHYe103
dLPxdaW1xo0BBvGq25vqrY49XuecZuAhS96Wp+o3tMLC+tXoZzM/Frko3qyu0760faFnnmWmluUV
gR2XboTO9O8e6t6LVrZUd24vxtYtBx4SUPUiagGSezntf20sI7XnTG4qIBmZkebHfkjTT7KZqMi2
otP3NkyyUh3hjhffZMkJdReR/OJFiy218QdhJbNXS5WS7mzB68oOEFTCEU6dsdSZVj+qTRcplMay
Tkksv04ifywRJL+LndY4T6GSHQgPfglbnf0wq7N/bq/IdbWQdeA/5DCoRVzJuZuFGmlmTrUwVMwn
UaR+GjUeQKTsOSsjYG/obt7fHnHjbIMOwlSWZ9OmG6JdfoIw7FNJq2vn5AQRAHBH7g9Rpsi/KmV6
P7qByi5BJc8Z+sa8IJdDiWqC70X/9hRbueppUiN8KF/dzufbnBBMk6XfiejWOvBIY40glRLMCZhe
eADWn5NhQDX8NA8aycb7V8+A5s4fQ6eQsPxySghQqXowkkKHJqBCsKeFjx6O4ZpqsJcDLttu9fQA
xubC4t2jgbkuV8slrHVbEs4pNwwR33c9FDI3GDHJcLGfGktPNmOQ6Gpvh5/kJpX2DuvGzcX4hFnk
BPzPGuBD7cMmxOIekW1p9m2IAYdZ62q/tPrMg7S2p/S9LN16vnxFpApp2EJnWcV08E9VZVqSedEa
wxPJkI6+frzX89yaFcUWSFoE5Dxwq/dm6iX6ACQmpxBf1/hshEr5KY81rmG5sgJxQGno/Vh3bmGb
Zi6SBBvIiiHt7FYNyeKsQftPldvmscrn4IlKXLZH7dw6CyjNyozG3K7OwiTlwhnYo6exkgeEXlE+
bqhJejIyxzvV2Y2h6A6i3w3IYFEIXX0ueQYBo02mdoosUPSHeaDzQcnMkH5XUZvmh9vnbuvloDQL
zWq5uJDWWA2X1so8zMgWnUB21r+HXEMJDNyxnLpJRo58N81lOb5qzTCjux82qMP0DuxpP03Vhips
C5v1MMqVnO287xu7Fh9Y8lgOCsdkfcehflKneQiFP9Ol5m2Ww7fRKKTX27PfGMRZ0jrSN5Sprjpl
chRoShWg9adUaugpVApP0gS6//Yo10djKWgB1VjMZvnv+h0MakXoC3BR2GX1IpnCmXDvik0gOHPy
PZ5Cfecyvb7hGHBRU6WQYqB9sTqLKTKXVqsgtgePL3jpTD0/jrFTfSrBjbjzFPX/wDUqPCcx2p2i
/+ZUlwefGh7Q7PU13ipBpyVybwFyH6c7UGMVzSTN9FQIt3QitferIqDjjt0qMk+8hLSpL5+NKXVM
Ovw1sNygH+/KMVDum36w3v20A6lailEq0sTEgOv3VkVlkxqRdYK8DM9L1sLHopl/OGpfvn/9kCyl
ULTsejruq2dQt0SfqgOITPSz1WdVOMCiuxYF2kZSjrMcGztVyuswiU4jRBpE8+gYo717uX6N1SeR
CfMKCAEy6IkZN4cRpQmvl4LxLCX65KHa0++ch+sbjjSMvN/kNeIZXnf8AGY46txW9FQbx/TjEqMQ
NlR1WLTgv9w+etcHHNQi8IWlw+aQp6yqsIB9BOOPwf1oxtFL3w7Nya6UYc9ga2NGDMMTi9wai7hm
BU9ah8Al3L770talypMUpfShJI7Cl9V0rwWwORh1LyC0ywlfqyUjloyrdJ4H95NsZnetqHBmMuvg
PlLqPaT3n77nReyAZiVtfWISiuXGFX1NwfbMzs0mOkuTDS4zQp7DOsgiRQipmfTu55RXw+iXaLCb
rtxkaBEJoyu+F7OTFIfQMgq0/MexfiuMMv9vKCg6HcUsppJKQ1b+iBgXrlg91IGnG8LKvGSuwTuP
mi1ZH7SQb6a6YYhzrZvNiW4hdBSLzCuLEnndXEUazZ9FGgY+j+n0ptVB/d8wpQmoRoBdAvkoAB3c
7BOixguj1dNQ4+JfzsVQHAphdb1XDUH9wZBmSlz5HOIT385a/sb/AYWsuSn633MSNvfgigzFjwpH
EWDsRAbhQ57T13G2ocG8c8MuC77Y6dCZpdK4zplgIOZFgBfSORjb0KfVU5wKFYDD7VGuthAgW04g
Z5CMCyTh6pqRIwmJgm6UTi2YsC+6XGl+NiviOQp4028PdXUC/wz1Ry2Cka7gynaEDIRhgM6wmjY+
aH2jPsxFvgci2ByFd4B6EmX9KzTinAlhou9BMW3InDskJKVDAX9tZy5XrxtyLciXLCKfEC2uqt7V
7DRJbxvBieaiegisLvMUSY3/CRyRnPVmjPdcDja+E1VuRHMX4BsP+urhoRXWmjNuxec+XfRqW9m6
C8DiuVHU72VFVy8BFwmJMrEgXBLtqp7S69WQjWaTn+lDh4lvqKL1e6XDm96OoUH5hp7C+Otm69Pt
/XEVqzCuA+cdOWeNWuC6kyAbpVZVGaytGTX3A0Q05Dg1Ofug9XQUCiVpj30t5A9Flg87YPCrxaXJ
SO2RFJAr+7rWPea5RJvLyM5Fxx1mhBF14X7OQA1E3c6Ld119ZCwONg0gKuugTFYfsjUpQZfIQsBN
g/PmWjHl5EpVxmNSmGboUiWvj8IsrbOKXiACmmMtzIfa0cTbu1cbY6AFL0oW41zlgpVkxGGmSunZ
CUTzFElp65kpnHYzDf5L1bj9LJvRBIIY5uPtga8OKAuALCPlEcoJ15VPdGG0qTLtlO2FnSbOyPpT
V+FydXuUrU8KDYrGIaRdZIyWTf5XGaygkJTIOBOe1XRsPyuyGI5qOAWPujHuCXJsTuivoVZBvSFV
vTUGWnruxsr0HQUeO4r/wc6Ns3E6FqG4hdFNRoiIzeWE0D2JqrYrsnM6DPl3wmlkHs3GvqvAEZ/0
hYULHMqAC1mbovhyezGvbjs+2d9jL//+r8VUtalvYD+lZz3Ni4NWOOgG0EghlpcVN2Ztd7bItdTL
MiBRIdcdSuHsl8sByxq7FlgH6dmeBOZTqhpmp4R+5htuYWlJoRLzFbftosaXpwAMXkdm/GiE5fwE
8SLfAyRs7SX2IUQzIJTI+ax+TaLPfH1YDedmEpXqWqMdP3FLN5Wra4P4/P61xoxq4UXhDc4rczn1
DEcXzRnnFJJ29a3Q4vAYJcEAcr+J/UwZy+Pt4TbnhtfGH7EgksHV5nUiq05maUrPCmnhOdL11sN2
SfKj0DR2dNe2djCyPSA2FbBmV9UuNaqDIdL69Kw1WuW4IdXRl0Eq53s5EgDvByvEHKqJzWD00U9I
37+HlxAZiT6uhWvQArXGaTSqOD3L8WweqV7+hyRpeIAiKV4SK9krWmysK6yMRW5syRev2iHKoNlT
pjfZuW/67qNjCP13HQ71v1VPJXznuGyOhcwYFyrVr6smqm3MaSTMKjt35NqPRWAaJwXI30kY07tN
nyEHLpZ9eNIiR3rVFS4CFEUob3B548bzPEvDfDTDHMS0VKt3t3fmxrW6FLUXhUNuvOvSRTGYMhT+
9JyNRvJxNGL7PpzAid0eZWPtKL+yctRgkUxb19gUYP0mMhnJuRV19O/UdrXXZZiB9qLVdiakbhwA
kB88tzizAHBdH20prqHLkQ+dB8q+EtoGldUcyoGr5DjmWQ+mCiFgLMgE8ugujUDzR0CehMVMo8nf
ulkMqY+o6ZQeKGajHwznJ/aibjDxRpL61nGbLOTvOwODNTcfYI5jWGknB0LUicqcCjrMcyIHeoQ2
RWz4sMy1/+qoGZIjKJEWGbTODsqdZ2trfUntsT0AoqaAXri8zvomgoeSF8kZ4ecamYRsOjjFbH+I
2uHj7S+5tbqwsOD0oHgCdXR1k0k28EqsRyg4tziNWWQHd/ZopnddbpQe/P3c0/BfceVWDw63R17m
cJEaQ2NdkGrkqECzr+q0pI9NkKslgX+foAxAexT9jXS4S+BHu3kh9zsz3TgZQG6gJOq8SNfdtDAK
pkgqpegsTNoxZRnM/8zW6OyE41tfjnicni5FoWtkVE7JeUY8Nz4Hcy+dkl4dXqWhEXcaVfz/YSiT
zfEHfE6jcP3pdEMywlCOzwO4Wr+Ow+aYIBEEOrjfK5kscd/6Wy15BgE/vl5X7FJpEnRA1SA+Z3oi
DXdmp2FsLNGD9JwyiI/IZOYvvdGg9HF7j2yt5iKjBpWcAO6qCV8PijWHic24UZL7KK6N/+bB+CwC
q379H0bi1VkajyjSXsVOgObixjDisyUB3IVpqntwd3VvUsq9IHtr4y9bcDG8ALi/PtzdIGyggFN8
jqYJ6XikXb5naOF6hhNOj1aN8sntqanaxtej+kpgBEmA7bK6TYoOyZcic9KzhZLmP9pUqG+1laYv
cmXkb0aVR3AVauSoY4RVexx7AvV3KSXzJ3uOCtmTceiYPOKdrPKtvi5Oo1MKCvBtlJ2HsMsBeiRW
/72n0lX5nVOPppuOBjLsjVoamIEVerezK6764twcMAOhp3Ogdf0P2+2vwJq3gpZjMCbnQtj9mWOQ
/6rIe3+UVtJg0TDrNr5DDR5/sGbtL9qA5vnOo7R1l6Dbi1Io3YHlcb+8n1vDHuHTWcl5no3yTTND
xSvTcM+Cd+vUAbcBafnHk2xdzFaDtOtBJiRnqZkKV01iOKBx/gVpivrewZbSg02r3t/eLFsnDnQ0
kETYT0RHq0B6piXRIs+SnntL+pE4tfJUpUl0r2ad2NGY3joGVOqp+dLMXRrKl2s4hxQoCLjSs4TE
0DdbQtaDtjjOk0kxl48DbMCdqS334foSA7VMuYKAfalBXQ4YOT2EmEXK2oqa6gNHYvKcWOp85BJ1
mqxD91VrpemQZezd24t6/SEXX17K5wtYjwxlNXKrtSCJSm7qzhmAbSjV4JaaPR7sOmi8UYjF5diI
dmqU19NlUPL4pRSK9ue6ATjXRDBIKrB7gq64VyX9B2ppupfNoepJUWZ8aIPS8FWnL3fqQtdAnz9g
ywUmTgS6qAZeLrQ9GVoTI/C0yDOl/0i9nhkucsvzDGdEiw80UsK7MGnSGMqJIw3cO4bzNWjb8rku
pkGFXyKXqtdCKtm7eq+7tctPQyCShQHMdtVfC2taYCSF5DPIoX616rEIXaPN4oAOSl/8p5hFabip
JiUf2qkrftBAJSDSO1X7N9UhyLtQoEBx3N4dy3Jc7kt+kw3AiuoO0dD6ICjIE0mZIJiWc4GWVJ/o
R7MJ3y2jwMyJshbtnS3EsVUkQoJHnlC5yo1zL6UIK1fYmqmu0B1Mqm/PaWvzkcItzaMForjGbSPA
FNtC4opOo1h6yLNFlEzOxgPJpHyXy9p0hCajP+h2VO6EldcXGPMkmaLui235tcYypraixQP0PAy6
fI8QeuA3Nc+YpBTl/zBJ6oAkxuBCKDGvbrBaayFe5UusF0b5KWpKIwat5ki6Dwa/GN1pCuyvNZpP
D8msQUC6vcTX9yeNR8KVhTSzZI+r0UOwl4iUZfG51qbWw6EufbFCK3LnckjukG+Jdt68P/Lb632q
o5qwHOkN2SJUiaYYlYjo3PZa8hSr3VB6fVkVnTsU0Jn8jsep4eM2RevNpV1VbhZY4XcrdVr7YNli
LE9J2k7NqxwWQnsEPIxoZzTEwzOOIZ391seD1B2omSX502ypJbeiCHIsJZrckO4bMx2Duw79PIyu
gklZDDvo0R/H2mm1Q96jqXXW9AA+FqUKoblz19dPg9knEONm1LdcXr3gIU/7MvJKezbfTH4W4JoI
7XdUu0r9Cd/tCD0xfYYEG8Zd+ZpZcWL6wyhp5cEp6zw+NHM2O66VNdTMQt7F3h2RFjTuUG9CW7AH
hS4x6bgsvapqG8iHYsLpF8u+/ochUbLzB2O0pjup6TMOeYwNiVegylR6qtHBTeP9KQZ/BrmcuvHY
pybKqEavwkIITPuoihjkXVbJ+cj5jfSKBnM+iqPo5qa+J47TvuRFJWONnspB5ddjL3+UmwHHThGY
feTP3aBoO2HzxiYkLQAfu5QBkLJaXr6/QrGxWpRfK97UtKodN5e73JvqQX9O+N2/EELpP9/e9Bsv
KapOwGm4VUCErFlBuVLOnVTHCZYoQpU83XlE8D/K0F4KtV897seveW9XOy/p1pWC+RgkuKU1DfD+
cpKisx2e5zo6T0mI/yOysVjElOKuHt6PGeSWNoChIvQPn/k6N4CWUsdmFp1D/IuP3NKNF6ZG8NCW
8s5Kbnw5zBFIQkCbLC/D6pE25snC66+Pz7JTGZorGjN5JdMy77rR7n4YtSzt3Fdbzxz1cJpweExd
t3CwP8KSp67j85Rjc+5KQVhnB6yJcMe+vUe2ZrYoeYDZAwvCBC8/l2wKk16JHp/xW2q8IdBrXyh1
51J2BMPdT3t4xK3tQf8NaAtFbmKL1fYYA12NRhvMnibP1R2OwUAR0759Fc1uHr45FBIepI7W0gxe
CTxgURH3chElZ1MW/QMGePFZqbT2ME3mu13H2IlkASQ5gA5pnCw/5a+TXUwKltXJyCoWhX6Q2lR3
EQJuDpGe7gULW7NaKl2wGLA1pktzOVRnmiOuyumyM0bT9qRhTO7RugwCksxc29kdGzcIDAaNzA1K
6yIXcDlYrCtTlgPtPqca8qja7NjCzRHPRPrSru66SWTP1DH2CKHXKSs9w/8HzUUXF8L05ahVVuaU
E4iH8lGPf9CWqg+prtTAy41xzg90L5DZhJuErOVSi/8Sgq/dDX6XdVw94EAvYaNi7LNc2Nrlj7Dk
hneH9/MM4tuiJFXU0rPkDBikYZGSPVod0mivIVi/xp16AKM05/PqSy7LOfFFXA573gQbB1UFGENq
shR4aWJf/p5RwcjIjMv4bI8YMFP9mN0mKVXXiJr0YHbBfLx9MWw0yBbTLTx82WTUXuTVAiCZBPTB
ImSK1ATZYfgjeHbPuL2hReqnRp3em1ZZHfVwDg8YtSUUm0Vwnu15z7144y4EWk/xEzVGQrj1D1F6
Q45zm2czyTJxbwVG/OLkevC/zHeRDsBfiYsXOOHlAje0O1vDydJzYnf9UbZz56jXke5V9mw8oKpa
nCx4lV5HHuQ1Rk3tp1XURbP4/zg7r964jTUM/yIC7OWW3C5ZsiXbsX1DyI29lyH5689DX3m5xBI+
CBAEcZDZGU75ylvq4/2VXznhUD7+uP1BJyAVvv4hqa8XhSWM+DKMQ7CzwJS6MLImD7GarWrX6kc2
QcAhpwKt5uY2yZrIR7Zbiy441mu9KxeNbeyErNY/iRHL576w408FXhAnIxwfha/2pHq5Cki/ac73
Z71y1XChWUybu9rm79ezhjJPcDKVzBp9wxMhWNo/0N3q3ptd1B1JxuvPVB2GrZt7ZViIgcZcIwMP
Qh36etigRUu8oKJ6VvLB9N0Cq1pUXrBAPNRwIXIPLagcf7nSRpDgnycM6ppu4Vwbu+VVlBbutH2b
OGfdaK2DCrPp7AhrOEp6VDzEja8dSiSCNwZdOUtIvkAImzkBt9VAbYpaK8wZNFKK4ABGJt2bPTWO
+1Nb2cE2Ip9gnQnPbivRflLb9AkhdsaKhQhbFQe7WtcOjZD9jWhzZT5IE1CGnjlS+k0lGo+E0MxA
6J1LUBfuoNXq+zaItxBsK4gayMfMhpyESt9Nht5AdGpbNUB5bGwH4Ym2kl5ijK2ImEQQSe7Ulab+
Ti7jOjoA8q5KxI+bInisKOzE+39eXD4dNxRQ5JkisCg6SqPpW1iiANojWTwUWWF+EgmSnKE1iY2q
48q84c4Sa3D7UuC8sRQn6k3zHP+ws5lb02Pu+NPIO6co3xs1myovVpyq3Zfl5L9G6HUmXh43/bPT
1trP+3Ne/yFEi7OUwkpfE53pEKWSctbtKfwdihCRV9dAF1wKZT5yQY1ywMRs9FSUQXYZJBRXRUL+
1/1fcbutWQ3EV6n2Ei7flNLHqjDKsi8lBLZKeGT8HnfgWvEqA07r/aFWJ8xG44bgBb7l/4HM1MMe
K+BzQv2GGymoYLtHheajwA564hQaLb5bRYjgPLYePSp4OOzWl6q21XK38VtuQ6FZ6JNQhvuZ3v8y
5GQ4J2kNI6B31oBaRXjLfI1DKX3KgrL/EQPvPNF60l/GtB7PiCpk0z6RIMajcR4G/cbK3AaH1z9G
vb6wS0UmeZ7G4KLmcv4SAiROXKGM1mMVl8JDHNzeo7WTuo4dvC+bfNy4cFY/DNXQWQJRg1a7jAur
ptS6fgzDS0yKtqN+mLReXgvt++CPhH5pUjpPY1/4hwA+8gt+986FtZD+WVRiVvACpinPQrb6TXQW
62zGwOyCS2JY7SkzTCRepxS3m43b5jbsnJm9iJGDW6S1svz2RWs5oSSACDf6gGuzFYPLNIrugGg7
Pg7UKz/c32xrZwzSMi8yDW9e5UXsHyLINunOwO2WldKuGUpc26cecdEEXaV/H2rmjgCema1LlxFH
bvdBbgvulNiQIjegqbcL7Kn41uQyYkj/x1hgMkEKalwguna9a63YyLM8T4JLC9sbhwlAkUaDMpM8
GlvttrUVRGObBIqMlCbK/GT+nYsmAAiG0JTOfSqHH0JMDj5lpuif8Clwvtyf1e3rS4cUKbM/eB00
Thchc+NLwNvhtV8qvRd7vfTxVkrSbCMyt9eGoVxGVQnL3Vmv8XpGWhYYhS9GFByibogOVqTL7bsx
HJXgfWso3X9RnaSKl1kT3ee+rNq3KKAxcOwD7Ei8sHAKw+OBGNFgcJz4YzYOTXwIemrFbtWO8s+h
5unEJRwHJK+wcLT2TMDW+rEmsph2KMJRuWzQi/6NJwWAPN4iNG9CLRpir6hTPFDaRkLia7KMKPSQ
27N/53XvkxoYxvAe87jBd6kQpcNz5RdsZ9ke8tYTyMuRM8a1ZZ0CW650rw9DM+dJxYWz08mA99gi
mPUO5Pzg7Mn5k961h1kiVFYn+1OMC0f2ODZOe6bx31b7UY+NbNckin5KrRxvzcoqw/g0Jab2zUx1
OKY+OmX+Phn6bDpaqZCavdIWXflcymVqPxLuj6cgGPLElXSAV5pUgIkekZf9XNuQ886hVtc/SW+d
cC/JZfJOrdpKoEGW1SPC9XHb7VtZwvDB96MOdeAsqAq3kZvglYQpQ/4riNTaxapGRG6eK6hBy01N
3SyS9OKN2j/+zfc358o5AA00N01lKGIgvq93jR/RDlZDNAliXaQPvOuzSloA5GOi2hxunO/bFg65
MHAZi6cat2pn/jF/HTq/rgstyOvo4qArvqefMLhYqE/wPOR2b4Joz7M02ilWuDXwbf4CcoYKxFxL
gzK2vFjwAey02rJxd5GT5HPc19J/QhGx7ZFktechS3iL2xKPkPuLu/IKw64wKNIgRCbrS+cnWwv9
rkp0qrxh0TzbLMoJj5tnAdsYZyH9B21N6YhSJ4X4oqs2Lu6VninlPMrLM7SBy3t57zjGpOhZ20WX
0oAn4+ZFXx7HkDKQ26HqdWpqHa6c1vh4blfqlH0DZ9S97zSHZNLskcwblBp7+rATp/ursrLlqFTM
jSZoNRQcF7vAyiDSRbUMaqowwz1PJ/lj3KG/R1NsY3evfXfI01y6ZAE8K4uhoqnQ1SmGK4VAv3mJ
46nzUif7BVuwcGNoaHt6xlud+bXpcQUjBwAMgdrjIkUP4zFLhe3zNjuleuACUc5+rUmPsaR0G3f+
2lBIp5BEzrI95MfX5ylpgZ8RYLGtFdqtBr2fXV8r/WFI8vF4/6OtRDjkw3SSGY88fLmSvnBswCk6
j1g8YtFTpE7wKLqib2m7x+0xyrNI3jg9K0PSjpz7kaiC0VNYvJsBopJ5Z9rBJUzKcB/T8v9I/yk4
OGFVU1obpI0Ds7JZ5iYvzQsDIuBNaauINUEFQwoukaPyRHfDK2bPxTdw2aY3cU26hsCzamOSq4NC
uCSBmXFHy0A5BQ5umbPkqBlVnVf3qvksjTnJMwbw3hjYrTeUZb3BfVkJFUhTqFUjDIDy+lIXw6wd
wjqTmG4wihh7M0qSludzIKyN2a19wjkaIUYlJwUGd71BFVSLzNacOWDNlLk0NEJPiwt7Jw31eCyi
VNrf36WrE3Og9MxI4pkgeT2en/hZbM0kujrBf8yycwzwEmNro6wcO8J8gOp006iKLY+dFPUTRmS2
dE6bXD2Kscu9Ysptr8Hr6N+PHR1C+Dkmm5KUfnHCx2F0utRhKF0NindCgvCRac4XfNnsfeEANb6/
fmvf66/hliKTMRhmk/4wuXvooL0eGspx1PJ2Z4SpugedtlWuX1tJwGg8jgbFfzSvrr9Xi/HYaPmD
cx71Sbiq0hWXMBh0r+uldgOruzYUoGQDxWhwHGTH10ONJTQOpdadczMm81yK8qSXA6vYhf3+/ir+
aWRdd0XmozwD0Ojv3uLLm5qzhesjZP9czU/mIJoOUEEsoHSP2rtB9onrRFI7yT51jPhnrXe1cAWl
Z4BK3ciJ1LXRnk5trs1GZiTP5qscOVP70WoGvd3rcQC2U6X9U+2yYpKN98hTqEc7T4z/Yh3vR88A
m/MQprn5ijOi8V8b28TuJsae2hNFOcs/8MwXP8tUy3rP7+32nU8uFHxHuwMdBHgfJTZnA8AyD52S
MNpZYNhlV0i+7bilDkTedcBV2N+bqUejKwQz/C3q6nZ0U0PI+tmuc1l4fiT3XxJsmrojMuzGZ+px
PFJkKGm808KQTEhSAizIrQajPWm04t8ZpXM6R/c/xkrMSRmCv+b8dZaXvP7uk2lCoS+RPA7VxHxI
0f7djcog7+cGEckHSbMESOQXym/Fxtld2XEUXWEOoQmEGMHymmgUAii5UriMfKM4CP6LXRo21HtG
Y3i5P8m1essMIyDEnYXKyTSvZ9mWUgvOTJPO0mSZp5HcFoqYlIzE1+xAKR0ll8dLeHVo6s96rr11
6IL9c1EC9Vvw6bQndGgpyyZBpkVZZ+RAErO2dHDSyVrPr63po9Ym08ZTfXvPgxqfQwOaIaS6y6XN
Mj3H0Y9WtaAxdCK6lU5pUnW/76/q2iioAOLGPHfGb6osxgSGp8SV8zKUtvJYjALHeuRdtzBfyu2t
i4MYnGzAJ/giQu5ffLwBE9MOnBVoPbv7oABxeUv6YTI9Ix/S3gNiTQkdaeD2mWy2/ZSGwYSOB7TY
aFLMN8ir0Y9Y1A5gZTn8ODaDfJqFDD/dX4w/6I3rS40yKy0nVEQIbm/qm5RrUqjvIrz0U9BcCmo1
oyt3Yfa7l+zgRFqBsIAKNfBxRBGevDdDLnxKxL6MJWtn9HhG9lZnPvehOZ3v/7TbgzZ3a0wdetLc
4zAWj2TYTdGAzGlwodfQH1M9q08GFsxebir/LJMJoBLWAJBflXwZqf7rT2VLNm2wtA0v6HzLOznt
kmOcV/4+1ZIt/Xt9ZfsBR4c4zzMClnPZ4M8JC0DEEY8GkL7fekqoCK1TZkyOvtaJN9wn29LDcQh8
c2X43TPwl753Qfu0byZljfYRD5rxOOhNrwMJo9qzGyZH/Y53ZGY8hzZkGTQIx2k4YPzaUtqTiipx
q15rPgZpFv2HYaoIXY0272lUhzjdxYGvzKWXYvjmGIBxd7LRde/LGYu90+DEU/+RlCrzsmzAGEAJ
jNKAPCVrby09GMq/KR6uWGzbzu9BFLjqtpUZmDQkxrjy1H6wfarRRfRahXD6Nx6BlR0yQyrJsKlG
0xKa//yvwoNExytBzTS8ZHbUe+owoe8IbPvDoBVb0J15sy2OydyER4+QjgOeGIvN2DmpofkO6d+U
x9+UTguPk2S0np1p9U5FXv+9Axtil8Hsc6O8HXf3j8JtOgEfkIID7T5sP2hgXk9UAXFgdymF4VpL
5F1WO+0OGnLlBY7jv1PhhQBrrOKN23htyji4o1pDWs/tvzgUgbCyRNJT0gk5tvc1/Zdza6Ln6qHj
7b/kvj8CSvEz/xiWBXWFqquBCN+f9633FToQBF2gPmbsKn3q64kXyqhWoUweNYV+9QkRPq3dzbqj
j0pLhuyiA9n3uyjtUoEr9ATuhFple8mNKniJ1Xh4UfNBfh0MrQ1dPx2okRSFymTQOMm/K6j8b6mE
3xzu+fdCq6QCQhn6xoJOmcx4aMF2ni04eR/kuou+4UMtbzB9/0Q3V7uRYeYmgcEhnKFJ6vWyEGBJ
aWU6eNDaUoRfQRgIB/kiDTW2scZW+MRDY0+gXyMpIN30e+kU4G/QnlSltd+yyNHCD1oeSP0OZqPx
xaD8WePJ1DjaKckTapp84tbaCxmdmYc+4eR7RmjU4QfFHxLDQ1bEBIRUqK1xlKJIajwMGpO3fND7
ETS+gbXT2KY5YjBJAuTWsLqqOoSa4Rcw90Hdu1iyTL/hplbYBPu+utWCX/sKqHLRMoUXKd/g+iQj
VoygomaOlE14piU9XjS/wnv7/u68uX74CrMPHjUogwfkT/T21/XTN6ow8i73zxUtrh+doYXvSiUd
dNeMSMP/j8G4d2YVIpmoZYlGU3o/l1Ay9s9p3Cc4NE+gn9Q0e8R0aCvRuYmtmRf9PVgZxNcz1eB6
d02+1fmaj5DzGJG0CbMo9lmS2vtRnvrHhg7PUcqTCtiwudVkvrlyGBnuC3x5zvAtdqIPsyGTbOGc
Kwc3J7ccE+MU0dEGlRNWnmST06km7Q4tM6Y9AgbF+f4XXds4GEuAqAVWy5WzuG6EMoHZ7RrnbOR+
eBHENF6SoDd7f5S19cXsAYDdrAJD5HW9vo0RUXfyJcAvVm0Frl8MhDfk4l9jzDJPkiTewGI3HnSy
f8ZPsr4EvLNyD08ZMlrXI0sFPjexTT/DEJN2LOE9HwcMYTBiK/N/TZNmVitK6tSp4feA/L4eqtF7
WeTzfvUh0Tzmqpw/5FVnHeqSuOX+eq58NbYqryNNJWqmS4DyOKuZahEPlS2q5nOlwYiB29Fv4EFW
vhqlDEqXNE2p+S/Xziyw3xx0K7hovZ38DtReHPMeM/J9WQvn26RkGveakYfHLCm38HlrM5w9TdFM
R7wHKuP1YlqJZNstguGXsuiMo6x1mtjJOua0u/sreZOy8NFmOQC0DCmY0mW4HsdppyRHYZkoByPk
Pf2205T1eydqhxMp/Ba2YmVF59gCLu1cvLm5Z0ZtjABEB4AstbKCTWc5h7IbzX2Gm98nrVKrs2pn
9ZcWr82NzXkTT81+nlDYOX5cczdVoyEpHDuU6ViloNDoiMzEjDRNPmIurj2kU/07q1V/qzq7sriU
Zw2SDLrgt4pAY2biyGSl6QUXx9LfI8Mr2W5uF0HjWgLSy75tiiw+tFFcaCd/UJr+ksGWweGnD4P/
0NuJIQqRPvxo7Fo13F6P8nJPdDy9pKrTGW7aFE3raj3b1AV0ERwVaTA1t3Zqw+YaM+TnAYRBeql7
sy0vTVj7rVtYra16kZypP+1sxHZRcqJzX3a16paFEz1hQxZ8MSdffPEDWfyOAtkvQAtgi+OGraP+
wJoi/ZpnQRTszaaTwyfDGJtvbWLoL2jZT08WGzYApySbwJPSqfp4f7+ufkfOPYQYMPU3UriVkyud
SFXytjBGIjyblFZxkT0ShtuAzzGp4kZ25A1xVWsbl/jKU0UJl4EB4AEPWZZFpkaKHHpCQGGsLm2P
aZ8EWD41gW68FElTv2PDi+8S1nLPKIh16mM1+EiA35/+LUmRffxnT83SZVxOi/cqUrS0E1oEHj5O
2uTDnKOEWD9hboDnJteS2w3WNHmSrwTfm0wZkPmg17KDONOQylVW/zrB0Nrib9yWrfhZKLNAUAFf
gorC4rqiMuoHTctVWeRN0+8ZqCm9vioxAR3Qa1dcJ1Mi46gofdl6zVgZKdRKU0cAjV79BmZp7TuR
NVHtoeOCie7iydM7vCVKQeqkYpu8mxXh93E5+k9pih2Nn5mG60h5vosGjHsT9PV/3P9E81QXkTp3
DHUV8OsoWCwTGB80FDWcLLjkel25tjQajz5B9cY5WIlEZ1kOZKeJD4l4F/f2aCOWhyctowSI8uEQ
07gToxxENW1dnetDkY2CRWdZl8ELzafG8h3APFOiOvu2G/QPWqyIXQKIen9/7daHmrutsxESL9L1
a1QGHVFMHIBRykS7iyJZ3wFKmdyu77YE9Fe3LEIwM3KXpvLNca5FGtJJb2n+5HM9OejyveRrxkdN
ypunISracyTnKeW6ST60g4Ipruann+/Pd/U4k2eTSQBdupVYqfw+g7hHINOB6fuKInxEDFxBQW/k
FHk+BKK77DiAPMD+LuF6ezcqoph2RaCJrxSwJMdVzVyLN26ZtUuWHawBPrURb14ikOQkmyxukeDC
29Z/D8t+wPUvDeRPlt82Dyno37NQhdhCWfyRcl0cHcr7ZCIz0o8nc1F/UHylB4kqQZptK4j2le20
3wss/N6KYZS/5mpXvfSjleYvatwXsetXcie7GCPH49OU1iSlTttaL4MBin8aiyp1AUlJb5bGFeTl
U6d8RCWLxm+UV/AZZE1IuidxyLqdjTIfVQWprA89SIN3pe7wsFaibGieIWHxGkdWalw0bJIb3JBq
ACfhFDbfUHrO04fM1NKfQPx7Mv/UKvd6gaknrn4TjeDUCUP+mV7JSzxW1U8phizjFVgm4iUY+KHh
KVkYa/skL/yGm3Es3hpbKRCBc8bKcq1Yy96TGkrFF6gKxQNeWo32GkxDss/0ZmoeqmaIf1RQ9n9F
QSh+3t+eK8fx6nvMV91f6W4ZjDZARHanMJI3tY+s/VhblZfryXT655Fm/bLZb4omwE2C1I0kToI4
6DLq+AMZfSBOueitXR4Nxkb/cP7Ri032R+GBCwY0JKpF15PKm8q2CqmNLj1QuYd28gfPLOpi988T
AutGLoQIiG7d6ByAUU5M+L2w8Sq/+0/3k+gJPHl0yIXYkkC/ZbXMABWOKbpedOdJWK5nhJCtHVYG
ag60las3aAfTt5Fe42fQaOprV7biWdRl9qZUfVSeIjkUVG+F1pV78Ev+t/vzXrk6eHdZWdJ6h5+z
WN3QgDTUV8Qn2ATVTzbyMq6aRPYBcXxrD0hB/eIYqbnxSVfi7Lm2PhOmoCzQh75egNqBUl8VSnip
gjzf49uID6Yedk9BV7eehFXqp/9jkrNm+Uwl4rVaTFIujA6JEuiqcRRRYxJ2Hr8GSg7BXiAX8RWj
hGFydapQWwTF+X+83LsQaAj84CjMtOPriXIXOlKJvD3yQAChXC23Jy+bQvvl/vxuEWfsKPIVEhed
zueNE+YYO0prqWN4qUM/0Fy8lPqPMk20U9L6euRaZZC+l6hb/6hyfzg3fZmGrtmARtmLTKD31sqx
cqimvtr40CsXErsKDAVLwPOwzFYDFVfJugON3qpK8iQkSxwFfYjHZEq2ZMdXlho8A4UTTg8tyuVG
TsOePmwJsVsNe/mbVavaoZ0wjL6/0ivHBVYLn1LnsqC7vPigsRyB7ndmNJbKgzNo0y5C53SU49Hz
E9xpO6uIdveHXFlDnC94Zin5UWJfhnNiyAVetA6Ro5GmO90M5KOp4F1gqlm4cauvnEtsyBBQnJU+
57799XZVkWuQZFillxLt0Yc+trunKYpRjEqJ+ttDLhVq596f3RwhLk4ISSE9XsIpNu7yhJSYnymB
wgmRtbR+VxF5vzaWPT4g/CFfQkCQD4bZ2BJi6LG0RR5YW1k+JFCR+ehAZb+ebq9OpgV9mDJiqWVH
3Yq+9pVUvFer6tf9Sa7tTXi62HjOKNgbfj64F7np5+NZmGr8jLPKm4wzw0YatTYIQT/N7JkTfLM1
/cIW2kQh4qI0cf4wNH4T7kNNr7ccs9eOAI/B7BUy83yXm0QylDwKAUBeurZ/rShDH5H5tw56m0Y1
eGu59KIaG/qNfbL2rchVYZWDsbi1rDPz0BGmMc39X91/X5ci82xliA9mMW6B9P5kLcs9ifwFpTzU
6rhYF1kN5pZaE8xqovidDz5aHU0VP9fIc/yudSN6TUcxCNca2kDfadQbLZceRvu+DLLmVTan8Gsc
976OrrVfvjW4qvyQg6B7zdO26dFCNMrKFU5pbQXjt5+fzuUs/ohcOWHSUjucI6Q3Yzaml1KzG7fo
fGVf2f6WUM3aKHPfDFme2Xp5uTS20xHsWgEVMpFHuxgRz/1YJeX+/nm5/dhsY9idlFMxdqYOf30w
0W4Zwrat0os8mSmMRTk91rVSnpMaY8r7Q61NiBo/FQBiIK6hxbeGkBarjRAIiUnYDpZpU+5r2A0b
Mlq3Z4YuOBUgjotCsX3ZDczGtsuCNkYWqg1V8HZtNYHRQVPl2W8RsXfVEsjSvsedY8u14k8Odr2Z
5644vDj6RH8a49draZJMhVYQZRdVqBCpca1Qba9Xu3rYlcPMNIgVGE0Id+VB0Rypx5qmK8mD/Ias
dvcpT4EX7ETc4T7Na2rSbOqb7EeVtYruSlUQVC5Ukz54dIooxCcMR71flCGHZwPmn+nhHwnqyQmj
l0oBlwTc3amBoyK7iqBfq6Sou7etbe6tAJrAToSBOh5prqHmFqXTkL03wMilXj00eu3VClhrz67x
uKGQmumRV5Sy/nnSCpzle0D3qhsXIwmgntb2g50b/Ov7e2VtWwIHBZNEzHqrcoeDINZTmsrzmLcx
cJep3KuoosHKSZyNy3xtw1AJo040K/Kaywi5RN9USBqKHcMsZ5GwRt/1pMYSzerr17qqFM8emn+2
LeMRpB/LHUsVDgnZxfPfw07QqoQwGZMN5dSMeIPKhaO49aBKO5yvqo2zd1v4Q86OhA6Rb5iKN+T2
uqnbPDdQxlXswkh3URLqP+La9JXZNzlJAGDSb7BGJxd75FqsH2pQOVt8zdv4g/o7qHNef0juN9FV
FYdwQf1ZOqeMc9/r/TH4SC06fWhGkT2arVyddbUGcoRa+VZXbG0/kW7S5mDZb833ajxrRlUwdp6m
jjdbRbmOL3TXmNKtgu/aNQeCjPoQNegZ83Z9CyRSRYqTsZ98ecLWyM7LU4FS3Ma9fRs/oolNMKUS
6qDgvtxA6QiBP51MREmkzCvSLDtCOg1duRpGD9jFRiz+h6+yuNrwNZiTVqYkq0svsSBOEwmyZ3wJ
1E7VKSwF5ikGJfnRDvPG38+3wexl0WDRbvdUc9y6SqTHPsOApY6i1MulripOppCE6flh5DzEcpBt
QHT+OBAtfySXPqEfin08nItDNQTceNLQ8ZYF6WQfJ+AvIGHoCCi7oBV29AijLpD3VVd2z4EPytiD
dtIX+6gr048zzu23g1/Q9GDKUXGGP9EO8DNr/RsYtdjam7gRxzu5j2y8mlO5LM4p9S/p4uCf2Hs2
wq6l59tTMuwz32zQ5yQ22VKKWNlb6EQgaI/CEIXR5V1lUsmIxo7PoORO+lHPdMfVYr3cekJnMOZy
IWmvIjgFVBNzqcVCTlpUzlg96ezY9TBeoiKNFBe+vdW6diLl9QNtWUSLu6gylA9GWeiSpyW0L9zG
mF1/VRyMMreURuGj7y/nrz56kMJtGoW0bejklpJuo3c7Yfd24aoFwg0Hp8PHyYsR3EW6axjtd+Qj
uD2NZilPXicn0Y+k1TtakZP5Pesm7cUAq6q5CkSIyJWbMIr3iTrYJmR8yWh2TYr77V7pKhPxuJ72
LlUWa/hc1FoGv1KMwakoDIFgdqTI36oy8n9lpW8+KeaYEU7CSv4YiVT7DsHENs9t7pTOg59PWFGV
FD79w5hM/dd6CjPJ5RIv+l0aSLHYgw02nEcroDroFkJI9c4pRucTEZaUHCZdCc9jkso/bT+3BNzK
uv2eVT1ixgU2VwEGMH2f4skiR8o7WN3DZ6WG1Xmw/WhWYolHbSvdXamOkcUA0WIWFNlvtGRHM7Sn
0q6dc92gk1BQK93Feh14AVp5zzNw4slp4oKOWZu/y6S227X0UDzL6tSN2+xPZr3ccaCd5oRqFide
3i9U47QsEaN9zqJM0/dO0IdI8cVNVT9N6PZystQwCh4Sx0GlMWuJDjyy1CQ6NfFQGy6CqMI5AtPy
x4OmifhLk1kV+gRBi2SaQWnefqRtMna/ZKWOWmgFJmXvjO3ySe7QMT01aDaLfRMg9OQNUi8XLyUa
yeWhaBPxPUutFGkF8vLinW1PzjtzmnXDgJnX7yGMx1/sUjII7lIMS/jPhoZf3mbj6EmNhXOIpGrN
1wgKQ3LILLnFWW8Eq+9OoZ6JF9TEODCjP9b5pR+hhogm6jKPEwclPHVG5VnWpsZ2LYd9toEUWQl8
SC5maA/HnMBgfmL+KmH3wPbjaSicsypXzrGCa+G4LTnWTijsATx6ql1IpLsx6tqmY1h4kfD5aDAt
23N+MXub1ZJ9DiV1dGMT9IZIsmIXlR3drK5IwZE2vtc2hKOyWooHSxH1UWvGLS2XlXiE55l0hN8y
UwoWD7UVjhmayR0/BBfenaiS6Qk/lHZPL8p4ajsZ0LCVWQfD2CoErwQjKCgg1wBtbMaxLnIuC9yA
o5XzZped/OA3sezFlaMf5D7YsoFYKVfyUNEzpBLCp74pVQyo0NV6KgBHJkP7QaeeALzZxq7ObTQY
XjsTXvCHOEJs2LUqmU5mpA1d9LET0vRNU+tSq1zNxxgWaU9fzv8ZYYZFIlHMbCZNJr0sJCJqJWgI
h87Zlup0n0QZWqSDyDZGWdvnc+eM+w1I+w3Oiz/IshHRq3McxxLNLYCzH3HwrOfXo3MuQ5dYaJkZ
KFhsbfWVqHs2gaTXDk5ZvkHQGY0trLYKpXPgp82w1+qgIbrNHASKRv5Id+uxBUDuG/34Hc+R4Rd3
UfvCvqG5miejYrl1qLXO3lR8A6lSTU3UnW+V/X8jQDOaeVYsHeyhpn8fk5O+3E/BlNVfP2ezhNtQ
i5fABcrJQoGRJ53LiZsKHCk9bSNOG0ACSqY/jlqgPeOTHRxAPMsPgx/A6icvNjysc/UnETup10i9
9Oxog3SY7E5+DcZGnMCiSF80vRmOIeIXG996JSyGsMCLRu4MDHWZ/XfOZDVOCOSYewQXpykLj6LU
s18x3mIfo0xSNhZp5SijA4Xe+1w9uS03hkmF/WbLeDjNpj9SzDgrr+i7+n3Ao79l0rg6GAVxON7I
Pd2IzLd+SB4/63mMQxfvKEGFO6QUUHYwJuNw/+OvBJqoK3E1zggtkLaLWk2RCKeQSuZFI3nwlEnt
dgX65Lv7o6x9rRnjzI5mOny36xeIGRJOhTk5Qgr0pKyg++iUiI5wPFLcZzb1i9YWkNeOKjh2Qiv1
VFw76zIGhjlkZrcziKz2Uq8iW9wgn3h/aqtDoY08AxfgPS/BSLrvW0MazFOLxvYRE2/5VSR2cnaw
3tnY86tDAdSlfEe2CXzwehWVFnlGq0vgz5Z99K6TnAEhOav5linhFtd5a6jFBxvAoIRDEHO81Dw4
4NZBaQ3b9U+BHyn7f19AngUU+GcsK9iG61nNwtcCWU7/HOuyH7qQSmsPQ0hxGiwukftjrbwQs4wa
Ji2sH/2z+Sb8KxKS6laNwZQ45wyO2r7Rp/gpzPp4ZxnTt6oLf+mNIo73h1xZyb+HtBcxgMgnIwEG
gdogzE34kqY6vBY9uSTBabMFIVibH+UCMCt/0M7LkKuaITbyWPjn0jbzJ8n204ekavSH3ET/xhCB
4BGcrI262toMcdJCdohW0y1wnn85tU3n22epwMLLxJqJVG9SD4EhttiFK/cI1DxgpA7NrVvpxrFr
I6VpCSkLONW7qdSDndBa38PmN/JI1c2Nvbk2Hg5elPDAj8+2Ydf7BSN1v+vzyjknXR8folZMP0Vj
fNXbVr1EZu9s5OMrK0l2RqVnJnbzEs8/56/tGSlRLqX4bYHBD9NHHofCy6I2P6ItUmychNWhAB//
eT950BbbcigwXc1gG1y4fMWjlhvjE1Uf831nwzW6fwJWAF6GzTNNI9nkiHNPXk/LMNNAm0yfNwbM
4GEYM8krh1zfDeAyjpJijSQiMOZrvHyfaq1sP2ciyT1VKaWHIKDiff/nrM2ctu8sgcpeumm3aBXj
F4hinCfLRhkar+ATMZ20D6jUboCfV44jahHsnPnZ4/lblFcw6fOF1Q/SuU2L8bFEHvKkRJJ8qKcg
3deN8X6QingDfDLfzIsEe9btm2V6gJ9oS01buclSvDtHNJCaPNg7Y558oBdRb5TgVhfxr1EWMytl
NCh7u0NxzIwj8nGVRgVuOJFbRT3gpftfbC2TBJ+PTThfixhsuYE6P510nA2kMzQP623SSuOMVL++
630YAoSijva+Qu3poUV94bOCSJHlRZMGlKzy48P937K6vBQu6FaQZtzk0lpN8h5rhGblKGONaFrp
xQmcbuPIrC6vBesRMQm0W5YZqyTHVhBnaJo0mjFc7BQQjQ1D9slxsv+jWceaQgkgTJr1+xeHU4Ao
jKsKEK09hEAwVSc/pX32en/VVg+CPd+hXKSAdRcXW6vFTm1jdnFBPChwR2us9wb6vjsphs7Zo2Ho
dUn4dn/MtTX8c3ED3+F5WkKgAScpg2XUwUX/H2fn0Rw3jobhX8Qq5nAlO4hKliVbDheWI3MCE4hf
vw/nNOruUtfs7G1qR2iACF94w5oO1AahuqMGIm/LBH/1/2MoSlr4jGzqWKfJSMv1WWE3osXI8cA8
XMs6qga9jhMtHa7sv+1znB5vQB0+TDXA1WfAbjpootV7cjVUr6oj1kh67C1TeVjw+tjV01J8IwFz
Po+p/D9K0oAT0WOlhoh29Gmgu0jkhZeAiyXJuuDY2nW58/JpvdKAuHS+SLAolxBOb72zt29FmWbG
4vgcdYDHbmwITY9L0yyvvAHGpQ1J4qgTBGJPBuvv7TAehgf1GNhJrAlHpWGDjSwo2nFejdDtq0Xc
JJ6y/tAgo5EqlCG7nRiwKz7WlXK2upWcUQX0hzHYIfUMnHbbGxlCUqr+rTdKDHvKm+a1VtClHU0Z
bSvzbA7bp1mUaapMQpDV4mbWV2TXRfUraExr73rS+D8OrAd0ny6eD0rqtHJlrLpY0AikoNHW/m6D
UYW5q0/HbmzmQ1lit1bjlXSFa3bpoyDiZGxuClTp/ZOrCGRjkCEykuHItcxRC3MjtLNm3iN69NH1
V+gKULL+j6OLxC29ln+Ee04rU4EJj8YsEDv1jNR+KVuRR7bViF/oIH97/5K4cHJRAqXorW8R+tnO
rgtldMMmOqY1ZprSTrDFHUbMxqMBhhSJGietX9zR7tQRaOm1xOfCsSI35YKnEkml5/SG8gqEG0s0
Tm8dCfg2RMsFzGZRr9dkzi6OQw2MStiGMzkF1tlt4mb9gG7wLEpc3GZn8Q6I5CQ///task94hGn+
IbB6cktkdWeuyp4pYlZOj9huMu3piuYh/d7kVhjFGAUpNMG8wlj7/ZEvTZDSIvEsptNbPejtxWHS
7HKHhDKrmOr5mYZWD91EXHuUL0U85MNI1CJm6XEGTyaYNEXvrf0mwZkVLrSWvB/8HWQFWYdat26W
DEvTefu6COokhJqySKq32UKzRFmTh+VvY3VXgtlLM9+ItGAYQGueFbNbX6ZO0cK+r219fRyoPsAI
kNei84szJ8Hb5Ny4BJj/2wV2qmXVO8gqMewI40ZSmb71G9nuUheKh4WROXjQOn0EfSPDIJvmWMdT
czctfn+l2nLxl2y9d4TKgBie0ewWB0M4Dq0fVziZ87ii1FfBC3fyfte4K8pEIu2m77qm92uI1lPh
7jujccTBAmrgh6XmLsW1n7R99jevP28WUT1Vkq1OywZ5uzhCjMsaJGYSNxNsw9AMqjpGHzwJ/q5z
0Bq/AhRIp5BXzI9HSHz5jQYvEq16/BW0vWhs82kpC//VVI3z16YkX++kN/NwEVtfs7TYSimnPxXU
HCcF0VDAqCc/NeB6m1NPsF1c5fcRqKUE37cuRxys4112wzHPTS9yAiXFTeemmf7ZyAfb/6/nlRXj
+NAV2Ri3HKW3K9bkOq9HKSjPWcEaLfDon+xm7K68XJe+C9uEu50OAJCE7eX+V+I+lqU35G5OwbbL
9WXnaEH2LFOoZFG7toJSyFh0n96/iC4MSX5AbQLFh82wcFv/fw2ZVoiPlcOYxFbp+mInNHifQz2v
wd6r8uDFx/Xh8/sjnoUfG3jKo5wD9g3HlFNlp8FI8CQc0u3qm5561Nb2o4WQpKzK+ub9kf6BPJ5s
HsDLJHwOmoQbtubt5JyyhyyywktbpKs92FlQAQj1SqVHeSflTzacMsIBkxqs6bqmXuOyMPKfC6Ke
zU5rOvHDSiwaWqPVB38S11zb0NZc48EpF+epsWg9hYPRF0akDF12oVZr+nAQs9Y4t6vZIafqDUgr
/zEGvfUiM10k4lBJlwY3nSPF87TkUx6aq0zwQyrN7rOTA20NeXyzmv4eGoP7ee5nEBDJNP5Eh3ux
9qbU7E+zocAwiC5onrRCs2K6KyNKdqBvg+dNaOOuQavK2Nmz7bYP6PrQxwPkhP2ePxW12iVGhSHg
bPfqIwjkXov8JoBjJepGEzd52XQN/6Y3sp1mCptotknLY4BPefURTTicXsx2VdVO+AGASN3qvDHK
J1OfomYBJtPrIyjCpvVQ1c8q/fOEyegLqBeMAbVMmx/yqu+gNNPSQj9UAnpq68B/sSyU9nD0m71H
C5OgV98YWh9HFeklu7z1epvOqmlhgKgKqXawGGUf1mKm5R2UbSqikXWZQ5WuiGxDo8j8nZ+5PvdR
nVTTzhrnYtphk6lXYWOoAOdR2VZQo8xU00MP9YZvWGhmJcpPS/H6/hY8i0UJtOmGQKnBdetce2AW
o+MjCu/EOirD+1Ez86+VoLOv13Oy+TfLw5pb1wS5/qm6vd33G26OXQ9RgAzoVHxog4+sjiPcGC4Y
gjHC7m1j19t0ZKCfz0Kn1iHSPxVJ9KDINnw+iZmJtbrDybYcrizB+Xl/+2O2gOBfNwzpPB8HBG9s
lHW6a8BW7Fu3N/dS95Pdf15tSsfEceQ1eA+cIhQ8t+ZgLaYdw+bMInwf9dvJabM6LEoVHBQH5WG0
lmt6pBcmSN8BwQcumS0X3K7Yf00Qy+YRDMZsxTPX5jFx9X6nygzTziX9+v78LowEqJ+WKP8wy9Mi
Sz4SNeTFbMQTpn6ARpziedQz/a6fnOzKUGfvAr0hFhFINMBrOnvbT/n3pBakkWYzDeLO1J6pd4hb
Yxk+BUMeEEZa6bVH4dJwMAjYDBu35cwPwGjslnS+CGIE1dy9ykY7IpgwoqBIrMiu1TXs9dlKMj3U
SKg/kCUy7MmzR6ydOeAtaackXv05mccE4x2tNb52jdLElTLBWQyzDYb8CRRpXiMSmrdraU/YsVRI
9sROmefJTYPBDE3vxqz3vYnwQ6TWXqbhXAd9yi2ZVR+GSTVXwu5LC0y8B2QKuXoe3pPfoExSRiP3
vNjHz+AhXW2vOs7YkPV706mau44r9EpkcY4BZdoETVSY4KIisXCyxja3d43jSxBnpe8ON70xVGpn
Ia4OwBzwMfJZeeZj0507BOPB1Fg7Y5yT30OzmPHoTbjaZ36Zfu7ybMH4ohvKISyXarwmhrrdP28u
S34m8Fuw1bDhkPI+Ob6ar3h+NEBtPf5Wn8xWVn+82frPRZdtFBfNebrWBCSnAWRgYmMMQBHoXNPL
7129upjvrJg/pEvWfX7/mrg0o80/GMAdupRnh6m1giVBiymIxzmTe2Li6S7vcvPKZXvpCNHKQkKN
e2KjAb/d1UR3dY2KHbu6WMqonFR9RHi3C5MAVvb7E7p0gLbaMq4kFDzIBd4O5S6D8ivK+vFgNHoa
es5sfe14tz9OU518gSeeZRFlYUHoCjQrD130tK8xDC4dIBycKJjRYkbS7yQRMarFrsYCENaKcVQK
mtDtPVyCh7lA4Rd1sdhs02vzvvAh6S9zajeMI1fxyZhr1dCmTEwKmDl5e9PU/Q0U8ix+f3X/Kbme
nAAyLOIULicuxFO9dVsYvga+2o9TnHe7YdeqYRF74oviheomPl0FCoeU74Z+QECwcbNur4ylEk8U
3zaduNxp+2iYas35LrLBfpqSEiQBjbM0jXRDjesjPAE3e0y8rP06ts6o3ampGMtoDbz092zbNTG2
1qhDqrJgiHQHySI70TyDcn5TFmEzINUSd0ubvI6NV/z2p7J80eVs+btEd1b/xrSnyokW0c/fdW/F
fETay/JrGVEPuJIHXtj0NJAQdqTNAeftbNMvs++VCxhIzxfiaOgU5pvZ0jbgZ3N4/7OchY7AaKCY
8MpDgtqaHm83fVOtmXA1Ex1wYu0Il5AAYaKs2OEWqo6OWZMy6Wuyf3/QfwqVJ3vBoQMPJp7O8SbV
9XZUtH3LzjFGLu1x0Q7k5Q3pAE37l5Z6621OKJlGDWLvD3LunQ9qKOsHDaXLD6NbFjGtbMxFR8qk
3wMxqmsc2AvHwWHVN7WrjeV4uk95uBxVdNQCTM1tfyWaoz6uqez/n3XfmlgoN2/A+ZPLprAGb8x7
PwCHYCp8CE2jjZIqs8W9h9PlFBfa0P7qi9IYruytC7fcPyxK1H9QSSPoerv0wqxEJ+AnxjjWoQEe
0BVQMoDC7BaQwYtWvx1lhWqMkcrnqsmu0W0uDU+Rg+CSDW6f7Tc1pGsJVCcguHSmuBuDPNKKqr6p
xNTdVtKo7pHimfYDXdpDVznmlVbwpeFxagI9Bs95Y+K+nf1quEVl9DkRoO+LV7rg1gfHanWW3kPB
wxiaXW9UQ0gCuUTS06/a5l2436HC85xBYrtgxMx8V3D2YL3szdY99OTQPBV+VRi7cVLmE7RZrSFD
FP2fQi0ZG6/0vvVOZt9h9bEYR81SlrwZUbj/niQ2QUpj5+mTlGgxXtkml64gSvkQV/7h8ZyK6a6i
BCk2E7o2uei/S7PwoO0VK3n4YqXXKsgXjhx0M0NHrAhNkbOX10ul1ERKGmBidxY53uj8daU+fXv/
1rmw9uRPML0Qr6RYc5psNMj26JrW8gCVyr2hOm18ztZxPOiJrenR2P9nX2Cax1tpmC4RKp1n0X9p
jaL7B0cMQCQ5DsYAG8SrJ1Ef35/XOWSFgdCWsEw0bdHmNE82tTLBQCYFgUtjjGi/VcbqolqHAvJ3
zR+19iVA4urnYNowsXgIxh9mldsa9VgbUWKvyTv00br8mhzDhQ305keZb09anuaeKduegvQk1gM9
geSjiQDkvtcTdSVwO69EbAsArJaXzMeM8rTS3FuNJ+CC+rG0k+m4ZBji5Li2h14bdDc1t02EA6cV
cmTyaMwkRaqpqa7pU12csEf/Xt+qIjxsbyfcFb0qtQ64Xs9z+4ACEPQY0Sa3lar8K4/HpaFc+oAA
KyG/nYX5zaTE6tQg1Ft7TP8O40xHaZDjq+e2n97fWxdOJhsXLCzs6O3G3u7TfyXohkMlLcdUKR6c
wYZClrbPENi8K1CyCyeTMUjJA/RWz8vDykfR3hFEvSpr1KuejcXNEqTLU85Sp1EZTO7P96d14RnY
vGkhstOz2eCAb6c1FjXSd3oDNG/Avy70lj7/XkmvkF8zgPBeaKPC+kOJanqW1cQTNQcVNcn3f8Ol
Xbu1jhBSsAiLz7yAjGLwhr5ZvHjJrOU7ou3JUYjOGUJ/thrEskgBMqQhrUbRkBDiDvMIdbv62nKN
hnrW7CXR2EpLvMebfPlp4rOqxPTsSXdiMOqkiqDqQsNZyn1hZJjVdtX4cZ2UFjlD0l55js/bVgxN
oLa1iTaE22nRwutU5S1p78a+13lqb0P0PvQWUhahOcOCvG8TuxOhpfU5dFUr+ZSNXvKpCDz1uA5l
cu0IXwiGA1Jz0mcuEdBZJ7s9IcXKqipxYrMWQ5glfJ9wwRFz5+ZucDA60e1RO1U/3t8IF84Ysrho
qAFoolHrn0RkXOjSyvrajevJ/d6rvrnDpDK7Upm5cGVsyD42PZWoc6cG0spKh8DkxGMupttal0BI
mnVafyojcf+zKuD2VQFq0X2B9BCc3sdJkeLLXKzUo4u6jRsU0GDM92oXDIt9pftyafE2aQXIedyD
fLW3J1notZtUrnRiqjjYdtTdeFh15yoEZ3tCTxKWgKAVfhTP4ibm9HYYqdfWkqyFEytb9uXe10Fi
htjNFc9Jv3Xwe2UU91PeFmUE/zp7nDo8b8JGLhWcGb2GcPf+nrn0OWHMo6m0lU/PvA4Crx2GCunt
2ISoejdTWGrDBUPmcqfPPiTW90e7tMiooeC7gRPSeWmRWqUtlT+4sUZ7LxrpJUUz6lL//VUjwafT
C9SdOOT09NnS8OemZRQQo7AkLWeJSrtfD9iyXBMdurR8YFx5zzbDHFBDbz8nAoGd0zUM5eNbGlbB
IuOgkMEuSYVx5UtdWju2JjcokCCA0ttP+dcLmuVCUx3Q5lj3tPp2ZjwssGR3Ze0uPCbg0LbiH/2B
TYL65BwElEr8ALmxWM/r4PcoVzuJEjWOS6jcdRWRgWfZb2Ikdx9AJq9CN2ubcmfZgLevRGPnjzm/
ZHN9AkDJo35agxxSOuZ+bjixh7vOw1yWoM+W0U3nsGu8+t5cR/Na/nBpSIpKGzKcu4BW7Ns1dofV
Q/bY5TRgYXyDoW2B8T1evIe0lfWttKZr1dzz/UN5AH42HxXdGNL4twNSRJ9ry8+9GGfJeVfUIj1Q
T3L2jcBq6v2zd3EoChIWaFSKx6fdZUuii7WUjguwA0J6W+sVmpI6ryQEzSvciG2Z3l5yzIqeD9E0
OgWQT9/OigiMRnOVuLHVCW+vJ3I+rOP8w8BiYF8C8g29zE+iGmvvW30trrsxbXCks/HJ/xCM2xD4
p3GIXlhahi+MF0snEGAgUvGCsIFxB05qOBo9bBdliRY1lKQxNy29bHlUTXMNq3BpwbnrNnQsvamz
NHHGQ7lw7NSL9cGoDyaum4Ds1urGMOnXv/9tL9TBNtcpvu4GmyYCO7kcVLv4Xi4pveLGh/DDQPv/
V1VkK0mLr32qNkEezamDFyGkG0vZIHgwoct0ryp9uRO+1R+nfC6e4VnJv+//NNszz78G29vjOG0d
LPLmt7vBLnymjhlYnJRpMP8g/Orsj4tTGcgqaJbXH2zlQib0EprT99i9jljordoKvAj5JpgT2SS8
LsTnRR+e8xKbKPdj1yHV2907pe2UT0T8Q74HNoaLxCzgeISzV/Z/MTny2z9r447poUexP78f9aZA
nDugu/vJyckIwglgoH9rtnMKXGjVW/Utq4KhidwBwf1Qc4K1wITCSosfgH76ZTdb62QdNc+qjZvR
N0YrCtBVsKNMLFPy14O9WIM4kLmcIzrZafEwzItIwyKZHQlu33V4jux2+lG5aJgfsGrE3CdDztWI
Ujj2a9T4Uz3uiG/pSQyeyNYPWWEi5lJpwVCFgyj622nNlyTMMauUgFOTZghdaZlP6EHQQRFDr4pb
kKpGHaHRNBB7dr3mgzSS80/htLMb5WY2ZTu9n/gvRZ5kT57Z9tNtmfdGgnFMr5t7eCkY+g1psAyv
5WTVprvzKI7DQViEkR4aG+jdvrNw/EP/JV/TIsRcTVVfgGf43b0scqO5WwpnbQ+iIiX4ubS11KNB
2u4cNdK0kSRpptIOgZ0u4qNedRpyREqt30XvQJDBArR6GVdwuD8Nq24f07a09N3Ueo2zxCjfGihx
TIgX2g/V2k961NuWvN9Mc0FTzKPzE/0GJ3ky3IFqd910/RfH7edyZ7YO4DED2Sw3rDvN1MPSSUy5
M7tGn1FaTszXtnOzP4Y1BURcppT3dY+8/NHt2D4IciT1D1ocXh9SrS+zcNYz4+uamNrwARdfibiR
0YzWPX0e69GZXbVElrKL35Pjpt1rllbVeqTevNyPftfWT4onIdvnqWMWISYv6xCOjitvazx6ksOi
2vnV47UPdqupLc/wo507XS+112Dlf5Gt1pU3GKZ3NK1Z8q0lrXNCXSSgP5dxVVoBh7nxkITPvUxF
+I+2GAHlSRrZdmc9CYoc8x0OBWMa6itzDK16staos3pQ4Rn3y2dvacYf4+BP5i6oCzoXOnid6a5M
RG0dSy23ppt8npo/ENO7ZdeMTfmzDqayD8vAgXnekY4e1OjmP3JnHL/XnqE5oatXfslGX4LP+ZDp
YM6pSk9hOk/yo9ZpxIJF0eVDGKCxWodom+TGwcbxKzho9GN2gUYavpNJQo81mz2DHC+vm3gsqATf
lBYCJ/xIO38oxJr8Hhff6HeG0cnPEzLR2S6gR/IEG6tu5p0rpOV9lEaCWIqVJ5NzoLuOj6Wwu2wk
O5sM/Ys19DlPJZTn9k4E+GZqkXBHSFvW7G7AvswBadV0Gx5R2B759TJkQYI8y+IQ+U2WpT17dld7
d9Tbxs/1SJ/vB5LKKG2ssAazB0MUhvsqi7W8IVhFjixvswELt76Sy3gnS3jXHzwzz8VD4XReG6X5
GCBgiRXWPtWC9aELdPkToCY1MN/2ihlTt97+2GXlqD8pD0EXrsIU/fRhrexf6CzOZYSReSBv0fSz
5yONyOFeUghww0pvANS0UObKMJ89fXzKCwmSMpn7fheg34WdlmXMIM9E0XxZcgRhDos9qeU4p9Tm
nqZuqB61NgEqMCddOe8nKkopm65enX1m54iNtI2BId3KivVIY78Mfdkur0YGw2mfcr18UNOIVkPd
avp3t/P7D5ZWjHZoDYNuxP3SjtidU5ZaQ6f0lRf6SH0/edLObYxgoQbfG53K0o9YO49fldA4H1bq
iwfhsrcPGe8BYFFR+pHuYuAaBebcoyFlVdLdNQ4H6QsaJeV6SDelxrtWGTmCHSkq8F8ybRiNo20U
4iWb1sY78G394JHHfp0iN3PnD13SphKDonlZHrrVA4o2mLU37qxcqDJMORx+WOXrUId2r2dV5LXV
3B+q0nRRFQBNuz1xxlTtLbOoPxKQGO3BqU1RRHk6g/6aS9P5NdlyNEJcJapN+tc2Qgp5bN61BoLm
rVX7LEG+/DS0Kf/jecJ6qmrf0PG5borf+SCW33rpucWum9PBC3HIUPpumVb7hUp5ATIVEyTcU9l/
X3iQh3oXTO36LTD65GV25XDXymb9i46MpGtcrdPnmbybe6KR4xgi59p/WUyFyYlWaUocqtpoPnvW
0H3rEiN/oZaMgmheVt2+X0YjZ1Vm/7tTUjMO+bt5uWvauv3r+vQFEBPL5jY2pqbNIC1l+ofW18o+
btYlf0TDBFmtEqvBJBznwM0ihJKzzxUVRY+khF0dFbpXd/EI/LPY0fd21/uxdZ0vGZCgBKXMydPD
THTyLypZQKxLG6Vdv/DGBwF1AZU04ehwXJCfurerpitD7E6z9ou1jmKXzAP3mVPiBRDm4zjwyYAH
fqzpt9DlhHCE40ZT5L9Ulyh7T1KRpwd7tIfvc9oa3Rcp/fqV3uKi4VHbokLUOBk3rVpw1Iyntcti
P82wSkO1MPi+zGv3y3Ym295zFdX6t3WWvXNIRGKIA8Gcbu/HvmseTa8W31BorXnkF3OEEy/Mr9QT
RhU51jABip/JX8LW5O8du3bN3R1i8cBewhERRv/WK9RkYRo8zCJECjDPeXuCyg7xz20+LiqVDqXv
upqiZNDxdIJK9NUl2SvRDFyST0he08zz134QT4SQJu9LlXcYagRF0O5WTVO/Gm/WHZRDnSndCSAK
5I4emui3cjR9aOd+thp7qVVSP5qzI24GJKedHaTQObuvTE89i7nt7aOJFySOWbqSr6ICTxlNo+lN
UeYHJR4iZU/CXQqguUCRnLI4Ei90j7Kf1HrjjB7Pb5kmCkpYxiwDcLXPdZsvBk5bS1Igy2/VWhZB
VVXu72ZEiOnL+2HveSkUrMlWH4PJ6FGWPQl6UXioDTsrjbj2ajsuofwtu1EvhR5awOq9EJGc9G6w
huK+mDyjv5KAXUg9NsoxHBqK4d5Z398BSljxohnoMQRbkJbmTyiwI1rmFtcMzi4MBXiRWq9nUTSj
tvU2uudCritt5C5OBiKBlDgq8pJkuEH6pdm/v6bnFRDSKJvDjVw21eXTDLa19LTNlt6JGwii+8Qg
jU2XOv34/igXagDUrtESQsMRFsppZ7cd60mf2sWJwRBrKtSdqXuV3EkvVrKIg5vo6a/3B7y0gpsE
7tbJhqh0mq3ONjKxSxUAyCSu3BvzaN4vjbd5KJXWlZLKhV0JlxiQDtrc9LlO4RJyxkHahG/A1dMa
/V65ub9PcMhpbsZEG44YZPkVllxLw9vYGdl4Zfjzpd3aE9uOpDJgUcR6u1fqcti0YVsAoSgeo6+R
J3dmBbbWDjAqglq1Xqnpkv5eyD3hblINNLam02l9ribMVzPkQiRDMu1HJ90kCfWOXxG6SlgIwgrE
9yLoffMcubWvq7AchuEeMWodXBaWDfV+TfFjj2UQZCW/u/B/mAhiC3jfmVWEdqrP/U7ovKk8FVaL
5F6vBz9Q81B5BPqkdXaVV0J8E7Y5frHTWZNflqaH2tnZjfN11kubi0rLS4DNqnPvhjYhaNNrNDoO
tlZjtarEiJxaPydJTjLQ5RpCgMGY3PJXEnXX2dtNT2RviF3W0ZnBW2RY/A8JuJP1eeg9f9OAqTv/
KPsqexKdvtrfhWFJvMIq09FuCCiNNELjEMdPbL7GId1VXaDVoY5zcXJ0U7GQHCXG8IwZUFuiXoin
U/VY1MYkb4BamAjN5Y2kzdLXmhvp+phMOzu3EAj2C10zjpSRZbmbtdRxD3kgjWZHENRMr8XsIpnZ
S4+QOzXNonucXSN3b2Ez9MVnzyHFh/3dl/kdhvZ9t/c6GxXZTAOthYQZ9I/PNin8ByXB2EeFO1pT
1E0FBlipVQL6dQfwDdR8Vv1J1v5cPQDndl6UEyD4lwXYme8xWjPqvRGkbbeT7lwAKqc5YN90c6t+
SKmM12SpBU9x3XXpPYINQwPhiY5KaNdtPcD5r3NxBMfXP03BBt3KFewA4iRTbv9HaYm96Wkr5t8U
uzNE8DTl0wVMO20/zptMn2fPC7WKySmGqOmC4aNm+TUvA+/YeNDGnjWIyna1PjWdW+GsVgcuko5j
OVX9Y53kvfhbKNF8Qc7TJX1w7NW/yw0/vXdrN0OZsujKKQK5k9z2sBLzfdBovnXAXagd7uvFHJyb
VUNjHI6IUb8GDR6z0DhMh3MACODLvEzubddJMzgOq1HcVVy06+1YOQJCeY6a8nGp0Xveja5ffZ1y
7KBxfpvtLKxkab1MThd8I80pXmTQm3cpjUgtmjKnru47H5RsKNpGC24qUr2Hyl4RxV1K5RU3lQrQ
xhtKGgWHsSoIHGrAyO3OwHu1Czmq+hKOvek/llnBwamaJhvCAe+PLnLnuv1h20rjv+mr4Jed1tnC
uUEuZU+wpdOPTFPoKaOVGQqZjb5wdhjBz8+TjqvNvV5BlsXqaE2+2HWt6gigXv6VGNGrIrdy1KeA
svjfWfW62vdpJT+VSnYTOh5SH/eJZm1/s5B5eSjF7D6natwYG7o3UghCmPixm6u+pfHpWL9JAZT2
sC7B9LI000ZcawJN36Po2ZfQeFbPOyb+lFPuqbEuOLRgNf5oldutMFwACoazVVubEKOzPrur1jdR
Ro3RDK1cTXUcdI045kMdBNFoZKqN9DVI9YgQvkbJPweoFi0B+q8hKReO9CqYrDbMNCvZ5zhZBqGu
uX15IKOzyO584A8K6+uDtWQT3Q0Mge8mc56KiMYDnExz7Ghpe+24fJpz4W9q9ObwqRCtZ+6AFaCt
aDhkX3SeqilUsuq/pnjmmUccm+UuKebODnu6OFk0IhyHJDsC4/sa7cQpKlfQTbE0Uy8PccMtnsi5
XTyWpkxceSLOYwq0CvHBpFINlItX4u2TVBmLrs+U+GKI5RgJlsmwM+c0uFaf3f7M24o0wwDY4tGj
9k5n6u0whteQlPSFHYOMnYpwcYbhQ9AUDT4H5dL8oavefFiHxjmWmWbgmecWnbuZi5vQfK3i2/sB
x3kUAHgWqWMdYQNC09M5I+JbFx41kDigTXYfJOSnmmlOt9T9vI+U+IpIVcEU+ogdHN8f+VIAAGTu
H8TJhc7cWPWD6Q2DFQ/C9D/KSRrkGGt9sCe/eVyMRLvSM7s4UxPyNzAtKLynoZWd+QsSbL0Vb6Fe
2AZju/N7Kz9USfs9CWr3KylSTa1SzIf3J3oe0yHeRUC3Ac2h2px20bRihpSICEOMChBGPYUz7aRZ
+lS19PXKUOchDkNRvkLmFt4G4oBvtxaljbIonNSKgTuoXVUP6cPIZfYhRRvjUFq0PGfXu0ZYvnBs
QJJu0Sp1fSD728L/qxk5u+vQTqrQ49Hu+ziYkl/OqqdX4v0LuwUaCsu3WZGgYXrSjevmrEUOutJj
aYwuhpvTUv9EIWt8GBMV9PvBz50rjNYLn43dsilxgKaFHnWylrk7DU6AbBNCxtygOqKZt9Jp8sOk
+dfkvM97ZKYFXwnCEnEwxd6ToQqUMmbcpIxYC1q1V8I1fwKPSo5w2uxbgYZTRH4n9pWFXq6JxeuV
G+nC2kK0d31CYyDbWH28/YB5ViL7S7smxtZ42osZCG/pFglhqSqiabH/jwMBLmULwxmSnu628v/a
MDUusWk96iqe8QaKOlW2R5q7c+w4c3UFBHYuCgt4gM25QW9YYK71t2MJB0sRZ3L1uE5aTrauecOP
YYYlGho4+P0KKsls08JqurAoAq2ISPnkCFNUGI/T2JdQHT19bkMhg+Y/J5f8NLJKlF62FvvpMtj9
OLgTsVeM/I/zLCxr/WnMsih3i9/ZvzqDwsmVnGv7kCcvDzc9uCiHS39DCr9djL6C5ed6JaQM0Bbx
rCNkvyoEb32nm25tZfvRBG31P95+gPFJ0KE2gk2muX1yO0DersEVlklcrnl1EPhq3FuFNA6b3c8V
ONLZRbQNtXmhkM2ivHHKoaxVm8zBkkPP9vRs7wC+3WsAa65M6Oy0MIq3ccARAOJeONWgkWuT0BDo
NWqHeJ5kkIJvZt0oMe0Qya5Txa//vn541bB0IFGByWyT/tdhCZC/a6vWQ9XYlXak03i46RqYO+Zc
VlduvLPtsc0MptL2rQiDTi9yFAUJwdJUi7U1B1tMQUoLbVd09/OgHBo5KjMsGmWZen1/ihfHDdAx
AXq0UVFPtggs12SEuoG4GSieo6CEeet7a3qXFL5B/9aiWDhcZbX9gxd7cxiYLU8yUh6wlBBIOxn1
f6SdR4/bSLeGfxEB5rCVqNDsboexPfbMhrA93xRzZjH8+vvQK4siRPTcjWHABkpkFU+d8IaowpBe
w4Y8CBkgm6e4Kl3zGEceKdnkFgiowQvsg94V1MeJQazoIbP8dJ0aWxvMk0OkeajYFd8uG5oVHeaK
6aEHyVce66aZ+pMbZcPHafYU3CKadBwOGuCRBLpglXw3LGNEC5/aIj7DKmq/hRU+0rQg7eYvtcMr
8kPrSflE4zrUrvBGXOcoER0RO/FgecT1K4A1QAeNOQG56DKt/+1sOUpUxXVVkV0rUckIeXTSl3qq
vDOFt14d8qgtnyIY9j9Gq4ovjzd962MFLuuSF5GNcc3erp1Z2L4XDBeekB2JT31tdJc8pq/xeJWt
j3XhPAHPp6nGfXO7SpmjiK8OiNUodZJdLbVRcZaC/hRWVn+ISiPdabbeQ6Y4Vb8vuDpVTRVlPVaB
4VPrlDaKuG1+NMpZvBcjlj78zTuYkxL5VKuIl4RaiYIY2sb/4aEdvmRt6cWCvLl96CpyqnrCSZaQ
UdXvR8VrzvEs9KNSG7DovXJP2/wuU8IQGhgfGFfIlHAuVnesAmpIRoYVPqmFZBwqTah2+AieAFHu
YSbvQ8XNUvrq0coESxAvQbWscp3ix5zT2vem3j2itm28a2uPTAmfrZ2jepee8XzAwMDTgSomCK/2
lAllgx45ezomOu8zpNBVsY04uXGYyUNmt+XHVKDX6UGv8pkdzTv7ufV+if6GtpSL4BiXT+m3zzRt
LXceqXcDw8ij99E4Fy9uX1cwvLCjCndO8OZiKJ6BlSR1ursEWsZ6ujIXUUCnMntnhG0HQDMcP2Rl
l+zc11tLIQkAJGqpgon/t881mnC5E2ZOwWh7lU87tYJG7emnNjWznUi3tZTJBMb6JWiBt8/tUmpT
VKro8LKOp1h5njQl+6c1ZOc7k7FHHr8POajSWBrqfbB0cH9b/v233cogk05cO5iiqfSEWm4LyxjE
OQ2HFOSBO58ef+y/KvTbIM56SIIaKCJSIa2VwJo2mWIx2HFA4et+lk0RHsY5xD+MlvFJ9j3KLa1t
nPtETL6gu/xSVT3WH6lm7AgX3t8m9BDwCqRiQprgrqNvZ2CFK8kPCYG3f/BKi+G7jZqcQcvtaI4o
eMQ1zeS6kNZOJq3dwcr4Qn9ferW9SpFmluynNKhnVUUYpG+rzjoB2U5fZ2SX6kNFD14eGFxh+Z1r
jRH0MMaqoM9C9dxyMXe8vRrk287e3IEP+V1IeEH/tgghd1qVY4/stATaFOjFFMGCbu1Lp8zxOZEj
Am15Vj0bsk38TkqXTWuiS1IOe0n/1tHnLkBMhVnPvZ5ka2qtrnBGgrSznGNYNOpfWt93jDgSY2cf
to4+AxSIJ1yB+p0JhFQFjXBkIIO0mr96uSjUo6sLBInayvlUoP23E0A2blsUEQHnQvDhvNFRu/3W
jMiUNYljFIRJn531SEOTMp5y49BDQPBLI2QM3xC3SpAr760alVUZec1OY2nrqclkQLcilKZBtrj9
EW3quEUr8Lelj+z+rTad/V5OcKphA7XPJhncHo1yc0HeL4QSHD2Qwr9d0NGSJMwYtONwx9GyQO/+
MSlJ/uwMSvQxg822c4y3Ll0KHRu9XwqsO++kkoavUblJHOR9iRT+MIxHWYzMo4o+mRCjk6HfJKbx
x+OPZ/MpIZLzXTO45jzdPmUkyPwTKeKg8eT41wgc61AoUfJusOhN6yLe05XduuUZiBK6cCmGKLCK
IXrdAIIr3Chwans+ZMh1XLRc/jXZ8Fu8MGcoR6PkOKFvd2A08M/jh906yTS3NAeRCELFnT+MJUug
w165VCNq3h2WedR41sDfc4d09nzOpdYHeqM7ZyHT4RXuivFHIefIeXr8Q5anXN0m9AWYbzAZ5lpZ
3152bY1RNvYiyBjwHzLXjj5Vg7IHCt9chSqTkTrqMu66qKWBjyoG2k3BFNfGP6AXvtTFaH59/Ci/
8rL1s9DNIur9arOvJSSNwbaAtqJJpxbKDNzTWwyu4zkGJaNWFV5UCz1XdSPnG18u1M1xGkGQFBI/
qEMG1hXUbxTOzWHyOIwHrah6xDPssSz8NKqtzu8LiV3DWKapsnepGxvbYIDiJojqJAXr1Cgjz/bi
XKMUt00wTcoQzS/JGLXuBeU1U70m9GEh5dp6903kqrQA0ozqsxam1XfR9eGLjTRW7pMLlONOJrXx
WaJKDJ0aYjCU1HW6McC5ywpLwQZGEcN5rDvjHOF+94+elerHsZi7nei6dVTIXKB8LJN7TB1uwwBH
xVFkzIeh4yQfMMI0i0OP6/WHx4flF95gfVi4I2kFoPXLbbIKN65CWYZupQjgX2XuYdCN6HsEnvtL
O+s1JwE9Nu2Imaj4rgPSGV8VUENXsy8aeZyBCLTvjKlMnZPOwHA4Ysg8/hU5AH+BQ+uArh0rc5uD
q8jpW2Pkzo9GJp160Ua+eN92kzo/hHOefyrdEEg3yLbJ7a4Dw3TvVPZlizkjxtHuYVax4z4PIwN6
MDUughWTWZbP+PF44jBILf1UTNCCXtUo6SuEU3vRXHS9Gv5GkqhN/+0iHOUPLQJqzqmtSJFOeq/X
4tPOm9w4uuS/uklGShdunWo7Ov3ceerw1FaBeam1Z78b2ra4Pl5l406COEbAJFrRHFvHKenFpe66
KCVXqEs8w4mvn+0ibiFGp/k7/IK/eGWofXu85kYmRVlErQKPREVXbHUUO1kB6Sw5+lPiVccxN/On
GtV2CF5zvBMAtr4yzjoiJb+IeOvQxaWfZIyGkeypy5+V50r2NJ0+xebsvQ+FV/Rv/6qhSNMzWC5A
FFtWJe4UugLyYY6of2hMWB43iPyf6wxxwYNQjGY8YpCsJl8ev8+Nh+RSwxZ44afS21u9Tw0h8Xrq
UQ3pYkU7zYP+A4Q6cA2gkJccEu9OJNnYPsSn0YKAcUlgXevq1k7cYimKonDfQJE5jGKJ3vxv5uBl
bCQ7O7gRt7BfonPLPfkrN7yNW8I0KqHWi2NDWXfo3SwMJILKTrW+8QpRKMC5CiQcnYm7BNjENr2y
EURvVGSPz7VOd+KTPXgRpmVeM5enqimF7T/et40X+cvTg1qTdi3wrdtHmxJptYqONHo9mLXvylk5
pxWYmZRid+ctbiwFnR0yPeNMTOjXKuxZOyVAqzQsJmpZnh3K11dZGaiM1tlu4NI3tmxJcyleELwk
uV59BOhoIlo0G1ng5LGHhClyo97RnlVLHhhNNQzhKSN/Nr0T/x2DxwDJzbwmxVg1M//H4LV+JeJW
6MQ1qlmcqlTP2HcRuWfQONqfak9iDdxoIXJ4ZY+rpzJ0LRMfXf3HcAWA+6RMhk8ugNx45+BvPRdJ
FgoR4O1gbKzqBXOEJyRGJQ2q2Gt8m+/LD92y2onIW6u4zHmQiKP5QRF4eypMbiJrRIgnsMw5u1aD
CxjYmPZ6YVurQANnwE2CSvqx3Au/dVcmoYnYNWQGO6bqXmKcVI9t2Y07x25vldVJ6GuWARaVBbGF
+L8x2tFZt2t1Z5Wtw72EIzQ/cbYGznr7LBjqIX+LHWQAvltBAod+EYrZ5dlU524nTiw/+Da7WeaM
RFkMLJiNrTcHn4exbeckDbRQxM2RaqI5hYAc/5AgZ4WPsqhzLnT1ajjpm0UCaL1zbTItoaZCD251
+jzyQlsdzTSYC7MILAGQyDDlFADfm3aKl62nBNnBAAu5Pbp9q22L6jovqLqzAOmDLr9EbdL258YB
8ww8DMv7n7ojNRPMnhEiSDVhmf04MG6ujzI8rGwySVhEtxsaN+mg2Tpvuaus4tmcB/GO/qkKDNOK
rnk0Ju8wnlXPeMDuCXDdHyVesgeYlqSI4e76Ku10hL9wdmPlGdk6Jveq+8PCo1kcXL3aO7f3XwcV
Mp8f3FKWvMuDUEvO+jbDfBwpFQyJwyl6wUu3vzx+mfcZHhgWJGmJWyiXQ1S5fZmM5AfmvAUW5zEe
TschGq3cV2GclwcZ1sTWOurCV5vGy97QaKOlytJImSEcQ9uODb1dulFF0bdGmgelWUxfAA6Mr1mW
2OopF1rxM+os+bFrC8cfUwsenKEIRCSLrIQA7w7pXgG0tbW07RY5t6W7ZK/iqsADLYmjMKO3WX2u
o9x5iqxI9/EJjz6//Y0DwFt8nZY8cN1xMepJ73o7ygO85LInCa3s46SM/cFDK/Jzg8zp2cG3aGfo
vNH5QFoAlZ5lELDo5672uZU1vdtc5EEhy+o82ULxS80aPwx0mv3e0f+B2Old0qbrj1nWFijsOnsK
p1sHmp3mpNE3WeqW2/2OlSGMs9lJg4YG+aWvXeOI8pW3E+43nxRUAuZPaDfcT5wV0xWaGlppMHpN
9tEAaQ7IUh89CFVatbCbp2F6KWGpnFw7zksohfbwZdZDEOqPN/o+ayRpQz+MNw5V/C5ahPrQmb2W
ZgFkadDmleEMP6oULvahHkaBrm36Xz5mpmcEZcBbyxjr9g03PUjxnrwgwPTbRPCGy/V5aBn6H9MB
qZhDny6sxEaXjbXzrFt7+/vKy7//ljDQ/tZqq02ywC2V+Z051HYAF7zZ6XxvrkK1S4uCOR3E+9tV
wDlXIkeyH6SCZxUByDyIRWEs+j306ObWATpBDllVsYRbfS2ROlBteFxxoanXZyDEphX/0HtPP6KI
U+1UhRshmGhAHKQHu5SGq9DTd+oonNSART6Ayv/MnCT9qsfS1t+nthNerCgrn1QV8P+bj+ciX4WO
FtAt8JKrLevMyWRKbcVB1vYIQsiZ6uAYJrTAYj1tn/Wilx8er3jf+3UAPtH1JeqT/q+RQxgxSXw5
6DVD86C7fhjqQa9fXKVT2lPuAgyfVV0a57qIswhpNG6fcz6Izvz8+GdsbC5iZfQt6IouBIPV5so2
11OWhi6BhdkrJtSlX+mNxNimFC+R0+9JiW/MzXhu5Ik1mqQ2HLpV4JMEREYjkgUXOZMsCitfxpP5
0rhzd2kcu/Zh1jXHZtJbaLKoi/dF+pwqQvuLtE7ubPvWaVvuXdBVC3hrfevGXtKbJo2doIxSOppZ
D+nlbLXe9GfduLEve7MF066JPd2e5SFXuTGwJxp/aFwDtFr3PsQwDmEKTyIQIsx9cy4Wi4gzfBDL
juWL7LwPRuIUO9feRsAgSUVnaekNUDStzjhAIRAM0mNUpobOya465503l3vurRu5w6J6hKIfJLZF
ofU2LEWennsUSnGQWEp8xE6xOc/aFPpTjhzb47O7tRTY0eUULW5i65Z+AaCldOYiCTwIrfax7ppZ
HtLOCzN4G+Ye03DrS0EzC9YaDf7Fg+72wWoFX/A2UpJFdKyHuA+6pQNAcMX+5wfUm72qc3M5ABEo
95KocHvfLicSpEjiRk8Cvc3rJ8bcSFoPRvtEiYiiXWi1O7nv1sukCbe0o6nY7xBxcLBRW1BYTyIl
EERooqOdW3h+iZTY6e37RnYNGpQ4T3dg9SYzbZyUeNSSQMlJSqq50E/p2GpfOyOs/cdL3Z955LFA
OnM6iG9I0N2+xRYVES+pxjQIYe0+LZXnSe8wMH68ykaaxTKI/SygiI2eEaZ5NgdfZ5nGy45Q6NPL
Us6cKk+4lygz3A+1J+uLM8fJAc6OCduwebNvgrH8hkWxjspeu6tEx6Qbe3Uio7SsngNDFL+OaKS8
QE7Xj0OFAc2BeF4eYkWI0zhBAn78Eu5jGutb5CIMx6lD1+1xtRM24iYu+YiOVMPBtpvn1G2bk2C+
B8gXjpCs5ulj56Tx+fHKm5vMh0kLDY4l5/F2kzut7ZvEzXn7edSd5iQuL21hGm8+tb8a40xLF6AJ
/oy3qyABXUCRanm+SAmPiwEHGuqa44u2eTNvhK3UVPSjaHWCbFifWo4xlixdxVJhV14Hx+nOnYVn
koMHB06no3oGRTmcra619lxV79Hry9rU2TpVGfrC64qsrc1OU2hjBLUsEHoozeRnLi3Qv8skQl5o
TcbWJYuU+JXJW1Vfvc6JT1wEvY9iQ/y5nSOwJm3z9pYOP2thsy8mh/c4D2FIWSiGRV4o7HoCuZWE
f0AOG1tfaRpAw28/UfgAAh/HQ8Gx1ydqFBW02ZRgiGUD0I5hEu7n2u3aPRXxrW+GGbAJIBYrnLsr
OUaZu5tRW6Tq76EKJGWVfnGlPsunHuu/Z8jg1PbYicPmwxIl3Kkgfgkq36YhvFQ+VZIQji9Ditsj
DQM0qzoEdgJMGur0Dx2dmI5hnZiFr+lQk7/mYyWtCA3meOAtJIOOAA1INuOgaxM1ZOwiWXNUUFwv
0ZcAGeiPVuu28Cjn9ls36hXuN30lr+00hfYZG48xvsJ3M0LUrsxoj11+f4MxtAZy61IOcXbXvU3L
icMcMcAkaFQ9D/J0HP3OtbJrNxt752Mz4IMd5zOBt0cLbNnY30o8PUSkpJUyCSLAVO9LaRoZFMgy
O00VDE1EasZXF0UY3D7j/H9uBxXU0pq322LywMvEjisUS5b1AycYKQnLGgAUiK57N85SOTp57uzE
va3oSo5qYOhM5nPXLEmyKCo6NNR4ozWEGadRrtCH3b0GwdbusQbq32weMrKrNwpNXpaaPTFdbTTb
j2AVH9sOj2UvE86OWu99akUDAmScCR3IWqqf280jaA9YSQ5kOXPVvWqdrj1lJi3LUWrSnw13+i/p
AVhJpmb0uejirL4zVO0QmzZiqsvZUH+Yijlh4+cU0nzOoGZqfkMzvEa+E3Phg1ekpfMh7gv3vZp2
mI4+jmxbrxnp06XNSUJ0V3nQsxWKCyk3iLD19F2zCYMIHeJzkr9d8ZGbBCVkCFfLd3IHKDFBkWDf
DKy3BCsofVTrW+11qCb3GGqSue/jB9vaVOpKWqds6D1IJMojEh0lpaTqrOI4Aml6FgnYAy8OzZ+A
MPfgvZshAHzIItax9EnXnQq9KtEwNXiTdjjo2aESOMIZHQpn16kFkHAcSroHoVOJz1MRJfWpChtx
TcfK2OvPbGwpALKl+Y9qiEn+dXucW97KYCQWdd0wj8dcm/EnBG6VXGUx1DtXxuZaBFfqA0axjFlu
19Kznq0WYRQAb9avtpc0J8/BATfVIKE83tCNuMOol34TqzBCX79fMTRmhPE3x6ec0UfK2+ocolqz
s8rWHfiLSurSjeEq/LXNv0VyA+k8FCVAutui7c0DGmnjTy0R2t8Am9x3KPiWiKsNoV4896WsuAwN
Jt7fUS5IvFMWGdUXrDDU/mTWSnktUWRCS6DC4kk7oNOVuSfNHGR7TKi8ETuKXVw7IRs7JxN9Qe/t
nzYQGIpham8EeteZm1kip2aWzFwV20iPVu1qhywX6TVFQGAnom18bCxF6OTaAYO67pvkMkbjaYgz
DCknIqjSd+6xgY70V4xx5Nkww0nb+by3Dh6cGkhDpMSEleW0/LZNUTfr85STfcPWnV771nQvtSK6
J0Z63k45sZGUaYz+aT6SbFJNrW6iaipnCa2PKdAiXKQUXvI0N6ldXnj55iuUOSdgrlmfqx6e4c4e
bh16ipjFeoFv+q6IGkUCdCNn7RjNrtMEGPPUWXG384RbLxM6LB4P7CAdodXLLA2phd0yTfPqvLZR
6nKtQB+U5F8bycidvsLWUVkgN8D3aLLdIQE0JUkSve2yIMnt5IT8Z/U8KuKPCvqxXzjusMO+3VoO
GMWSui/yzeurdog7KPfA6QLU3Uy/5bb5UyATc1BMmV5yw9obYG29SlrG5GAoJzFYXx0WK06dBkuu
LJjzTkPRYwh9jmThF4by9pGRS3hn/Lnk6vcYGOoVZLVAaQUq5tPPWiXrUyLyvYHy5gNBDWZoAkgK
KsHthwa8uu9NlzZXNwnnONKbfYcroXmYFbP58jjC33dfeSCoODDB6bnftQpTWYKOqrI0cJGoOyvE
RWZgkfse6Gx+QQcpfcrqUH1zF5RFEbQgXyZOsmW3z1eA4KtrkRJIalJlS2iSu6z65/GTbZ1CSCn0
Jcm0GHstT/5btBrzamp0KLOBAYoX0/gG8QcU4MWEWpOCTOH/b7XVGTTrouVa6GndlbH1UmX596RO
0w8dn96xaqf09Hi5rRMCmI1cnTYPrkqr5Tx9gleBz3EwSXgGPZCDoxLBPhUlX8DjpTbfI6BkoHoI
mNylkJ4LOC8ZOYymonjn2NCzq94K5IaSWD01EcLej9dbDveqIF7OPVqEoIzvaXeGPntO4dJ48VIt
O5PKV0GopPH18SpbL5DcCcfhRUf/LrOpzBalpr5MA9uV3smChnua6FReRa83/2GvmDBQoTJuIUlc
7ZVLyzgb8AoLRKLHZ1RSI8NXMLk+DaAg853FtnYLbTxeHq0EAv6qrirF7DQIqiLIGamQFLVoOMZO
UwTqzLxucXrYuSy34sdicol8BWILd5clqBOYJwXX2OTlxZcm71r8Qcv4HFet+kXF+Pqkx6j5PN68
jUVJErlhqITZvXWWxTnMm3Tpk/MC2qDMoik/IPnZYTzXiaOt5PZ07Jv2239YlRjpLVOV+5Y5El5w
TB3EtdtCOn5MBX3JGBGdsyZynp1eK87zXGpvP6eAe6BKAqleevWr/aykN8sqaVgUk5p3fTFHf+D4
nvo5QlA7YLGNT4K6n24U/CJqi3XzWHciRPhCkQQIsmnuObSz+r1IQU4+lTalzc4ebhxU4smC/YAV
yWWwqmIQdqozIwqpx5Eh+buO6vAi+7q9WPGgoIRdZ8POpbN1aBhCUKItXO072DEvcUbjb2SYoyTK
MY49edTNSFyNSJdn5CQb9NqRWHt8ZpZvexXMlnJgGev+SohW26fXbi/tsIyDutCqD442vqOMRQXP
ceqjE9XxZRLFiLhe+x9yomVNygM0Oe/7UlrRIK/uspmNIlrkTTQTff18gMUkbTv8D3u5gNZp+xO3
79pTk07KUGZqHBh2iWJknUAzOFZGFdEMK6FUfUB4Jd8zs9i4J7gAuddt9hI24Cqshl2dLxkvdLhl
1mIjX/fqil2E3dYqqEdSYJHxEcNXG5jYqHH32JYHdW5Vfjot7cZK7smabkDP+N4Y+eGSsJCw1g+T
iGyoLGcB8mkkEUdJ3ffNqyvlQ8NnmBxTVCuKQ1vU6NVoMIF8IVCz9OcYoImKHNJOh2H75yzg1AXY
S2t69XEyGEHeEK3aYDLAeghZ5seikPmLNhf210orq2/YA/aHBGfXKyrakY/ue/cqxlLshL/tX0Jn
VaVs2aCMRd6Y8eVqFNRZajXHCc3vFytRYo60nXlBG4ruXaM15nkqren9UEXqa9RMsXuw5u7tPFdA
GqrHcWD+vAi53WaUXhTZc1HS623S6GeG5gxVW9IeitrTL6g51zuxY+vokXUR+Qn79zhhkbVAUCyb
lFJL5j8sp07fR0AVdr7djaiPgTJaHAYqDveoTsQ37ElMhggAnw2n1nB/Ti16nKTK1c79shELYfwT
JPiMFt728ry/JeQ4r7ijgxs2nrxl9R1Z/2R8yl2U4zHZwXO0jRDmp7MTDafeHW3l8uZIDF2C3i+s
bELVeuAtZhdJQ9oVgULvlQEwcJukbsuz1ozRNa1N+9LYOXI+BLKdfdx6w7QhmekTiLlbV4GqF0Kb
piyn1a2m0ylxFNePnDC90Kkqd7K/e0DTAh4AHgEVn5C4PqEouRCF20EE6dx2AUqsKGsvGuEowo2f
HQcrrKI0p4sTDQYSs7b2dpYgBfhyCXDjEJjX2WfYJsMoly2eZHqCoTKf526GZ9O1aL/X0c6L3bjR
iZj8TKgHtHnXZaTjzKWINNyVi8RDjUmx5IvrYKHSqM3kp8xtT9Ggis+Pz9EGY3BhQDoQRsgBad+v
okBL5l2KjBsBr5hkPM3CYSpsz3aen+a6rIuDBC024BSVlhq84cH+I7G6CAq+ZYcSI+BK+6ppoj5B
thz+VYcoq309zVq4Vsjn4h0SigyetV7HuInQHrvIeRQfY23sME5CbvM5LFOE6JHlEMm5a9ryG+LR
2nShlkKXliF8951xUR2dGXY1f47GHJtsujtG/pR5sXstLHuK/VwT5YcCemDv923nZT9pj1PcoeWA
EF3Xm+KK4ZbQvup6N33OGXLvISU2ggHWXVBTGO/yMteT/LTMNQiOcRRYWVhf8jEUZ9njXYLybfK/
pGIggyR1BBknVneulI1TAx1hsYVjuq+Tlt2GoSjU6qYYGHLpVVQGjVbB3sRg6CNdD/QxpGiOWZvu
Yec3Pkzyd3j0SFCDdl7n1nWmGnPvwY7Me1GdPDyX/DTuiq+1bmSo9GTVZRSFPLYO+DM5lnt2xRtX
Cd0CD5YAMKYFPHH7zKUjkxRaKAkaWrhPbezEZzWbmx0lkK1V6LQA4iOPYeq0CvBVPk6uN6XLiE2W
WFO4k0TpuRh32ovbyzCOWNoRME7XKVk7cz1EoBetYS7yQz6J/HsRlelOdNkoUNA2ImAT0H5lmLfv
TCw6NZz8OKgiz3rFk8RDVdfAmArBBL8c5r159uZjkcyiHwNph0Nyu54xDF3oFSTRRadgo+x22Sdc
s/dmLdureMxBcSflPK72yI5RwBJc9fT7NDv2xaRaR4Ehh/72tMLipgf4DUoPOutqkxzELTWQSIgX
DfgKHySegfJYOi205UEB5L4TlHk3qzILOTPGb0BISS3WVXJUYqiW12DmsiJXDk0FIjtqdoUGt2IW
LBtYwKRloFJWz2R3fV/VIJACUxjKOz4nx08Qd3uZ3RQJamd0fCJKcdS0cc80cyOFYG7NRQeqywKQ
uIpZs+LBFUuBjWozA8ypVLNjMiv9R1iD3x6/ye2VFlQwnAxGmatTOESuMTZ5HgfCruRfpYViZguD
9vMIUHpn07Y+MFiX9IHJVTxmRrcHPvEktofdzEO5JXOIxgs6HYtTG9vmLuq+Pn6uzcXYM/rBy7Ff
5woQ7l3FSM0oGHrRvXpWHB0weXDP1ZTqp5F3sTMr2/jOlsfCIXcxrYU1dftw8Wzq2WCUSNTkyXQm
kZieZrik/uOn2tgtViGfJXeDCbY+F3GXDeOkjVHQ6/H8fkRb3LeZBr707bCH4tw4/DYYGzJLvrD7
ZMvGSRvFG2a0DFo8M0hUjKx8e+6bKz49HlYvtDgvDYf0T6+e7Z2Qv/WcQEchbTBToi5dHZXCKLXI
0bIowAS3SX1U+bVPYTIkla9G+p6a8lbNCZ4AZApTTpqa629AyURY2LVdBBkahidtMkI/VcfsgBS8
cpaOHl5jzftMoWjiD4gHUE2b1Xf7dOdT3DiyEDf5FUuDg1Hh6lNEHrYOG1Skg0wvxVOBEs5xBKuO
P5RHkiaTvRxlY4cXEuES4BaM0fqxdbVUzDp2imAwRrVBWiSOvqmjore+o4UTmUtsv2/TaPGggJ71
+CBvfC6A/ICOgFVhvLa+Lmp34DIPzTxocyB+bHBofRBo5+9pKG0kf4DTyPsA/juL/PntZ6nnc2cp
sDSDbJCYMg4Saiz38aloAfnVEbrEbdPm1//wcHQcwfwgdHpX+IqkQg8Na8DADNX2OTeb/KkZ8HF8
vMrWo1GTwIKlDQfeZ9ne38prcKhmlSpTETAZsn62ctavoeakf3lVicC/FEg5+f2Q7mHWt3ZuGSnT
GLEAH68pqMBUgC+GUUFXPO1PaePEiG7qww5cbCMAMOmBZsBECAmHdX8spPEN9SjDLNaoSvUAjMf4
q0naUmKaJ+hsPn6VG18CDWm+PHrTmn0vGdGRoUkl5EsIba+/us7QvjJtkd9aT4sK3zGATh77ROk1
8JfTWFqXx+tvAYD5ARChGF1SMKxrFDPUUk6NyxRnHiGnzL2ZqgdwYs13LAYTbMBrq5qvkrARHfCW
yf/Byzb/c47a8UfdYbBFb7kT2kGBax3uvJuNneDG5hNa/Jc2IFct8HIESPlpAi1VVbjT2TEy80rl
o+68ho0ASArCBPxXVLojhClA+G16YLjeNXXlWzhivnQ9rgSinasTqeBeENp87URaghDQj4W1ePsJ
KVYmYBeD/Oi9sHvXJrb1gdy/ds8IpU/uOR5VZT62ypiqfovksx0Ymd18Qm0V13anV9DCn/PUuILB
R87y8ZHYeu1UO0s7EFqasa6tlCoaSm3kRJSJlf9UsFw9ZgoSH+FgmTvyeltLLYr+JqOdJbNYXbaK
7mYj+Qb6BEb8rxWa3ovb9PJs0Hz48vaHYrYFDYUWJBF5FY1HGENhrFtZkE4pvnEqNnStjcBcrk/O
Tj3yq8RdlQhMyhewKUX4fQqdKNKaorjOMbAJk7+Hopk/dgPetIch9dInbfDMi00Hxj6YSY72jlta
p6GjffPmz8cjsDBicxdY5h1WJdEwvUlKIw9qQxvMI8zCPvXBui2gtklv9mRC7/cSQxOVDGIp9xay
3+2JLtNeumoEutxZwmaZTtmfk21/R+jVePMlt1inLNowzLgZOa1OjeRWL0J87QId84SDpYbzU11m
e/ib+0uOVdBhQtXSI1lZB0ba5IMh3ZjBBPq7Xzgn6pUkLv1pgLdzDmpk9yepojG/s2v3kQg4GN5s
BD5wfXc9o5Q7G0uqEVHC2c4+oQSsw2gu23f2ZNbiIo1Y08+PP437a5UVKWbpycMLuIMrO2VDgWaZ
cTBgEOzTG8h9pXK0nQi79To5FbAsFhzEXdqFWZnMWsb1QVtn4trgy3aa8t59F/f4RFEKdJ8WOc+3
f4qM7RHK/VX48ccqU4liChVtppqNk0LHgZ1PDxei6EijcPrUoGz778C09Enrm+yMCKE4VHDGi50t
3XrBRDmASMs0h6Tw9suoXHPgnTDMoZOeX0Kce59JXvbaIPd9P4aG8CLpVOGwche2wXdMmhcBC6oU
ZeovU2x6V4XL+7PQ0fI7651UVfjvUfYHANy4x0DKaz68/SSBMKTTqnOSiDu3D4psn+hyPYI7EErx
hCux5g+I5e70/ra+ED5NMJv0r/ATWH3+PS+5x3OGrqqL282Uj/2HtNHRQxfiR5IBdnn8UFtxbXEw
pIeFzccdQq5AxUWDdgEGWiO4KbhoHGIrwrIY2bGdg7L1jeAbqC0IuaUcWx0UmesGx88B2h1lld97
FhBztEhhmDh2tKgsd+I6F1P/5+Mn3CBp0xWBvLtwlLn21zVvPynVoJYU3MKqR8xqAdocxzFUXwSQ
13+tvG26I5x57WKJdPIO1IpmeKrn2X1fI1bHeKcQ7s/Hv2nrm1k2d2HgkhWvK9IcBUS3mWQUtENs
/EiFW3wwZeTsvPCNveWapt8FxBII9boWVFwFpkbDaMC1MDl0BmRYPEyaXu1G3ZPM/3Ur3WYFbCwS
eARAxlXMkm4/DmphJKc8AnuSxlmDX2xev9T5kE+H2ahbMBqpsMRROMh6nROu0M8qxn/iR4MLKewR
vf0q7ap/r3Zd3uCDV0vj4joceVp03Wwf5qg0tQMSjgYzmBFU7NntPOtUJHXVXpRerU5V65oZ7YQ6
/tYZ3jAdjVYyB9DGGfSWp8Wlc5zB6xqHUVNauRP9N7ZzkeyiX4oSlX43P0N0mlxPAUExlt5nTKht
jPiSZqcs3dpNZpIIV9DZZsC8/IjfylJhZHqXdnhBQi7qfMvQmQnoc/1syUE9Pz6eGzEIcC6YkGUr
76smPUqrqV4wL+agamjKz8P7odOjV2ee9e+FOsqdg7q53jLr5JxuCHlJp0Ay3+GOVjJEEuPY/oYO
Z3aVdC/fo+Dr7tybW9uFLgd1IbXUPUtCqTzcouIInbpG7ZnPaeMJhvqeQevWfvE8aBHTabtvctdi
1toS5mUwTlnyrPV25ZeKrh2hhlU7Rf0SOVcf3yIZTgKwSIdzQ90ejRI9RlxIADhEjTX9TNGaPPbM
769jj/F0pbjJi2OE0YcuaQb/8UnZeEhUE6mnlqk87Xz9dmWt0xguGoiTebSBrDO6num7OE+av7JE
6f5+vNbGKQGkRB8BxhevdK0yZDfGhLTyQidQpxgz+rnExtpkZlykrdIcmsLUdwq4jYOicw/zWumY
MIRZPV1qGHOBJXwezJFSHm1ZGJfFc+b0+Lm23iF0AtoTS+f5zqHIViw4iXOcB01r0uEWURzE6Gkc
AaXtSXVsLUUO9X+cnVdv20q3hn8RAfZyS1KSJcdxevENkcoy7HXIX38e5gMOYlEwkb1zvT0iObNm
lbcA4ya/oFd+tVHQvRrwx8yKCzpcy7dRnWNcypAI/pLC0fv58mPduO4RhAF0YzEt5cK/WmskOJuZ
pVJo6xOWsXKa2yAqOv19Gulp6Utdq1BLrfKdWHx7WZpoGPRicX0dJoeVnVzjdHdpXVkO/kBYqf0x
ya1DIk3FClpUyy6zOnnT3cvPe+vdrmr69CZpWG9wMTOn5H80okkOdphiBfyhNAysZqWqv/v3pdam
K331lY14nUkpwtKlKByugr60UJxBYN53ahO76ckA7vDyYreCC/cNKFywN1vVianXjLmw8eNQJ8v+
3OVSQ9/W6BzsGFvrnC21cafBHnrIyszcIwXfeqe0mKFn8VJN59rq0wQ5O5s9WYXlQnvByH45qE3a
HNPUjXfO+q3o8vdSayz463rNhwk7YakxNXaL7FhmbnecuD1+L0aK51CTRP8+agUBbQCgWpt/K7ni
+YKG0jWYZ+NCMGjT79Qco1d5l+6Btbhn+DNXd8N60bFdaA3Ri7uKYQihpIwZAE1FdWKZH3CSdZfK
hy2vwMsddPWYL2nn+FGkiz5ATMcaggQFf8pliCVYr5RlETjaoMwnu3HtOphjS32Ly43x2emK2PFh
1mQtfgKFtELVzDv7zbyI9reAopT5rtt6H2JhleWdZyM3cTLcRosPXVJWna8g0H3JNU3pQ68QkRok
pZx+22rp4sBSueoXzS49PYxBSb4dxyl6J0Z76Q5ToZd1aOsSAXcvi8dXivS6/th4mfHFLRU5hqYY
4gb/YWMpwpwxjRd2VjMOfqU2inJRcAV/LXWjts/1NIB1nxQg94EHzfWH1VFYvovotBEzIltoJ71u
O+iP80KfdkRyLpjTSuQBFu+O9GerZyS/AFuUNqVa2b2GcJRj0ZK7eU12UcnvBYKDKFzTWwKZUsby
k4yl+EiUcpbHznOYS/lg/XPrJ2KTEimITku+dlmTTueiNr1TMcIZOSv61MUHsnnsZA2h4isfqbmw
D2oRm7hImLFuENdSfKErI0tfL+AF8hCvp+4X0UPaGMNjV3yIFaUFFzVl5fgxmylywgVb2vLNUjXd
+zpr7Afk9eLCX+xJtm9mu05qP2/t5YtrCe/HZC/z0ZN4WPlDitDPnaLZrXMq1aZA4XAax9eDKHXx
MHXTOPnwT2M3pK6cSO8LS8ThUoxwR4U3mcudijde7Mcqt94BmX4nD7V5MNugnmycDWt6U92dUEet
wMC7bsyw7b30vpynbvBhg3pf0CCb3KCXpfWx8Sy8xB3AOu6DrkzTxaq1CVtxjq4WqFw0OJcn1dwg
++AWZoq9SVdofu/BnILoU099iE112Zw1kWCLWnNZNL47xv3PxkTmz49yTJyxq2PiHHTNXKj3db9Y
nwYlSgCAWVkZ5EOJqKItmFH7Myi3+M1IMdn5hWs3yqdStrodxNCrL0rdLe+NDJH7N6Va54tPzpaN
bEpvHs8SC/KP49xZvW/WvfG5bvRFOyK0ale/B2XU8S3FTGOvgXTjrqQupP/HJI+847oyroWMYfxB
xLCGwngDEDf64DWe+6OgNn/fdNrPVtbzznWyCekrAQMJKC5Ikp2NUnon3MlpYBBgpzOnQbdi7epU
yQ6zYn1/+eLatIzo8KPWTEmKNiZrXSUgkra+ak1OcbE7Pf/qSq94Gxu9DebIy/ovNfqcp0F0FSdv
lp/A62b14eUfsHlURk7UUbQfSVcZJV5FeJnJbsmnBt3oxqveykTOODRGE2VbK47/ZSm0M4B2c6Vc
oySysSxjT4UIGE3wNYsyXqAn1NZRV6I9m6r1V19fKGRzjA5RsNlyFFKc0Dssppn3NlPzc3Xr+qEN
TMr+/YFWbVxuyFUz6LqrGKdouwHmp3oyRo5tu8jMC1w3s76t8rHLzqa8dUlS8GJ8CuRuBRc/v4vN
vjZmr6SAEjD1X3mpMZ1GBsTyZBuStLXxUnk2x1I7VKom907hrW1i0sRlzsY0aNPxKxvAd7SIOIUd
1pFFb7aqr7PuuVT6/t/VcAHRgAtAlxfo2gZOU9qp2icLfVRdg/MvdEKU28tThxnJzjv9gzx9tlFW
6CJXJW8U39pNXaPbil0hycpAO8uzKVwbpvdz63XfF7N0f9mJyX2lFq7QfYzqywdht4n7MJu1oYR9
orj5MZJ5+lWNSpWR7URh+/IO23zz9edhtwYTgdnoZodh2Tmb2JUWlyRqy6DUDe6RbpmMMK+9b2Ps
GAfXlXkQReUegWqTarIylQLo8hVCikzn891WaWkyxc1QUIZE8qAYZXHI63o8WcJZXumpNe/1VzY7
bF2Qim+l71I1XEdCpIebqElYsFTQl69mVXKs6ndQUvKdJtWfQHP90WHRUpgwiKQluL71v9JoXG9m
ELoOk0h9iUZfn2IQ21KfrDg0jb7lXowat/LJWFZWZVM2SNrOWfuki6x6q2Li9EG3UnMOlxlG/N04
IJbtl6nVJXeG1zgfi66zJ4wgavEEXCD/musR2KVZ8niHUa+05TA1xvKjlApin/UYAW5AcFXLsc5r
W/0Te37o/axb5Pi2TejUHZwOUilTNhj2PmmPTVMNlN7XJo4t6VMOOGmAw2jm+VyFY+/HFe4vrwlb
4n2LDFTka7M7fX55Y24CLF8L3iA9axTw4Efqz19hWSa2TEpk7VOe9WAvUf/RShXxr7i6dRW6YIwz
YeBsAoHqZLhfqXlxUfNeJ86lykNbNHuqllsIGMswnyJ+UYRsp0NpluV2Dqb0sjhResrzaDqQ76ih
TLOB769FQZLr5mOS9ikuc9bylLSO8Tgxtw5ffqubXGf9IYwByfwgEcKCev5W7SlS6WQx90+FOR8w
IyLYKx2zadWQoXAV9iTBcec43IoxLMdRMPEf3VDrOGnesgJP6IHE5a/YKsZzpsSu41NfOsfIrMwn
+GHZQ4Qo9x6h+NahR89nRXaDPyADfv7AbK2aQ1aXF3uYp/tWzUfwZhHWaKM37kzGbi6FyDEtVVbb
cMAzpabcW6FLiFG7NDiVGKYKYgFSLO5OonPjM7oqA1ZUWWnKbZAlVBGxMaPXc5k7rzrNpqgvtXDs
g8aoIaibpLpXnajcWfTG89FQQh0G3CQTpOtkpDUam8x8KS5IbfdPBo6Up7Qd+sFP9cXZQ9ZpN64H
+mVIBdEOv2F6SeOMCmJk07SUjX47WtrZbtvCr7occcJ0Vn3g+tmhFYP7e2JUGNYpmDthq91dBonm
pJSLdaYL1q9qlYsfNeqemtGNzJpxL90ghJpUsIZXF9iqHKRJyX2SWg7wKQQeC4IlInVHrB2qD5gB
dV8W8MNHKdCIQm0jn+9ePs0339E6JuXIrhOnqxjZuMBdWkrty6IL+14drDcYVKDMORUwpXA42cll
bi3HXIdmMGPLrbRhbTflwsSpuNSupnx0qw7hAatAebQe88PizL3cWXCLsqENCb0Fs0kwStuhZTfW
pZcXPZjVyK5fgyOKD0VfJ+guWSL7ijfRdMybvnYCo/TmD1GfjWe4TtVOjnRr49NyR5KPKmrrD6pL
JW8LE5BNYXfpfQH7Cd3esfF7pUh34vPNV4xzFnUauRjgsefhqsjVpXHFVFzc3O4PTpx6J/RS8juv
jp37fmmdry/voFuPRm/fBBgHIoVnfL6ensh6muwBPmycdE+sZC0BysvmR2scW3Pnc956OLYPh46J
E3qrVwdmwGw6xsJKoLWEu7bQxHLSGr05VQiTBIMjk//wcFTZOGLS0mTXrg//VxaWa6VwogWnhJqT
clqi8t3oSXlIsUT99O+v8e+V1if/ayVQJVq8kA5deobMIbAwQd+Lvhv+sXsN01tfjHoCa6SVEGld
n3m9wwXG0ygJ566u/Aoc30Pe9bhKwX77+B+easWM0g2F33adLMzwXjHjBR2VqWV/SR0Oe1i5xLcJ
GzZlp9Rdd9pVyrxCtg2mBn/0zq5eoaBVptIlyi5DEg/B5BrzfVK7y04qcuvtrcKapObWjcJv6uzU
7IHDolO9GB+zJREH2VvLsV66vRbPrQeiwKHcoLJaZ4PP98SYe/STGgZ1XZyjSkQ7+QJ4Zw/BdiO3
YiOQvHINMO2+HoJgwG1nssFtDMImuqhql/imO3dna7STQ+LSnk2bsTuREO6FqluvkgwdCgc4wC2f
vLBzUAVcashyZSl8DXW+owslglyK6vjyRrz5KrnhQIkwsN1QFzpbYjKV2PmF9Bq289yjqTk6e+DG
m7cN2RSML2pi5oNX1yn62onsnLXkiLzhkHXZQqNUTd7PxpIdSS7zzEcfqT8YYqFTNw0dhsVOtcNN
2aKGufNWVgr0BS6+TcYaDeh5UvzkeIn3enzI9MiW9NIz8zhmSBEAKnELWMEKRHu/Kr12OFVVgaKx
EDi2Um0XhQ+UYDiTc+81vW5tNmIOv4yeyRas3Y5xVkY6Q4ASuPT9ZDcMMWxHeVOk1fcpkuo3D7G2
p5GRw87NcWsDEBooHqjTtvRePXJtxfDq/CLV0X5w+in9jFTJnjTVrayaWx7wDnw1jDyuvj9mFHop
6qK4OKkT/ygGGX/xlH72NQnJHQiR9D0p9tzdbx0jHmnV5FkBoddBtjex0HF75JyswlIfCm0uaj/y
nN70gWTp318+SLc+4KoAhzOIS7/7Gp9kt527qAWL8WOg1BrpVJ/Qi4jIj9vEPKEJlLyWjTqFdKe7
nVJ7DeBXAX7FKlNfQnKn46M9j4dJnceIchIPGSiZ7xpN+Slk7v3GiiuhBh7GdmeUeWPPPFvv6mu2
SaSP3joC73NtzP1S7+fv3qJn4cuv9OYycKHhkZDSbHJwwj/0xsQQ8Pcr5UFp4CszxN3JZG6FJgQY
EBqivNRMwMrPXx5fU2VuiY3ZmOjjeIfQEK0k7Nrt0E5zWwsV20413yoHW/eTtm9LH5edNA8L/Mb+
eRyNYBXyrQB8KT85KFc3teqIluBHzthUxZNhCVyE3cEOQJ1W/35bY22CBQIxGVeQ69GBGpmtkfUI
TQ5DUX3qK5euVVnBDsxn+z9kButHRNByHVRsALwjw31jyGnEuehMvK8dYT0mWR2Fjhydu5e3zK12
0NoUJNTQlODkX6UG2ICUit2hqmZ15gD3ZNaH34Woq++t2tSvZKZFRy3vGkj8eKgdoFCOZ90oB83H
y87Y2b834g87CrdekGeoUHje8501d23tKhpJsm4n8eehnbXAmqr2kufxfHj5uV9eCqDU86UqbI7H
xQMmlcxRGlTD0ISIVhWvFYPC+eWlboRyeAMoGdKH8Vb8zfOlOgMz4G5NyBOhgVly4CfIJEvPnuzF
qUEZ/W5O9rAT20gAcgm4IPuVAo4b/PmaUk+bPitbWukywoEtiq0P1I3qnibwNo6yDJuRBtCal1+X
bEYSO9bi0UscR3c+pHFqPHSTUoaRUtqv0q7bExK4tZ6OtCGUYDYtHdnnj6WLpjIWjbZPmtSa39Va
9KBPiXitG6MNfgnjnJc/3a3XCOMToAZD2bUH/Hy90pZe3zXwVLtodN4PiiZe96rW7Kyy3YuYRGE8
wUjSIKO5LqNSk1reRhThMpH6/0AzNzqKIZEPhip2hOK2dy4rUYCu7G2qm+s6QJjMs+YE+ByUkvrH
4uGaFDi9ap3cSDIUQLf0bFnMXlMXw8idY3DrXbLmSv2g4sEY4vm7BMcB29gAVFdhq3TupNRepbLe
Q5Le2iF/raJffTEzSpJi1kt2pNWrb2J9Fsc6meejrQ1fFYDPp5c3yK3l8FdczQvICDcIyGwgMYcl
j9TxXPdBOSlO5mNgEd+n9tCdOv6fHf2yW1+QuSgZrwbcbDPBtjtDiyZYiZdWa6RvJw4QGzQUkPqT
0XsF7DZNyTH7irG7txfH/lj+Pc+a6DmBi2L/rEX/pr4Dzz9QUBWXKZt7sCEOGZTf4wauBSPzkQ91
IzSiqAoSxYiGi5CD8grUPkZWmEF+Jp+zvyGxKlrflUVWIFQVjTv7e8ssgJTLMJUTS0q5WhA832Su
LqyJYQMEP7Ag72JRiePUjtEHNIzGV3hGL3dAvDCxzrEUaQpX9dFsNoJ47NyHvHKSnYP9Z09fvzEA
PfwiimKi8dXPsVTQUGk/wraF0F/6g11EbZAJw7xMxeS2/pBYZRpifljMR2Wq6ip0JQqgfqoZuRsA
azIL341a2w0A8+I8HWt9kr7JsrZzgn7M8CNzigXsVZq4dPhl3+rqziOsp/L6CbiTyUEICcBG1wPw
VzcpadykSj27uHjUfgeTJtJxQGEITqjbPugR6j5ejlDcXE8lGqztnpbtjfOF+smqz78CZDcVCSa8
Hn7penlxx1Z5nNSxP2pWbp3aavYCekJ7co83klsOs4H6IoUJnfTrCMnhUso4xuClyTz1POPTFzSW
8dmUXtUE1rws2CTVFQgEyNrj66axik/woOS/vnUQupyyVaQHBYzNvVqVNj7xTDPPOMl+aVqzeAP9
3V7HrtZdW7fFo7G0oMDUJV/xWNb55aC2SViYT60UYSi5q0b89XCFB7OxCpH22VPgglTgxh6ZHY0P
jB7ksdCxOKV5uke+/hM9nu00BLNXAC0XlAMV0bqqyaTrLW6mZt7ZM5EdfGXoNiSVbhKmuDct6X1C
btpF5CkfUt9u3ebNONSq7eNanyWhQNbrkV6eqtxF3szkcIlE/L5k875WbXRRF7Nb7ske9L36Y7M/
+dGIEiC2TGcX0a2rWohGtZR5pbjnsUk+ZxjMnUwnFscOqn/Qd2azk7XeWI682IZwCvh9y+nBFLCL
VsPUM2qN8l3kdF3AhBj/7zlWvrtN++FfNwJkVMAJNNVW4c7rjeA6sTqa+L+eK6M0GGiJaHhljPoX
JY/MNwWilXcgQfudK3WTDeHIge8snq90bk16ls8jDuLmzUht5J0BG81n12zcwJxRF5wmxA1ffr5N
SsJStOlg2TFMBGh0FdzGoZJx1Em2nI2OX+iiLhffmWBAfr68zvazQVWAJrSSQXih14pwo8Vpolfl
nJspd8PMzJWzMwDviZY0PfZ1o+1sk03QRp+Kz4agEjNl2qlXu7LXJ7cp9M49W0PcvvVE1d81ACru
YquuLpr0Rl9xquq1K9E6n41ir32+jR/IdFDsoEVHX3sDbmnM3FOXXnPOhaFGj0g75F8ZWw6sapXW
E8KGXMqe08Thy295u3FYFjkuLgsSpE2yPrQ9qvFwLM6JoywnAb44QF7UO6Ilnu1snBsfFIImSRjN
I0Yf1xsnLmJUB41R4dirHwFo6+cpVZ0jdtxlONYy//Tyk91YbjX/QK4HuDgn/yqNQK2wqFZd9HNm
t1PhQ/fqvk6uSF/LqkCIf5r/GQ8FOgLmHB+Rsf460X1+BucOAh2dAO/sTqX7Xmlq1c/QfPwC7Jzp
jtb+fvn5bmyYVXByLf0Ja+yb58sN+P1Rq2reOVorugmu7etZDNqjoTiN33racF5UYzi+vOgmk16f
EaECJj0rW/s6VYSGAjxlab1zX5hefIpxOqt9r1hhHwsoI3FGxFF5svJS+1YVbb/nVLyNPSwPPGNV
dVvD0NU3RYt1mGybUN7y0MfZNcRdxEPudK1urcJfR56Ve5zDuO6sv9I3NzOMIepd79y0jfm5QUP0
UqXxP/cdLTYLAx8LUAvc/ut2ahF3MvYUyLNOWtKGVzr9MNRiL5u+cb6frXL1xtzWNGP6/IiqzV53
aLwa3HBkqD5dh71r/cZrAyfMnuRO4OtcB+y4YtubMYq6Tr80oTbM+tkY3GgnYN1chU8D1Fun/33N
/ZJJ7U0KGT3z2WI5a1KAlY+Xf/Yt5OMwrXKY40Cs4EJ4vgW0WNOKpkXs0cjKT0sf5aei1dKgcexp
J2ul+cvfep7DkaevmAy074iL15ABvWgmXaZYJneT6zw6VRN/GdGveNQWNcn8wRBIDKVlakp/qgpE
1sCF6PmncrSg1EfjYIOETBJwveaU3iHogeOCSVPyMVHy7LfQYzggHGngviuTTDykNuphYZIN6g+1
SuzBh6qhv3N6B5BoSVsPZ8lsNB8St8hnvzDpP/uClBYTZwV/DwfUbRp4fTrqx1zrG/0DSXmh+hYa
POMB+XGHRDMv1CysGlwCA4xfmXXNTmW/sRdRqtQ8ipMflMnkZvMGzf1pukKtYS/E3DeileYbdx6o
jbp48RY/mZplfk2Sa91bXYti5Chd9Vslvex3khjOWyi+cRROCnrzvo3zyS+zzct3eY7k3Kkk+j+i
kRRV4WQ74C/VQRFGMOL68jlTyuqpG4fCCybLKtwwH+towgHTST4IF2ZN2EO/OxiROw130SDtBxzh
y/GtvbjG+9ryJIV4Fxlfsh4iBv16YwXuJEI5TIMhY99GjFE5Ci1tXhVy6tJgEop4SlGtSu9KtL+k
73Ra6x0xx07KwPWUBhBpiuIDJBiJ5tigW80jJmdaE0ay1+vAzIvGPC8dyk6IOmWfK8ThG2wYE3gu
SroMjW91vWv7tkhGJYRW5gxBVvGf7ypW/YhysSLCJoIxHNrkbipfylZoQ/Tcwq/nFiAUA6PZuHcK
R7YPil7M3dsuNtRfZbVoRiAapBf8sWmW5o0eCXHK7AqLjZjGleIDeGl/1HzsMZgWEWVB05UQR0xX
Vm8XR06Ob2Ve094put78Ro4gT84tS/I9dBg1vpW6mffGzmpdfRxHm/4M1Un3ioCLjgJwuBpIlpM7
33BISQRMqbHI3kWQS6sdwYrtKVxH/SsTkbC8lcWIXIBRJkrKZ2536+sYR/0nrpYxfPn+3KwC+RDk
FQZL5M9buE6dLAqTcCzTsAcSrzNUpJ6c1PJ2UtmbqxDASOeY84Dwfx69ilEokaPY4jISf4HLtMMF
SE9+94/PQoykv8DAHTQQo8+rfMdOG02Fk5de5j6e7jWjiw6WXbY7dfWtC8zlNqZUJD/dkHtmLi+J
uQviMMOUhpCiFsb3Qxa20bTnNHRrKdoG9GtWpTem5M9fG86GyI+mOZLwi4KJEgUb2JJUnCgeux2q
+42lyEzhgNPgujHeUPWumqysUc5R1htB1rTFsW7s+JXRj94e4Gj92lf3C2QlLAO4kjE8vb5fesvG
TA4kOMYY5nCwZ1UcrMrKvylFnL+aMENsdxL9zfYjZaJlzbdiRQZTV5lpDl9Yr8YyOi9OJ8MCm4qw
ITDttS1vLrOOhlYZ/62CVw/EOsczljSNBDTMm8ELvBYLdxeFEN+edPOHNbbizp4LIyzsuLofm/k7
hzMP48Uu76ZaH4K+rcadY3EjL6d5jUwdJQdIhOvskcESPjZL7J47u8a/IPYS4P2Neugdt3oyZ9s6
kcbuAWxu7CcWBRi+eudu6bERIXzJQWOfB1rNYYSAyHFcYrABg+LsBMrtdqKTvU5D6KWvCubrZ/kr
O54XF21Bq9bPWhzng5/EMko/tSr86alMuvRbNUV7whDbp2M7MZpnYMDMlQbf8yXjEkKu7EbtnMrJ
DVvEMw+RDug9K5u9AA2q/fq4sAgVFf/Wh9yASGo0nWe3YbCUmaPbHLCNto+6Gkd20CcoN/izrJ3f
osSR/SjyPnN91Swc92hUUZ0FSPo7H3VmenFIBzCNQjnFEEsBDEnu2cqpfGHoXRMmA17m2NFW+mMK
x15irlyR5qERbIqj0k3WG6/FdfiUl3P/lIPb/qVlovhkeXOsnzxa9N5ZjbEUeGUQssygYCLNhepJ
/afdt1Z3xEZj+uKgEDjf1UgDOYeIduDXEgegFPJy3i3H3sjz46JNIyPBtrKc80odr4+al81uaI8o
gtwrQ0eqEqO4Y4aWmadeoCrTgFoFVjDRIakkeGGNFPGpgDlcYZVRNJmvwyCwwtRVet1vTa9933Ww
nkk1XDANKPw5WlBFAx0GtOENBwnwsU18RfZV5CuePeu+mcdC+yqLyq5Awnc5bBVhZN+ttE2jgCxA
/IgZiZnHMvW8L0rtQmTx4jK/7zQvak8tmU4V5KbdJccB0v13UWhRfhws2b/TRD1kmB+klfRLmGm5
XxmD8Wpalmm5N2oviR88obhjEAHq+mJNqU0ymzhoUBeeWO4TdZ7y0EXTpQ9GtcXA3Byi6mePKS2e
fhU6gaGWRkKBrG3Ur1wvF2OAysxs+pmMjV9LXhRPou+NewxWqumg57HsfMfJ4uYuE516h/Om2vuD
VwAEmUrlp26jf+hqrfU0T55yJ0Y9/z60XfOlLbFogADxDgGdaohS8y6PDO/9LIw5O3RxNaSHNRpC
X7aLrPSTJRt/8dGbh8wYFu0NSv+2fXD1ccjfYoGFk+kIBbING12ZP4yphHJU5ON4UrI5NQ5mVPSI
M9Sp94jWk9JAQp9SBin20h8KV8+SczkYURWQ8tRPeQ4z2jfT1uqPnbeo4s6xI/NXJWuvCSkdFaBt
CZlPmA8LNFYprOjYqHFdBnpvDmlYdkPMFlAV2c7+pMnuXQSXfzUAr4zmlRpTPfh92VlOOKmRIXw8
B2Gey0Xp7+wxX7w75hOoN0pcYB8bJTE5Dfb0bqki76GrTPX9nDDgvKvjPk/9YrTzjwzi8pmvacbt
oeldNz51jtE9wW2B3VXDaRy/xfoyaWHhNRrlh5it5pSksAOKtGuFv/RNlQSJ5tZT6NZjcSdTrW5D
grD+rtcSa3ntKbL72la2993BlEC5xxJe7e+TJKbGUOK0up8SO3EPcZ9NYH6kkWs+jIj+sRVGDqER
LrlymhVktSAZR95HnNfk9B5NKV6lnrHDOZ8E+ceKFKJ/jyJo2r1d9LKLgyGnwL3wVXRw9Uv/OUKu
zDqZ5VJ/qKu2WcKXs8HNtUdmu0KKmNeBwdlkg26BXDc0M6b+TRpIOI8osg7mIU9bCPpLZx/G6p9J
NOuSRBPgxqtW1zXDzKkYEAJkAGtfTNOxT/HKqLs2CWlStGdncdJwNLN5p17fZB3rokAMV9VOpnvX
SWJZV3+UqWEGyi76NOjCfEtxtydEtrnx/qyyevSC16DHd3XjjZqR4m8cw5uQTREwEdUCePjNu8Gs
9lS/1qz2WXr4Zym6rKvwFzJPV/c55Q7NcLSUL1wrY+pPQ43jSSvAL6K0EPk95kAAnKr8KIw0/vIf
Ns2fuRXDcVogV2tXKb28bgBHhYOWE3R179BkN+Uhd3qUFWQqlICLQH16edUbLxcAI2NKZiY0Xa7R
W0WRILoxrVIYdeq+ynHK9htHyZ5QQd3r6t9aikEJHxBPIj7mVfsN/m9fyvXlLospgnFGblszijIc
8KX4164lvWCkUBFBIOfczp0MN+pMmeN0oZfaY0rme9+ivrCTdG+SP5IjMD3rofPQ+9zWfACTy1W9
DdE12Fqxmo0H12Igkzal6XuU8ju1xPYF0mVWV/0Dxum0ZK9qiUlNsJvvoenHGTuiV1TjHvXVJYih
O++8wBvPttbKvDxS262ksjNGCrRYTO6KuCnuGlGKQ5v3/amp1DpAoWR3eGtsTh7PRuCigqbYBLP8
PK0FYmHZfTqJi9mn+Rw2CDwq2FUb+dtCyZb2l64JcqPE0CdmsyKZ35QS66cxmTXNn+cM/RuLzXU3
OKtV88tHZBvlCOEwtjibqzrydVCIzKQYExM/YSV3O9ystOhtFw3Du/+yCjB5PjDTt2tRH89oaYcI
l87noNehgtj2azKW8efLq2y3EAdjBW+temHMn66CjNXDduP2QOmhSyKsE6PYR9g7+dAPst3B/t9a
CpNEAil9fbS7rpaKBKYFAv7EJer17GGWufU2KpZJ+r2QU7pzNLbfaPVKpcfDmBkU6jXKBCqs4cUT
cqe6LdRgMpL0aGjtHj/lxiNx/6zSZ9xEiA9fNUVmWywVrfwMW13lSXRlEUql0M8IkU47u2G7Evak
KyySGSxyC9ed/XForKEukY0zrWp5FTXzz9yZcW1PjX92y153HDTf9f5mhnU9ojezaenQKRXotcMk
Hks6tBDaFF9P6j1szGaqvC7Fw9CMA5a8AaX0ALtUNKG5XStEGuOhdb560E6POVKbn6vKtj/yyOO5
TmMYuApYtJ1qfctGWX8AqEV6dUy18fF9HmTG0bGqquYGmnunkaeiTG3PNxrVqw9OHZWRbzCsc962
WC7+cvtaE2HvMXLA3zNCpyAXLsI2fWI7fqwp1j+Tu/lxDFgA7RAAtk4YKF55RmfRqDTjTLvUi22e
6MorpwqXz52Idis/pT2iM5lFiY0N/fw9IO80k9bxIbDfheBbaPlru7SFP03gQPwkYhRQdcseLuPW
5wc1CvxkHZpuKMY9lgForqOdj1m6dUBrgUg+NfbJoB4/9YzmPiJ8vQRiSk5asufdtL3QSOmwGaFF
BtZ4E8QdY8L4rybPaRSr+ohxmuLH6Fn6UWEI4WOho+50NW+9YyDNELzAoND/W9/GX60hzAvVSOkh
OUjLij6NSawE2OZEvuin4mGos2Xte9Q7Cfk2bPCU/78oCd3zRWHoEyKzlBQLvfKThUj4/dSsdPJm
Vx79RsQF9wBGcg28EImv9hBA4GZwofdeRqnTDKG3+6hGYu8SWf/KdUK+Gmqsip2rmOb6Wf96i0Yy
QJaOeCCmZPo73G6LYzdaZYCAlqn5lSzsU5ZMXxSt25sb3NitiBUBtuGWBCe7Kaga4JTNPMeXRujj
9xj5q4X1Wo3hvg5o10c4zGve1qXj/DDmUm3v0THN9tDBN16yDj2F3vjqQLtRuNBGo4E/XcYYgdsz
4M0kPppKtUd+vLEKfJQVXUQA0jZ5Zb9UkkyXXn+GTMG9N8nECpysdvd25811aCMiHuSthgFXWwZY
huxtBO6gTKcanrp5/JhDC9w5Aze2DKhHnIno8dvrTOb5ltFcYetToShnfSjKgEGth7e3ttAzavTX
bp3pQYKw/JsY+Ni/ZzxUh/Yf2g14jOtLW7cSdUxROL6kcYRenaVEB+TZ3XCIl2Qnutx4lbRkOewo
kGDveo09iY1x0gne+OaiXvCmnRztGwy5bGeVGzGMLgY/kaX+MLSfv8olbdJBGaL4UrmYSh60JtZ/
WcL2kPyReeseYa3U8lzF1Do7tdWNQPY/ShZzLnBS1wC0vBzbytWBavQT3TIvEW2YzksdylJJzv+c
EpMHuwQXxGUBEV2FmEnr0hwwG1rydYrnKfVDCVAxTo+YHOn/4bG4ENahGtivTT9djP9H2Xkt162c
aftWXPscHuTw19gHCCswS1SiTlAUA3LsRrz6/4Fsz4iLKnJ04ipZW6uBRocvvKFA7zx2EiQNkwF7
lTK1DwtEVNrKWT29Z9X0u0mk6UI6BRAZ5vu2iH45PKfe8nolE9lZ0XG5O4g0hVMXW6GbKe81en63
HrekFMCeQ8R6WqNxdU26pb6SC9dxckl5cdkrxvT89pd6ja3GBh40MxELyBqaRycv1Hi9NdlEbWdk
R22UG0X/Adko/Nf7yYjmXHYhvV6sSHPFjuJsspDnXP4YDcMzbOoIiLqhwcPp/HJS08wZcjUmMp/U
qjuWRqftjQlJ9S4Ryzur5XeTyu7eBPk0LoBXK1PJPDWvUVQtylQe3Dlf9nPhZu9QS387q5CRgZDR
y0LC5eSNKCjSAYVGcKa2mh6mje7smrVafQcufDCoQxlOqIoFDUo0fr8M1YcuNv+YwbTNKpQQEPdo
t73CQ2bLMpaJ2mbwaZtml1EAAXXZTD7Il/KdWf3driCP5+yEFA/6+mS/p1hht4PoMXWfEzzDhsXx
+3nuvy/iXYTDb4eC6g1ujtzqVfTSOUZqWhDNz2De55GONFpozBlk6Mz4Y+wqEisgLdkcFA8gqJzU
TzaFMcMrtQqi/dDfApxxvqBOgmKCZ6f2O8npNkMnQdkGp2A4euiIaZzcsAq72zFrdF2UUo47VVUH
f9142HqfK3u1bt0fb+/730wj4zHcTyDaq22vKkOe6CrCOUO7VikKxLq8MEjHbsBsxX+6OjbKAsU8
ZOlBVtLSfbm9G6+eNQuxgaMVNzLSploHN657vtfYf1zXBllDGYYmNWuDhb+VxH45nrdufhaXwjhq
tRVz50xDCeh4sJeoGOjMvxMWvTpMttG4dDbY/xZQnrxYkpN65oqrY7VKDItepn25Auz604iBUbbA
BMFNR6OStUUUv7xTTlG9K7tEPaa6ml32VioQ1KrsCziBa0jYhdg0XZ37t9fH714NJCztD6IFgpWT
QUFsxUjCq+oRXGF1DmkC6K03vGe98ioY4tU4oDblNY/qwenncnNZ6ObqaEeKXe61XvfGRdVJcUOs
YH7qOk+N/SUlLvXffrnfDQtdHCgxK4TddsJqkUklszUb1KNmtOoHJcvV3Vha2W60K9UMtIKKiY/6
7di9M+7ra4GX3WDwG7N0C1a2XfnLp2Qh6eZIOexI9OAUPranWkUzxF2/Iv4pJ78jvohDoYJ+bLN5
PUhNVlVY1FgiR29Pwav9vz0Juk6oxUNnMsyT76tIxVqBoJpHQsBiFyOpedRVIA9aJ96rjPxmKECa
cKYYaRMYPhmqdqTM0JQ2j2bXXsWZK68KTaqo7yrvmRa+XrRQDWhS0HQhzWRpvZxeTUhM0gDfHRF2
sLfAxYrXwGoq7Z0d+btxqMKiU8VrcdicnDL6nJZZtbrr0Zrz5mKRsg6XUVfDtz/Rq6SLqI+m46aO
TOkK7s3Lt6H0WgOuNNUjat8OPeoZc97dvOS5vnNx9BkDSw75D3r9zbIfcUN9b3Mar5AqPABK+Hw0
MGTIj5w8wKzn5pDYi3aUpjZKX9TQY4K5qPvGtzVZtuiBLhOis7aif4S+59m+Du/pQbES75tnt8aD
SlX6W7xlin4fK9XVgFkojOaUdriPS4L2vTAmfbzXtUF89PoS+XF1oNx0NBrSWMOr8/sida27Vs/S
LiwTWxGBI5zhe2/lACqw0FXoaM+zEraLPf4xnYS3h/vGhbXR31g1L6ffytGvKyggHI1kSNGEnOdQ
Vag49aW1BMjADIe3P/fpNgFIudH7WLvYsOJ6tf39L2eDqAy9dm2AN8OY9p8Jc9bAVMo2UKq0fS89
Ox0L1VmOdorttC1Q+dS3Bf7LWBlYEXcx+plzKCfSELEmrkqk+vWrtUDEBJzbLM/NZgFzC4YgvePK
hb9njZ55DS7KvZhXx6j8XNmgvtIYbT3IkYRovuVmvDhXXalWQQ8Q8h7BWS977K3Su1AnKdTZd7vU
tlFcmawurNBsLEJLx4zyWqQzlpRT3w5NAHKmUoOktOPkUBNT3K2Lh7tV22Sl3M2l6spAb7t+DhUB
JTNQFiSuQKGUhQAs3HfJYZjV+aulgN4OnMrmBWUF9AJQ+tTWN9M0iR1wnXG5AnuCJQikztQ7mBN6
1jedTh/Qz5KxcAJoy2Z7pA+ZJftmkMI+lBiwYTCAGo/7+e2Pv22lX8M/Pgj3ArBQDi5sQ52TSIKo
slTYF8Mxc1v3qCnqkFLDjYfyfMxndzz0Vat/85p0TpY/vZMYGikj7kLCC7KEU56IHXNTKIo9Hg2g
TkXgpm22AeOb5DtKfM4YpJm+KGe21MzqqElF+8JuBT1Tlavznqnfb2aBwI2tBv0PWIJzkkaQBU4y
l/V4FEg7hODrcz/XcvvBM/MxsNsKoDrIlHcO81diK0wA6oYgd+jKUkk7VQEk9S50WN7DcRIx02CX
tnetgVDqQhVZ+irIzTmngk9tHfmlOaFJ0SWdtEMlb0UaZVqSv4eofb09kdHgfgG9S1DE/77cnmkN
7mgq4uVoImZznQxKDmocye21E+/VM06vMpSemO1tAaB397qkXnJQ0Nmc1uMALeJgSrASrY0EytvL
+3ejwHcB1QKzBr27k+ymKrw1VvQRv+JyqMIU55O91pfmO+H4q/BqexmOJ8YB/E56f7KLLKfMYOBx
ZGcoNQQVHJQzsJgicrpBC/WiSj/NBpFd1p1DibCvtLp+z93o9QreQNAUfLeapYcH+8sv1+DSCv5s
UY+AHeNDJkR26BwJfMGJnWNh9EvQ2CCz3p7dVz247b03b1EyDLJ9ssiXoxqjAPKL88gREICW+nrs
ABrD4qUDo1jP6nFsi868QMSH4FZH0McfTbU7RxgglT4YoewsdRLFQRVuUt6rg/8sDb882Xg2Og30
q7lrXl1rZeLleHXJ9VhqpX7e5BSbfBZ/98OhMbX4YzFW8z5tMS4A+Wcurt9Z3lof1bE300CdY+xg
FQPG1081A/yasdPRD70k2giAgKYgsZXWhvkvyVOCOJ3sr4YhEMTrkXXWwkHvxI0t7GEO1CJt7rKq
F20ww2bGccqsqvuJ3X89VynmPPEWzvi97GAUqYk6PY9xlsF/kQ7yhZZMUGouRyO9MaukulMH2ebR
29/xNODbPuNGJIUViHkbEtEvP6Npt3GGtM167C0tvlKt2rmo8mTOA3MtvMfaqIbnboiHfoemg/3p
7bF/cwoCkKKzRr0K1a5XsTMoJl2wf9YjHImsiZxFt54xoxwN38RDa/YteEvXXT7gBo8w1QhljCDi
aylRDQEQJ3vrnXtp26sn6wbRMlDS3hYQkau9nAzLSpSi76R65MCelKhLFlxgOjQYIoy2HHBjaSHi
QFtMpwoXE+iYP6mKcf/2rPzmIEZPkACcwwvu7enVgBNancRLPx1BNObHWKhLpCpFfEsg2L5zRP7m
5EC0gHhs0/jbsGov39cUcUywv86wahfvupNFhTVy1wZT0qpnNSd/WBV5+a9J/q+H+f8lT83Nv+ZT
/PO/+fND0y59xk47+eM/r8enXg79098u71vxNw6Ex3uZNfV/bz/yP//o5U/88zJ76BvRPMvT/+rF
P2Kkfz9JeC/vX/whqmUmlw/DU798fBJDKX8OwDNv/+X/9S//9vTzVz4t7dM//npoAIZtvwamtf7r
3391fPzHX9s2+q9ff/7ff3d1X/HPArgQ1Y+MdfGvH/vPv3i6F/Iff6GK93fgbqSvxAWcrz/ZCNPT
z79ytb+jsbvlCDiEbFUtLr266WX6j7806+8wmKlL/Cze69ysf/1NECLyV4r5d509hk7fpou6tSDt
v/7zcC++1/9+v7/VQ3XTZLUUvMyLXYJpLQkoEqDES+j+0TM+qTODDGgdJW2qXVZ6+8XY9RRBJQHv
L1Py71F/HeVlcfLnKJvxEakXuEZICye3WubOSCQMotqxVXe1W1xMswOeYL4qR+3jHw61Sd653GEA
Kajv2ifbIBZwo9WCWozjFn6bKr5XRqAAD/iTR2+P9DIm4aVORjoJNu1Jzcy136o+xsfJvC3nz2//
vvZyR28DEFnzBQDlkGjxhV7uaHfIM2x68TAymzztvi6CPGkn62ZqvrqFUnVXeG811s5S1rh7rlp3
tm9tJOnaYyGgo3xpCT6BxThrs4jztlLkeGgAnjuBuUhz/FJ50KAic+zj4ebtB3+1ptA8Ixrcyijb
eXRailbnRmmtBXe/bPy8VFAnXb9+j3HzevJZsByrQGLA5lD9ezk35Yzm2CgYY0AQYrbOLIzu3n6L
k2Dw5/SzYzfQKshwjDtOhhgcmevzGme72JKPrVZHhgYDGIfnKR4/c+X4xaL52JeFSv3OGn55df1n
ZHrd28jomW8v/0t2rfa2k4wqI2MV93G5jG/Qxr6Z99PXd97w1bbEXJyYj+Y4EDPi9JNtaQlR543u
Acvzv3d+e2H4wPQCEqfAi9Z98snb98F7LkwnYl7/fjmowhwF1PNZKi9frsaMT6C5n+/MfXlsrqyD
PMS79Sy/sg/KUTu+/YonZKl/jUbtiT4rsS0iFCevqODhWaNKme2mwN6bZ/AQrvqjGcz+k4ym3RiN
0RrMESCzoPfT6L36vrH9/P8GIf8ZHkFc2jL0tU4TCoe6KC6sOja6R/us42Xn8/hoH91QHsaDEhWX
zkfro5X4FC1Gfw0UN8if8ifl0bhxr+wr5+gdk9AL1XPn+J4c1M95fuPRTk/+qSVCXQUzMydRmkYJ
61tQL967ZdCW/tj7VePTAVFbv7pF/0685zz2s4X56gE4p2E7ELRSo3y5EOhkzmgrTdkOovbB2Hmh
snPP9GA6uFFxpXxTvmXn8jpGq7j1zZv42tzp58pRDaeL5lNz05+Zh8V/7556fapsMGeOLaAVpM6n
n2tom9bx8iHdUQeu00uMZvqPuebk8zvt3dfj/KSekmJuolg0eV6+egNzNwUUywnZDHMZLqVOGYnz
Lpujt9f/66OYg8hCwZCbF92XU8DbJHTM4aeOgRLzwa6w+B7ZK8Gwrk7w9kivzpINQYS5GsUeOJ6g
SV++EkUppXbbRcEMRdl7lR3p3lmdFfhmvHfD/1R7fLFwtqHAM9CoI3QBBv5yqFSrRCzFoESWX3xc
ruS18kPeWuf9NfbYkXtd3NRRd71+niHRfVd/vKdF+RPQcDI8RXXQqsiVwlY+TSxawiiMQkslkrv2
2B/jM/hVoRdUR3ouV1XYBo9vz+zpYgGC+pO0ZNGagKVxih/U7Gxdl22f1NBKe5DAlhK+PcLpt2ME
sPQ04miKk9Ru0eav9006oMU3pJh9U10I3Jvy0LxTmn71Cqj9ISoAyn2TsGIxvhwg0R2jcxaliJK5
dHxYZ1j9yuk9H8jTUWihbk0xSpEo3QEmPlkXSmH35bBUGrLVa7Izui49B5kh//BdqK/y5QmZuTqB
K//Mg3+5nHMgNCzOAvoYfIhL6KLxx6Qqm/3bn+TVuwDFxT+cZB4pOhxhTj6JV05ilEtTRXWOL+7U
9lPQuTDV/nwUkmSQv/TX6CqeRP8t9MEZga0qmpFjaMIeHVLK1hKY/Tunw+k5xD2/YSWxV9gMRfhM
LxcAgDEvifWe1xkbx9dAXQSrWU1BtvVL//ydQDISHFLDoxB0EjWPZSmbXmHmUkRKPiuDiq0PPp3v
jLJhsnnmX8+BrbHDdiT8RCSQPttJTdKBjCZKLyvCOE7KKyOpHT29tkUtFzcLuwpBR59So1MFAstw
REaKZBXhbCmVQkkonz6Va1KsYVn1qrorLHV1fEgfYqTxYSR4bDmT/SyX1rgmEKa/XZdS3Sej0H4Y
KZqmEZ7y6k1uI1gZUnxDIWah8L6DLLciYW5alKfMTqfMXjZmkwRy0N3UR0UeKlm6jNYnTCC1wc97
VzskEEDK8w69WQyiJUTkyB4WlFwLOYgYqZhMXdFdobwT1liFrnDA1W7+kncGjPOqMLz51qAkSY89
1VLI17mRGjhSlxLCnFVV88CDFOMHkSoAmda8y2/AzQ7zXltN73odsumTWyw8aEttvfIxj+cR57Ev
7ztk7lRfuCVrv4hj8dEeEusSsyIp4N9VphOMraMhGDOUQtszmSkSq3YZX6PlnuE16GpoqJbGqLUQ
WcdloNvYjo9G0hqO76mTc2W3w1hH42TmObiqzP4wggA3kQTCwWAHBwId3HQdm6uah2oDei7617gz
INVmaYJwIuV8TOCzXrbTLpv7Cp0deMtOoEn4ZgHszgnZuHwqLpp1tW5oy0x1gLPI2vkrOx7Kjakj
cWNWXd2eLSUOV/iNJYn0K5asEditXWu+7U3t9w5j+Ew/aIuj9jDaSucZVCtVSGfN1cYfnEGqwZiL
Brqbl69TUGmmsgRF3isJd4YS3xQIRMkodXrqkcfSGb0k3/dT293n+oKZR60BZ4gcxVu6YMGw2/O1
dZkvPdG4AnAiFUV/cMc8CYcckedImLmnhF4/zndpsdYK7HG17MPcMwgUXYyX/cRAgzFK28KdfV1V
zDJs60kuQZ4h4OTrVdV/Ttox23SfBmO9GBeTntk0xG0GHXuO3ciaRvi5ac0K9LuuaHeW1uh7nL8n
13cFNVC/NOuB2pZXJx27acUlnWL8F1pM5aPuVta906hOGzYSw+VAWg2Zm8MJd5iMTLtlT68ortpG
rmF+4lb3FaSuPlCAsTwMmYcGQiKc8Zm1hUzYWseA2tfGW2BkwxMYfaELVWDUgeHOUaJYUO4SPFet
MMdsovIHltMSLugnMV+T2sGmAaG++F7rKVWQusL93OkW26uTOJsFXVsg4ahv+sXBNHCG+ip9Iixo
QCCct2UM9WO0R3UIlrrt10tjrNvrHGAWqg540s37BCZ6eqSpZJNkkwc9iLzKkkjtSuVWpaad+iLN
VCXUGwejTXvNAUF7a+oaEB+6cgykl5flHie5og3iZsEkVsGBJouQZVXvaGvpOvMyO5/1KRvvWitv
kzABaxYpSoV6QJUY5b5WyuHKdRbUoQRTf4HNSD4EjSXl58HQx48wTEeNebS9AXVmdRb7zszluVA2
c27QHuoTEu/dFEy05q/ylpJCaCiwboNE6eb5NkVwOrExuqLLe+ywXM8CeP8ohxFcqxH05ikOWW/c
jZ3ujUuo4WfeR9ZgLXqIEigu5OgyiNZH3cLMQ08dujaMsWBBt2q+tWpN+aCLcapCdAbAk4yNYj0l
Sm16R8wW0/7getI2/CQRmQQrpZl1hI9nOYd2nQkTU5NKV33uUe1KF1mbBl7t1Rgy1mJKUdLoauiR
cm6FTw+ttsKh7FnpSoz68y7ZOO6R27RVsl8SLdFDmfexFQgk92ofcxECXDNt8+HopHG8F0mLDrfU
IWIGRupl3/s184rIM5W1ukqcorot2VHFpki2rJvEzDAFAJAkh2lTZYjOjC36cOuKqF+QJ424T4bB
tKK5MkvjfFhAmB7MTpuJZdvUfZo20pjv5qIfwjzv7Dxwl34AMWJ0fbIbM3v96onW0+idex260UXb
XpR0TLRgqNySkd2y7NECH+PpcqINUkTdjFz41ZC4qBSY1YAK2OAaLfCswssEr66b35IaXbHAmIbs
ucuV1I7Y6bHrD1JLCjqZIx343O052qcV7aMARTZh4Jekiqd26ebV75S1UXxQbXisp5hl+lNssiOB
4GW2nxNDPw5uldkBGdPYB6k5WQiJpImr+zqqbT1CzANyZYVZWyub2Rk4nxZV2bTXy5bGF9SShtaF
19zZDqJI8F61efSXOKG7gw2u3vpjqTvnHCgjC6PFYJr/3y20rki4JbzxLhkMVEhykBNcBFYuh7CN
AYEHgkbat0YWHDzxlDSP8bAmNdda1Wo4PdjuGuigLJwDLUM9D0g9zA8NZa9PqzcicLJSfX7MvXo4
91wJbYqucpX4VEcVnZugmq5Ht63SoNUn43Fti7Xdg5xRuyCPF9TWNOQPUjwlh+xTN6rIoyg9TZ7Q
NdBo9o0pMe8r2khPi+PFM0NDjyKcSWYDe6yeAMLBbH3f4HnscHpZzQ/PWVF5a9EXaUKhLarmGwiZ
cnrZLfLiaSU0LSobtu5hrle+cWDYo3InHW2N/VZohbFLvbb+rjQOknF6hix1wIrLv0mz5+RV7Y6Y
AwW6/Ps4N5w/CL4RWfEm7dNotyixrZMqQb2VZjMH3ditZmQRJD7boy4635nMXg8EpdYkMNGyvesr
WmKhogCdQZJQH75saPk5qFxjRVAm1/rbnItWi2xY5LfxPHgqMjXmvAb2yjmHYnh5b2bxtjkckZls
hjJbHnN1VhNfKGprJxDOy7q96jNkAffcvo3YDVSD7vu50tbAYEsdhz5Hz4SD1fpaFmY2BDC608tO
VkihO723flwcxGMCZ9Lsx1qm00OGFn4fWAUWPIHMrfhjgwwx6xsDgU+ZbS2hCi+KhrFWoHFiiqzW
D2sM3hlMRkZF+aLz0uE7tBvRfagH1XleqTukkTDsSg/LSVbDHj0cCNxNPBliv3JWGFEzGeaF13XE
g3qvWlXQpla2RirFi8+edNt1byiJ9a0YJEm32og03dFhjC208UtaokayovJsCme+KUfTrQMY8t1D
skBnDFtlbsvQmg39uQMcw1rswftG+Ahbva9CfroYNPT5/HapqPJOpcUR1xmePIel5J6z2EdE1+y8
oye9tp6xm5JCepFVGvlz7La9vUuHOo6aTLbLrjQJhtQxJohZsMH6AnR70G6yJVeK5BAvU989yy5T
ls/UypGqCQiMaJ2pufKwVppsLH815DiFK2H/tFd0ex0OXTML+448qrWv0rhrp8uxVt32yqiSuPgw
ysGWB5Gi3bwv7Gk0fNHF0zf0WTwzEq5Ce4JkpV72KNIbMsRDwDCDvOzoRKdTPhcwUAon++AqPVHj
Um4O7eDJF8/Pq7ioQt1I0gdKxe7TPK/cScmMJONewRzS/CKdOm6DyjHVO5Sbp+RYa/WqXhqdWLUz
2gOZKYIFjwIlKHSh8+0HGXfzBfpAs4e+Dtf1xUrhipC8zKvRi5wxU0w7zDHy0XrO1NjF1t7Olh+j
PntGtMph/S77xPyyAcbbfUGKM/paVnTKZZ5z0h48OWGTwNFtaQncTu75OXRcqVPEyZQh26s5ep1f
pYV8QKBnZiwyTpde+1a4A8qbdrmWyV4Ha56gwjga00ExV05rYnynivrBslcwWdk4ndkQmXnAxbWn
M1N0fb2HRpxw+Jgxymr2EHufpDus2bc6qZdvyiYksY+n2lnP4DGpDzgTZJ1f5eo0HRDLMpNAlNAF
hG+lKeQV+BZqduxoDQGNqFatiYScF+0DVbXRucLdrfOiUVc4RVTZm4rvuGNShk5daubHvFIx1BxF
XDkVmsSmeNKTop73fU+cc4bvHSToXEOmOKxrLudrs5grfd/llm7dOvaSq1/HtRdm6AnFKia/LYrC
OroEh/ZdpvJZwnWiNewjbePJS6EOnL5yMER/73WT1COKDV6Bf3Hd2btSr83kBsRkin0j63iKylwt
XBRPEQeI1KmOuzBfdYVIsiq0JNjcpNg6hoBzAo69F0zkjOCEW7Z1HPQ5VJGIc8TN7oYhLiH/yGYZ
PnZJZZUXMjMal6ZJl6MRUymNGdpG7dxCz1w/jt7g3syDMJo9OLv+waqcdTgDNFCUH5rcmL52yeAp
e04DZJuk1zfIm4lKapeD2oxq1DnIbSFAjr7jnT4tZrKJUCFdVVdDl/iJGWvaRwmL63vV6Jm2193Y
e9ayFZs/EBF5fyVUPlXo8DnVM6cAE7+b+j7RrkenL9bjWMF389nOAmhs5ikAUMJZdTuiRAXTYNKB
uRpDF07xHOROYT4aRqF0Z10bo0zhD+vUTufNqmRKKDOzJRJUR67ZZKHkcmUbPR6ThiJYbLJJkwRa
g5ta100JHuxc5Ok6o7hKSTdAdirTXErxzRbiqLFWjX62VkN8hu2Ka36B18XVWLbx+MPEw9gfwS59
iZUlM7CJtcfPhtV3w63VbpysDX7y1MZkzLvV68SDrrjINKX1sp6VENCKPVDV9bZpx7YLzDxNnqRq
Tn2ILFZpPFaiGeMv/ZRX35YuTTNUk7L20stWPQEjXdAjKPqJTMWkfPDo4tWcHyu1zp51sXZKUKet
1XzTG9SwQ8tNnPoc/W3lTiGW8o5z19Sggde2GslF0H49r/FGZEdrQ/HZrKXnwkDXp/6G+lL6uUQd
A8X7wimLY13JXPErdXS/4h3dfUUmF/oLKWoHwsNSuzgEI5IV/giaE3a5as6ojo0TgadttyA9txOq
upajzR2r9+0E6qsfySKWWZ8vELVFEy7NS9xkSm4X3k0UI+hWpHs/pxUnQqDw47eFmnDXp4Ul5KWp
zXZ9OwtZZzeq19f6Wb6uUlyMCslI7xt25yUXrWI2Pzb5H6opsh3tqKpJGcKkatFMAeK81rsGt7QP
FfmC9GunoTNvZmtuBZTYqzwYrV4B0tLhCEDJZ1y4V5rO1C8hHizaeZaQrD4QnxXeYekArgb92I7y
YtGs+gZZdgTk2qSwyeRWezALf1j6+gHyFRLItl7F+1zObkfwoWvP1F0AVXeukP3edPM09XPkadVw
HeCWRwbXrOQkMOpNgwGjvs23Yk4v8WEb2yjFOEM5SELO1C9t4hU/WaYxD10nVtGtI/O8WfSmXy/K
IVWB/4xKZad3Tpq0n5bUUPLDmCgkVwtb1UJOxlLFmZNIVJAXpcVmodQXWwZE6+Pou21SzsGsxy2G
b3mCHM3WCP8upDsWfq8QV/hzMRhfpjRf7+xS179NI4yYo+vkmrmh0NlgCtID0yFP0iQLWlms5c0y
1yY7wBBDOFqr2VB0SO0VOFOeeEglGUuJJZqtr35JvUI9JmRRhj/Lzn1oPIP9i0pPcqlnCGQDkK61
JRo6XeZwSwvrJu4V53u8pvFHO4/j+NxMlWIOY1o1+zVVEIM2h4KdVxiF64KTbkW978ndzwDwzfIM
5Hp6kwHPQ554rNezNPFaJUztmg9EkkG63DLXcNpKQTlvHtb+UzYWDTFYV6spcbRAQg6ZulsTk9vb
uCpWHhxtNhHontAAWefTeN+a7fzDKCqrD1NqlKM/Iil31LrSLINVYxNFWtx0n8GPqHdGzLeLhG6B
L23HGbno0VH4oWwZpQ2ohAm6wH1GTD7QOaByurtoN4aDlwso2I5bUSxdezt1jfuhT9Lqeq7pFACl
U4tv3mIA+xbNDFGvF6kAow216KZF+BzlZcNJPvYdIoVhkyrLY13aAifOKbEviwG35wAnO0p6Tm3b
VxlaKtYeik6q7EQ+KGh4V+A3As/u+5vJGrnLcSal07nOynOWVORSbmokStS4i66HqFiUqa8VoMf9
3KVfcox7dJPwXUbwz9dQFpUELAmVGRzs2jkgj/KmM7YPIEV+nJNF1KaTBRSbzAtrEE4SFmrZAmbs
lxb3LDtzEKSsvZQ8oktyd68TNRD42F4K3COdvmuVoaVBVze4maww3wLcW83bJrad78NoO004w/RK
+aGpewaOyaGX12stw0qPKTroUiZPCKeLB6/v+jaqhjR7to1NJttAxfqzbL35rkvV6trryrnFuMqS
17Nej+l2P4knqFXK3ThMXYF4YI40JXQK60NDZ+Gz1cqaxFGrnMHv9WFtuamVgePBnizYHeWULud2
vDTfJBVXNcy0Uj3LihgZvrGMidX0OHYfuslE3C3LsvXc7pCw8L2s9c5K1FcUEJ1bxCTrdTEjLmyi
j9UYoIg4DZVb1xPld1uY2Za71pg2aXbvYiNVDIUWlEnfPIilqJeA2EvjpIBRsPiZRanLR8+10/iW
y4j90zzWP8oJ9gSWMiM6qS7HdYDCIRrL61LXH5ZMrXp2N8KJYU+mjXZfMhFDQzgZ0mDSOFeR0Bmr
W92hfjHkNhd+p6bOpzwxp0/DgGS53ye5FQ3Ello4rwZZoiErT6GQXI6PaYoTgdI5E8Ffk9wDmqcW
SKSX32pVrEdwms0zu0+SXWfU2NlmI30oP2m82PBR45i+OoR0MSlunl/DVfDuJBWIZzTjxQFZFWOI
qCxLaA+qowRbbokY6i6xbVxVcT2erhsysk9rOpbX1NniC2ktteV3aTl+h163ip3DLXm2JrPzaKkw
8yOgT0ZzbuYth8wKCflT70r1PKld7VKZVPRHFaVcH5XUZRNRohXfknUe7pphcimOodt57xXzAtC4
d+iGZKaVX5DOl4C2qDCjfmWUE0gIbxX3mwAYm9Yx5mePsgW/lg/z53nEbc0HqG0M/5+5M9uRW8my
7K80+p0Jzka+0kn3mCWFIjS9EBo5z7N9fS163uoKZ0S5t6pfOoG8SEB5ZU7SaDQ7Z++1d6pU3R9m
P/Li8d61iHNZIqUv6w6asZLkcqdN4araZs+isQBO4qMxcIjlq1YP94USgxYwczYTnjoKO2dD7Zhk
uPUVRvK5K9lPj23xy1Eb8Umlw47oYFyKp0Ttyme9p56BeHUuOl8ss0CNnKT6CF2yA/hcmr1KOyRL
wod+aTvLM2t2wl6cl+43N45LUIJOSD2D7Mvm0RBx/SNi/1R71DvWMoWSlr8lFptnsbgtsNe55M00
49/UKVniQlpflY+fpr1LVVn+LOgSlx5WtXD2zFIzrlNtTJvAbcrkOY27Qd2peMgfwRhxDk5k2FdM
PpRyfqQ6uba3hDJWXmtPQnilMxl1UDeosimJsUfYDbVp/gLs28udqF0Q/5Q7eFcnQQogbNmIr7kT
l+mubWODVynMup/4aGed3zdW9yK3NBVnV8YnSmYywpisa0m1b0DIpHsl4+YEqemW7HAyvuWKTSB5
IG19fD81GruirCfrwuvbwv0gKrd4lmrdgKxVtfDHPNC99IDUrJxnalSc0nArvVuM0vpq6uumjM/Z
YCNe0SYLfa+rdTopFeR7fapmbDg7h0Nas/bI4sjD5cs7a5jU8gJNG0IZTHoFM3eG6656FXUErjlM
rMLPuYm9l5QD8E4363TDM4pwtP3ZXrqF+VLHSUBnMxyuegkHeueYHEfuWf3JTj7f7NRfNVbRHwg6
6wiqyNd9ZbON6G5Z2DDzoBZOMBN8kFrXsnlnajDrzGdbSw/60u9RDwSV6fiR6+6AZAWDdktB7kHT
S78xHwzKfnS7fSsa9tZ4PVLbbM35unDupZJd6Ju+7muTBke3lGCZ1S1kbkR1jdOPmjv0eSCrJvyC
akQ8mIIsivO3ZStowI9iQBTjtthwHvE3n7ab0w4vqSatNLD6XD6pUzveUyYQ1+Aw9MAhTfIv9TzH
8VYxHXJEFZn3thXcU0BhB5QGtdFyel9SNpUo3y487DevCmEl/ybaFxTAp1c10HJF6mOmyJ9VtGO6
Ul+ZFhtKU+mMqxrh6wV1wKrKeNngpmGvYYZ1UBrTUCc253S8BTKXJTLD8Yt1xZlN80GdbLbWbOmp
LyvvyjiPLlzidjozJBkzXJ3DAmGi2j8dMk30PB5orflVlYRXlQKaHNKq5RtqWV64utdDMQ8R2GKW
BE1o2hvtg9LJxbZhSfuK7pY7c/XDthHNyxkn94Wr2k76Nb5MXzUpRJhikdoOxbJiLz2Xi6E4pioW
t47tt43G8eX8tH9rHFACNtORF+AVySZfDLA/4Lb9bDKMKwvf9K6ahX5BAPN6WhAMgdMAtRe6JETW
p8+oXjpa0wiKfGr/xiMLrmBbRSTLPovj7NuQlzQsDByUf30T4STQZEEyD+cFYu3psGnuEOO5UD0q
7areUz3Rrhurjvd/ewvRyiEbFyglkIxukadJykdA4GH1Y6cdb6zERAE5tX+7XhyVa+sSaGBWNJGq
nF6LNWexnuNr8kfEOZy01XGXp+18QUO0XS8YBZkhKY8YEDAL6MbpKEnPoQaXkeHbrZzpWYTaPnGX
0qNsbPmFmjQXdN+vpx/jsdoK1gqh44c8Hc+aGmuiDmn4Wq4N+1Zxx0dRzfPv80/o9fQDbb3K/sjU
WL99m3kgK1Tf1B4Niqo24QSYlA+D1XRPYSmU9zKjCRQ7Dtu286O+Xi1WiSpLhUArzQK/uZfuIN1o
zGOCOnrM6G5E3TQ0+8Qrx/ofQ+1feWr+W3/Miafm/9J58/+hp2ZN/PnvPTXBz+H7r6p9aalZ/4V/
LDXC+te6/KxfQdS6WA30//2//rHUuPq/+ICsmyGWptUFxx/9p6XmX3zGsFIg3kPMj1X5vxw11r9U
/FksaLBRVqTGX9hpNnm3q+0N96SDmM5AQcxftnkHlBnubKZLJZBZtSdD44n+564t/pQWIQhkklbl
Yci/I1XJxZ0jwLfZrdfP1XWjDIe50Q+x3gZEMlyQwW9WAn4VCwGRToRoYsPRt1K1vEJU07iKG6Aw
qXcjCIbdRERD0CEIC+CtKhfeFmfd8LzYOmCK5ewlIA1zJ/jq6ZsFLpQYrnmf7ACTX8cB3i6t4oFI
BjskXyGrEVQYZtuuKRKi29kqab+EaJTKx05DfIXWoxvJ4oia/GGQS4IUPQo5sKmDBeNxUjvlg9bE
/ecmm8M2KLOUagFoc42jE2e/L/VM09KLxlh+jtPe+qYMYo4OJAgv9breTunHkugHLSh0S7Zeips3
3K9Xgt4gHxBbom+xYloOaktV020T8omb9WnmaZmNFKn1/jHsMPDuqiWX+3rWRuuQSJIZFHo0lg+u
PTdpsMTDPi4iwoyr2kD7X+XldEgaq7G8eSjTz5FVGAYCqFiz/TItU6qI4zR8bYBhRF7a4bytwxQV
X6XpeefHtbArP8lMRIWlRbwcyrCQz7sb4SRHeFdIFbVHVdLxjdFn78AoyJ8ODb3Yc8OucW+yqLZq
5JYsqF5KGyfzy2ha3nV0QOvARufA8dRIOf9IJa+IUnNE0QdR606hB3TeioF7KpbtqWpuPQ+ywYc8
wx/8NCtg1XdTPmn9VaTW6YOGS1temE3rhmIzmTD1O4CXMZGioOOlfilPhjSV5HOxYFZKjO7aVnP3
waZHWnuVgtJtF1Kuuu6VFKlHng8oBgA+9pcoB68ntIYFebUz8VKzO93sFjs9qjkn21pQtaJZdvl6
CN/JkXyRGynKjJmiTIVF7w1tpDcLilL7Fyvg+39f7ksL3cajTX6UDmYP4bFrsZtET735BbJblHaQ
mRpMyWQ8DRm+ZA72kw/8rb1DDlJeQwst96FGDA6uJedOmeh1iBDepiSHz4/H/pKqd/vBF6vgWucX
uSCYUMiuy84LKTQJbnWyqKnmx0TY3FOLGN5RpGmfz1/5m6Os8NCVY7gG9J6OEs2RnqZDggHfmMvb
JSnzIA+lEZwf5ZXdi8wAAFw8ZCT96z5m84VHYdOHVcjF1FXmvHdHx3qkumD+1kyEfNIxH9zF/bKm
5fi1GXW7nsSwC6v0Zo5Z21+wuVDMfKqk6a/506z9AeaGfrHrR1STQG7tBoUNVmIvbZbyAiJ18369
GnfzzQqXtDIxqmv+GA/Tjaxt5SZtzG9NjALX6+um3lPjWX4tpZ3Eu0Ktlgv7xs3X6Tg+KnQVujqO
Pl700weslKg4IlNRfSZ1tA/NItzFsTW8F3OX34jFsH9ceNRb5fZ6o1enOj0qjSm1BSMlnCsJ7rZV
X3fbDBxLLPxOrfXnOLfVnS5oXFrkBCEHVsYHqVnz78UuxEe6jnN/YWl7PbcBEaqYZoC3sKXZBodV
KovzgoDLD1OUsbxj+qPZLNmH8xe83TJzvbyha44ft5eayDoBXrynk1NpBk1djZByNX3q3UVel9ks
nqwYI8ZSMcO9KM4vUfteXxvme04fOh4n5A9b79GAnjjLV9Ei/QG+s/GQBRIU7+78ta2T88XHgclD
eYc7RK48ABY8fqfXVlWRtfA4VR+yS7yfi7k5UIVv7wotzb+eH+r1PKUg4XJo40OEbW0LdJJ0gyAb
I0+lUD7dl+5UfVLmcvAobJpBVUeXSL9vXZpAaIk5k4IIru/TS1Pm2SpRPao+gWDNwRoVqmbZlPoD
uIlLDJvNtbEss+ituDCyg9hYb92AsbDbWs0iO+ibbpRBpJU2gnla9j+MJWxGqCN6tsp+mnH0p9Sc
roC9VVDLoqZe7gpRq33QR838fqJDOwRZjXDgfk6AQHjRpPBNPv8kNneGX8vOGsgBHp+VeLR1xwxR
b4q2SvWAnt7sGxhlqBKn8141yksVKX39rr6YYP8ea7XIr9V9FqnNBNPkIIcyWwi/tgf12wRnZBWW
Wt1zWw5uu+uWEgEp6Se5cYAlZkS7LHLMG0yD07Jz8EO1XocsE8FwIt3vBfJ4Z09UC7XnYjbMp67L
1dKzq043fSlW5GSoLZQ2/vp+sW2ixiVQM61ngdOZlGXuTO+fsDRtMZw7PTecG6m3y60Ys+Hx/FCb
tWa9Xaxm7O2PQBn6SadDlU3cZa3N59ns0aJJzZQfLBl2bCzTtgu0Ug2fLCggF1a4I1t785QEFrZj
AYK1wN4cOKrBUZmKhYGSIuke06YJURm2rbLX2rCSQd9qBJQJopuuSTrRJnpgurZqYFFno9OmzUOp
vtWEZ4TSvknIR64OA8Kbg9WS9rsbOzcpb7RJz63bOcpFecBT1SBl6EfiJzItdSb//G3cLJ7H2wiQ
mloh6ycU4M2et3T6qZtUTil6G/X37lC7PlqnS7TTdQXZ3jWbgho1XmJ0cGSfPixahGt+sYMml1CE
O3sc7F+VndpRkPROfENTv8GZNMm7cjDdp4EP0wWw6xvjwyuD3GzjzIZUtdl5oIcjZza1WD2j8q5t
jdtaN2EJNQ+NnfwuBnOgGSU+oSf8ef7uvl7tOJtie4eeQbARdr3T624gR4L2Vq2gqI0xyFDVXavg
Enb22CRBjxHkwtN8fZ3USlebM2i21TS2mZ2oXW03Uio9yOhY3bmVkX80i7i8XvGABXGEsRHgKVUO
prtMO5GYdnxhn7Gh80BNsjn6U5wzOT1Ax9jWAjH+mIkuGq44nsKPQhROu1smqtIccXusLRWESKoQ
NvnFXpVhjaFfSFq6Z+M4eW7QFV+KlX89wandgAtfqwDcnK3Vmk4hCvXWMAP+FFlTU/4xiN6+8J04
XtZ/TXA2eZgAqcSsKAUVN/7W/i8spe9KHLuBmqWh9GgJWj+BrpFn6lAvNPcFi/v7pNQszo49FFu/
y5CYHSa1jP/YCJO/wplDcyiGWZJ+U9CD8zAWdbexK5Nub2Bo0inhVEBYTfiBn7ssk8VVRGJU4rWp
O5UH2fXL7/OT91jp3lwU/Qqeok0AFuD1zWzCSVnVZWIiQ8xJ3ojghuqpPXnaUNg/5Sxn1ZMaWUgJ
HWk8GGMzHPoqnVdXF/7yTtb6zkxK64PpKNnz+Z92+l3mdhtUmOAPkVoBvoyM5dP3ylV41kvWCjRe
SeOPvYPNTaeC88GJNOvTX45FAAFkOSDea82Nft7pWMMwNR0tEOELPsx+60QFEmbZ7GaBXOhvh+Ks
QDYeZ3A0rK/6Km5s9otcBsennGTcwSQVAYWb8QAvTlw4C22O+dzC9VxCAROEFtwKJCinl5UbkaPK
mrFgdj9IfhXrEcabodDET9eg3uUYlJCqUQ57dXD1m9hO0co0meoZQ1rvMZuYF46Hrx7qunvnm07s
ynpoOtb6XpwedIwGhtYRmZEq5rLvsDdSz5uAWLTL+Nc3+nSodR19MZQwW1Uvc4ZK4qoNFooaO9Hl
rJO9jC4sDaf7lPU+U5+kvbn2EqCEbRNJdCct3HCgESdLdXw/IsL6VKGaepTz4nwYu0jzM3LCL3zv
Xr+666h8cJm5eMX4+pxeYLuUoELHVLBxRoeSYS3ASGim10hd9KsoDx18v5BsjHipAjvp4juW9Op9
bCftr1Fr0cqPrjU+yrzR//4hc6ohXHCtEtNm27xNxOym5An25NY6s7uvm176MxayPd45Nfjbtwl4
ItBIlZgUCPLb4z5g0MqcClv4hEKrV0bU2fe0T7OHlWH6fH6o04/M8SEz1FruXz8z1I5Ob7fU6qbi
zWaoDmOulSOPI6P30vJwWrf5ZxRqR2yjaPC+GsVWrLY2SRChISpQtOh4JL4aXVTegrazpDfq7vDO
rkp564xhd2Eabz7s/x5cP95ME/0TuM/TS+zwkCNeGYQvbWO4oZA+7CNgje/sIsT9XMTuISKK5BNV
jXxfiCa/ZuOffI/E1FyCk59ucv75JTSEAT4KKg7b1ocK6Q4NYSkoUy/5fUfQ4M/ObuaHAl3plVGq
C9hBvX4Wkzo81d1QXtBgvPFCwzDinWLNP37xT29ElkgVGrxi+66lzLcFQZyf8JKH+3Ton9j4I23J
hvjL+fn15iVbiAh0jQ/Qqy8x+WyL4syF8OcKnVnmEhJZcfa9xkKp/ODzutxKUys+Td0yH9LCnp/O
D//GyuxQObJXsgY1WHtzNEXgmKXu3Ag/dLRmj6l3eD8XWXjf6/rw6/xQRxrPyaZjJWu8GGuzNKt1
NbUOyF6k0OggOYFbN1XaGRiQh+Z2sXHKikwYFOPl+MESE/hJ0rO/lkZl3w/ZEv8P1hDKIrzb6go7
PrKFXnwoFnOJIAcw19SlmfweuygvdvWHzdDfEXT+mdUvRtoujEpUlpnCSGXuLruQOltQagSg57gl
/Qv3eP27Xt/j/7qqzaEvR9IGvqITvlbb0ztpF1EwL4X+LsZJWttNGjh443Z5Q17vrkuM8b4lVjoH
Kn3hh7w5r9YDA6VJyvpH0dmLuztQpzT5HAjfGJfWlysEX596Yz9rifM/GMog+o+N3FoB3opJ4rBb
tLxj+TKALBzytrf2ejMbfk515+r87T099P37STJf1iCBo1JuM4PdvHYUe2ZzOpV0F5Hyl99ctR1u
oWoWe5mI/kJcr/nG0+Tbw4KIIswW209qtAycD4aKp9lAVRloSu2w088XPgBvLUGQ9VkEKN1ZbIhP
lz04GIXeaIwipdbdNJNUHgySuTxFbZHxlVm0czFg3RemUT4Y03SJkvfWqvty+M2UnY1OiHZcF32L
sn3exc4evEdxwCungqDorR11ovRw/km+eWcRuNLmdyi5buvZwE1UEFqse1OJpR8URH6NxPsSc/qt
t2A1K7LtZeNPwff0ziIdLmpTcGkpxPiDU87WQUW8KgS+1vPX8+biyjtFfYBiObXNzVAZ8BA745zj
Zy55fOj/KYPYST9f5dngl2GyBLM+VntpXvXZUH9pLCG/00uHJltTzr0wo958T4D0rhfNVW/f/tps
Rd923F3cAnqA+qm5NwvDve9So/GHqR+uz1/9m0/zxXibE48aL2tsNONleL93TR+ZIEKMS5Etb42C
bI20AgeNJh/806cZFhiwDJW1tcuV4lFrwZkoxIH+D67l5SjrnHqxcvYEMK3+Qt55W8aHIarEvqvl
peyVt955NurG2ouGPvRqz4ctVCvxyPtJ3rQ3GMQTxSOIYfo6LnTPvMpIGop3nJk9gcxQO+T6OPz9
B3jlKQqEhqyPxOCcXijiNSMci9Lx5ykabod4kPsQO9IOB4D56fz8eGOJQX6KnIfkG8rv29a7reKz
mRWYKLMelV/HvMXmT8mo66r6W8snbJ9Xobo/P+Ybs4UxLYhYCF85HK6/6cVz7OYFA8PCmFHSEAqb
ptoNmY+XeldvjoIClSDAlQ+9/fiJ0ZZyaXPCKDvkrY5e/TEa4x9EM0Kwtwm/b94+FAP8B/0E39jT
SyHLalhsjSeVGAXYa0V1sgAanPgqxaC/o7ycfZhSzbiwpL15aVTeVqUjaZVbHCA7cYN0SkZtqE3c
U241b7P4YiN3/bpsNkyoAOHCU5vROVlvlo4OXMNQKBpLx4T2PRtE+7mfsRY4cSExWfb9UyoNecD0
Bt5HnfRDVuvLdafnOAqVprlUknrzVltrYh8rJ2vM5laPGJsqVLccN+MSo8iUlPPemPTmkOMXYOku
pvvFhJRw4V6/sRysWsj/M+x6l15M1jiJhcKmSfjWMnWBXo/hb6nUIgCEQEZK1KSLJ4zW9SaH4Bm8
ncmF8d86g/K1WCUga3+UN/X0ByQwZfq8inAQGBNb1WruSyxRBu10T3Y2/reoV7WnCs/5d2xBZGP1
hSyqoJZWpFLZEvRgzr++x+C0VxODggaVHY2d0fYb1tt9bMyA03y2rchFhtU5pPe5gu96cHACKtqX
eTAPadfnO+wmMiDaHX/WYC9PcjLN310bfhUiD3dKSu4Ult10ryZO+i6xkylBYBqOFypDb70vNObo
RrBircKE01u4WLniFMh4ySIsgX9FIr5WV3PQ+fvy1gR1QY7T6YU4rm3ZeE1cNvQ5U8dvcYJ7dTIp
ZBGKcNprRjQf3HLByh1VirQujPt6K4VmFykywqlVNr4NPS3LKE2Fy+HB0epoFyPpCVoR5/u0hyd1
/hLXD8/pk2cog3YSciQOFtsnP6W1MrjI3HwgBsX7bho0fJDgxGZESo5RBJlBIu/Qq6L4BsFvvqQT
22ZeseFnyq1psvSVYNpu1/SphkBZOFHoZyQtmAA8mux3pgxsndAYmg9prrvggAaV+D0MrDKw++mj
ohY0SDujqxPMW1DkAjBVIP3MVqaTpytrfEJng+ffgaJOo4PajOb3RM5YFgBUh/2eDyMxykuUpZ4u
knYKIqG2j+zI9Q9rPfJ7F40KPjiZk+NZlF1relXRzO/KHmrchY3B64m8Miup8K3g2dUPczqRXXrL
eplyyoLBPgVdJdLHluLmX5crGWVVY/Cu8K3abj/qwUoICcsoubUDvZxSuntLjr9BOMwXlBFvzScC
WFnWAOQzgTc7OgdxISwyRkKpWl+L1NCf1UEae6Nuqe0pkMv+4LAKJsUyLrUC3ryVzqo2t7H1sBE5
vZV6nxEwYlEs5iynVd4ERyzgc5ocDHURX0BFNQdh17UXgR+CycUXsKVDfcuiBtcOuylYm/CDhQf0
w/lX7I3jynqq5XCw6rX4H5vNH4YcPm35SN1p6SyDblOnf7QRgT7R/jEfZnKUCxQRWv5ziQxlxMbt
IJmUDi/hjrC1qMEDPSx/Xf7jNwEy5wRMnYqO8unNAsMUu7a7CJ9ZWT3kaR96wzDKX5pZ4YxupMyB
z0WXdDNvLWw2klRamSumdSusbvWYlxDTAGEm0Ewj3cLF2Ipf2gy448JNXy/gZGGz2FHoNlOBvTBa
0M0FtkSsuS4FTr/BsXnjoFL2aqz+jyw3w13i4FzxlHjSv+U9OQuQGodDVTomJeAmfdRlUf90cI/+
qmddfW8rADe8HM/0hcX31U5k/Y1MDERQvCuEU5w+hDCKlBh4CL/Ryuf3A5SKn2Ebht+7zAZL2pVJ
rB5qO57/DPy0L4suu8P5u/Tqldn8gM0OrJ1KICpmCVxuyBGZx+6zHIGbnx/k1ZKwDsK5i/00gH5U
GqdXmfYCeBvfGWh0yh0dPKKgjXI3K8Zda423vWk9Wl17YX/w5tNH+8pRi3ISzdXTMacGgIy9omQc
+AWlN0VFxLJntxxim0NSRsqX89e4kcNSLVsvEvcRm2sOXzjyTge0FHSLQhGhL9Qh9CPQq37auUAZ
MDe2f+axaH6QLWYh6YNHszSoB+3i0pn91du1/gY2DKtKQxdMqNPfMDPP4siqFD9BGwvZENYn1B/r
YaiH+uP5631z4rwYarP/orUZIZNh4pTlbN6kIn4E+ZVfnR/krYdIKpvNf4+yvs0gizDHOVJSaJzY
HMOglLUEstg46iEsOvXzjL79z/kRX234OMRyl4hKXEWSmBhO76BCNCHaq8aliBR2t5qTL/dQNvMP
+Rzh4JaEMe1LiaP5/23UzVKVhT1eqaV18X+7FZbiwf6jNyu6oIM4iGW3vlMWcFLnB339BPm6IAVc
bUFr6vbm5jaZlPYc66Fvpom4NVUAZpoW5RcKPK/ffUZBkcIWB/g745ze0JXR5Eh9DP3c1YC6xiNq
+9ikUZtMJEwirYXmWWQL0LsqzZML8+e1OMBaR7cR3FMyf52sksEEmPOKhN/F1dOHLnc6IMhl3zzZ
RncH6l/blXlTXy9dLD7WRV78IpZX39m08G9azY1vra65dNB/64aw1cNahQdglUie3pA6sZK2bOEs
pVAx0PdV2dWMOftT2Gp9uDP1CmRzacNXLXV5KWEVPQR/+/ajiDfEYpVAwPpKCDppxYIxYyTBwoAG
GK1ath0UPDkEqahVlUM/u59K1Na7NNLmzmstaKw7NZlylRdPJ/YzAq7XepnV2NYBpHBiYI9R8898
7ePP9F3fV6EBt7am52MGcRfDKYozoyx3LuwbuskVoK0AsKP5JR4GNz7MRkUus1t17XtYXUAqSkWb
PpjWqL4bQEcncAuKdgCAqLCigffIM7/pnNH26JahkgZXjBSpxmKpeoCojF94LOY/JZr7O1dmHcg9
0aaf594qwZXS3KW8Pkvzo1Ev1acW5QvXAwv1k5UJ9T4cxVx6TQ6S1sM5zj/LUNLDWkqR57sSmftP
2c96jFW9V8jxS2sbSgCU3PlGqCN5vX3YAu3UqqmeqYED0neLvMGuKqGoejEsl+hOsfQF8braNj8I
rIoi324kgbecpj/PSKPTAPspIDK7dqr4gzLBQiicNHOeMtiX2Rg0E4CtHSUkZ4Qt6yhXahO5SC/K
odWkD+yvFfqzRouIg5Hg+orGd1AJAAu2ijp8TiKDzkbiqNWTBsfV0Q6E9uQF/cCJiOHSiEHTEtE6
EfkWZ66xU0OR2b5lDxAMozymQaI0qvjez/iW25Ge1y4F8pqDfQHyiXXGsdh1w2GCyW3NnPtB82Xd
ThPJ/HuEtfyhpg/9O54y0cNPKNR8lyuAgn0H34L8BAs5mvbQ9sLsqrNNkEhSqn3tzTP9IL/WFDvZ
taANgSKT7PRR60oqOFpODcuvO3JtPT1rIALlgOJkIHCmAShUIuBD1LYBEdVHKJF7BBQlkYYIqF+5
RctKMJqPMCNsKu17Ki0gjgDYhRC2j+ij9IhBKo3RfnCOcKT8CEqKKwvgUk3rpjoylIjOWn7RBYCs
tKyQpebIW9JW9NKIiLGDCrQSmcIjnUmxiuzLcmQ2ja2ev2N76XzoV6QTWgToTrKpaqqceqm9X478
JzAcLWnlxsqFasKqA7x35EVpaAggbIMQzTyeHEwp15rVr/oKmqLSA3PK0qno7GRkt9dJq6qjBzHG
bMFYAKuizzx+N44EK5qAOAuBVEO2wvogP1phpH6k36l/s44MrPTIw1oG2T6VR0oWtVO4vRlUe9vX
hwQ6z1AvoMsolyS/eyNcbsApA9zq8iR+H5orhsvQ4EhnRzhXx1ff8SornltfPQK82JildMcjpN8N
zcHozunM+VFZuV9yJYBZnejjKzuNsS3mYYYjO3T0FW4KNMxU0pX/VwrxcxrcyGD+rYQx5UgbQxII
lcSB3uvsCtqYknJ4DJ1sUA1IZUtpmL9J/4NfBiIIllkEChmU5ZFxlnOmMzyhz1VyHbdZ+bXR6/Ir
yB/jU3ekpKlNCzFNrPA058hRW45MNffIVysKkq+8PsnKfkeBEQZb1VvsyVojPkypMT3Zc6ZfdVas
YN6EgObV8mbI8uTHvKAhA52Vp19i+EGLBxq+ZQG2rPZHMcJ7ixDIa7vesfsv5ILb2pVtiUWsCwOA
IkBO8TOEPftZT4es28Ohmzt/mZJi/krVzJj9cTatLFiSWP8wJ+E4gzFUAFi6iaEOP5O2ySEhL+io
wXomnYCPtyj9dWhqtrEHsJcSSNHN9LhdYmUqmM9kYexqBV1SsER5Rr5bPIC9VPtZvQG8oOaeTdVc
odycqd9qM4MCu5gVnPExV8BCORqnHDB5o7r4ojOBxM3kCoHyT3S8EyUGeRteXS9AGHfRJ9OCxU2V
FMT3rh4HjGXLrCpAb1I7V68rQJIR6GaUVFeEaE4HJyVNDRZimg1XWm4bn3RlHMJDXdltcd2JEWa1
isrJ9RBfhfxziiKxH9SwSG51e1YOcdypf/R2tRGas5oNd7lVTMDHUnbUu6GDpf5MKHpXvgeps1QH
6Cn9yHyJbP4UZ2nq1SP9Oj93sunLQOR86S1Wkrk7Da6sdlXWmOKeDayvxa8+S6fJJ5QuKb3C7upb
bQCaG9mJ/aw2rvxisgM1AlZQU3qJESafIWLi400nDBEPIH+MKoDtV6Y/yH3PG08jPOQPQgSXfqg6
5NRqDW1RPXDWA5xkESvfR6VzC+owlCb8HLjn7Es9Tr4h85sfZEEOwyNTeyItI6q1q1RLlJ+taQ7D
tTGE1XeVFkm2w18MRKknNpy1w+1dadwkQ85HoCqVXmPhdSdzP6HrsQK0l4gIcBj0WWAt9vI5KXrt
k0Lkdr2Lkox1QmEf8t1JoD3CNWp1r4SkB+zN7M2nyA6VL01njhzZjZnzgNKNBix+qqQAo9os/gwg
FepqlQGZKlAP6X5TjdofpRn735Mhl6+4pCdePED6tyIEosUGZQHD4UoTCFWsqPWtbKkk70uY/tEh
F0l+bVmdvUCmL833FFLyb7qI9YfWKvXZX5aq6p+NNk3ugawZre9Wsnno+H+FHj3Z2g5UotB/xPDn
4l2SloW1A/jKds520vG3DttOwpEK7bu0VutvQ9UOijerWtYH49JjO4alZt32pdv11/Ddmv5g1hlR
Z1pe6shLBmTKO3OE2sDvl1a7x25jfjDjcv4YlmDnD6Im1PxhlOYEr32iDMo2bnAFXQXmtYfxo2r4
kiJm9zgFlbEP51ILdzaZH9+zvgQsaqSF0u1G7su9ApHC9USFUxyDeV7BEE/nG6JpyB8wit/GGM/g
HxtTuc+NOM18SbfGmmw8zQlTiK8NNaTxEPdVdps7dePsVXdKv1a8j/1uhEoP/aetBwnF21S+EFXB
S2j1cfe9XZbZ2o2c4K2AwGHnpqwMAjtaRcVTqaGa+16CCFeNnBCPkd/rFYWuH9KqVbsfxSwiFaBU
ric70ylC+hazu/pQqUGDaobKnfDxB2BspFOlwu1VpttWGeIHJGNl5qu9MB9zcICUGWW1g5vEVZMF
y/aYiBg+JZNe5/gAx4rTfRXKqkf6qkyArOa6bAKYMvOtQxwEYFAFvUAgpgjyOyv/nPkwwkTQFFXT
7+w4aX6Z5L38cWClQS2N7OLexWBjeVE7Ir7Pl9Qmz6UHObvj2NQSuafLNmRDhO3aC0MKdZ7WAKHa
YdAkjoKdL8uZS88eV7tllV1Agi/RMhyy9EtV62Nb4PQggf2FBgz/XIuIW1EqKFprpSErPk6UGGMQ
5xiS59qqvoVJ7nqhvRg3TGZ5pZCaceWIfnpvSafx5zwJPyZ2pVwrnZBX7hCJx0K6FoXpJLwt29Hy
LHDVh4oIW+BcJvl2JfRTSANo1uUE2zPrYL7WzfP50/Ab9RtcpViZcdWoICm2pnmI5HIKezX0V7n+
QQP0em3Clt7VtWndE8WR7nItTB/YYMfEIWLYeugGO74ggXpdwMEyz4Ge89l6c7eFYjG7U0uSi+ub
ek6+iZoOj6w1bMfLpfn7g/nJUJtzqKL0TVOlVDq6Uomv4kzrPioRZLuSQ8QhX/BHyLp5Mtkefz5/
p9+oO2DrwUEFFIYMreMR9UX3FZonSOQ+czlXtHAas6wJFAAbwflR3ryTqJg5YSN6dLaVVamWmZOn
qevjCys+F4ZwOrh3UGGpul305rw9GMdpKoAC4sGmyEGmFV5+IisopcykglU0Sdl5ProL56bzl/X6
/M4EoZjxnyOtf/7i5oGAjhGd89RoiM1XsQirK2dZ6Y2WQLAb1dMOnEr8dH7Q9edv3nXKmogGcI7y
sh/bGy8GtYYpjOt8cP1FtoTF6SLzE/Uhru+0kCyM82Ot0+7VWBiPaOMAAONKTy+wLaOq70Th+uF/
sHceS5IjaZJ+lzkPSsDJYS6AO5x70Ax2gUQycGYgBsPTz+fVNbtVOb1dMrLXkRbJQ2dlIt0DgJmp
6q9fb9o/ZDA4cmM5I72ty6hvQLY0z1ljVW/Uphq7pXXMl399/X9ydyKdOjfDgFYmvJq/Xl+6Cdtu
E93YMqX30lcMM4KZnP9hx/1vZdGfoN7GTTz9f3cW3X8KkDmf6s+lRb//kT9aixy43bwGkWI5ZDIZ
ZXBX/tFa5Jq/uXiZrktWj1+wGv9Pa5FmBL+ZtxEvWur++M3/21tker+5gGWRd3mEsFqZff8fVBf9
8tDjmN9Gj0j+0C1yKxn85QWqytY3pZsSDkqrp8YwJ2b/gGfBTvi7ach/fqUbbxyHiHTGL8+EPZeu
oREwRsxS6tpNunMvqVzbgtJo/+bx+2eXuhmVpss3SOvDL7c/T8U0miMfSs+M+6wa8kgznMdeJH/j
R//ySvn9y8P0ZvvjkyrhO/zrY0ago6dTJygY8DQphhmWwgkbMzNOnc/+xynS8vVPN9f9P94gf66D
uX1Hf3qv/OOCGMNYQQSaKQj46wWhsdk5QjeHj0ZUd0HrfxSyEBeOwzY9fBQ6Aa7521kTShh/vSzj
fbw5iaKyEJkYqn+9LDZFD5oLXgxvG++eHXb1o+lUskUTyPYWHcZP89LJqyqVt7XGoduDLqiOeKTe
NfHoWnSEBewFFMFrYDBAWaRCHmeWoPsV/S6ya+GcMzWJQ6BTbmmkrvdUzCv1J8bCnolZ+SRa64D0
fd124wlknn90AQG9V6ZTb9nJBFVUUpA9RIIpjI0O27wGm7IYb8k6jzRyl947XG3SyZY22uEgB+0O
0cf/luiJ/WHzo0NmXAXEY1EuVJ9MozpToDNCk6u+ZyW10AzKXefBK045rLEIeFsAdcMaC74PmnOX
3DGivrbYLwtR7X1O6FAUc+3VsDP/6ng9len1PMauO1F+vQze8tJ4zrDLlcjvSkmPQIUGe7BFMO4h
r3zqbW/uk15SatAzkvaiM2n6KRj7eOpGfLFQRzOewlqpbzoGGQXGEhjd6shpp9mJn4ZVjeKguRMU
ONq0+YIrFJQ7p9D7MWQyp/o6ErCIktHtzxnH3CIaJp1671oTb3M1lI8G3d3PFBMbB//WbGVqq4uE
3phf2S5q9NLQXDA0HOM39A1pZ+KZtLlDIgmF9KdvKbMxYZIlxrNmdRwI/TZx8kiNdXF2W1Hu57pK
DrRrwXBb+3STiGCgx94q74pKpPdj1ScHwxtXIDL8n/up1jUjKuqqYj+inLjMC5tqZuq8o5x467Gb
h/EJRFDvcnJqpAH2rvaO8JGy95SwAAQ/P2kpbKrcaM1KYnmrbh3ZHzSfZgr6ACWrML/NiTFR51EP
017S0IDIPQoX0IDw4UTkdI33g6DFf0Khtut23jEifYegtA5Rv07fac5oj/USQK7SXTlw7LSE8UgH
tPgx6fpwKpLUPbg6X+5K6jzOhxV5Wi8lebimlwMyT1Ghs4/9W+/O6cGdCytEM8q2EFBoqLFIM7Bh
aJpbD/+6sdQs97dahxeYhO29yXzINkubEopfl7z641pEBmPBb5oNw8ivs/LF0Wfsxr6vPhha4tSG
LQLOxv8xQk6MwVV4b0br0tbijuo5D+r0sZkdl1IAO/gCIcCkbdz1wdDp6TEYs+ai8/QtkUoM/Yu1
Zjd7o0uuBhMinNBWzu4ZFdVUxcvke56n2R1dJkW0Kq88BSRVHmghHt4AwHnjg03FULVFYGmGb1qG
z701VVAX+7FRehszrMFGyVuDmxKlMtocHkU5WD0sVLPv9/7iLvXDrJtFtukn5PzvsOVlFVvzTReD
COI3u8Txc7rWA6ttL5k+JHsKH4LiSwltibY3VenfBzg0XqyQy9Q2zQ2dGLrfluiwDlZPSO956UeJ
Gu0PSCbuSBB59bwYQWcaqXSFQEhYv/OG0E39e32s9x7l1A6paxvJUQSdDTIqUAAtGod/7KfvqQkc
Q2uXGwdTx9s6tmlffH8dGEJXUHGPmSOT9kiEdH5tAOTOHN+s5bOeibyFvT04fQS+a/k2MT667qZm
AGwB1sg7ll42/qy7QT1Bt8qs5wIn1oma2tXY9dXmmh3AhtBtSpt+t5yywjIgvlpW9UivPACMHEcl
KcVOR9QMySJQrTaMZ0fnIKBSDudiIA4wjSKJ5zkBKhJ4HbqUPKZ+Rpk3J0qOdcmLNecYXHVR/LQz
SISUYZMZ6IOuglriLvyHne+FttaOu9SxjqLxExTeQD9pk8v7gu/joM3aj8LxcAZsrbsfu9yI9Gpy
CpiSJp3AKBPc/E8gc+F76rRiGeVe53o7Y4FBM2bB8zANd8J190lT+5A0NF+PUUl2XeoemYPEQ2qm
BjPMNu5MW71Mt++ItD4r0NbvxYmz/cnNtEPdeSf6/1+k7N+cltjVkqhvTm98WnMfFqO9M8R8Ntzu
i69n8xfWoV2v3L3u4jlDlHDCqs+nkHmJOkxMScNSOtH+2O5W09FCkt8vJe4CugemGY2zn1Uu6MAv
L6ySO0BHP4fW2LUWECi729RV99T21UNjBQ2CiL2TLmUzXjZ94DlCv2GKakO5+MGb1zwsm8G+zk3y
M7PlM3TaO+B6uylocKuma+fRL9lmwau4lfIEQBlChYoWp8Pw4HfcR/O69/T+lFX9DnTFDAw3+7bo
QUSsEbrsDywR/Con2NB28NJ23Qj7BBUTZX8E40UtfWJFRt+cHWd5z11vT8yE8pQlYgwwIhEGZYq6
i3H8FDP/4tU4Z6W64wB9FNkAx1UZ7Dc7CCtjHw+kGL3CuxsHWaPrude0NVn3reni0NDwRP/PlrzD
rp+XZ3y2EllLtJfeT/a1ACmQmPXemYxYgYQLvUq9J47WRWjqRylHegRpbTGxPXhZQkmUM1X6stXs
3YRxBUVNc0PVSDcypECC8yEHeo4KKQuLWr/SiFiaN+YhLBwl7rWs6F8NoAFRR6Xl3ZR799ZsI1wl
WMHnap2gHPR2FYN+Otr5HGwKqitDr6yec4etoV42F1do6Y5p8xgq2UFffWz67BNK4vfG0vtHLICt
8jLYLSYsITfliSLZRBD5Kaj9k+pT664gFwDyUwv2XIAPXzRbL1GbTlh67I2aiLXFf1WJ+mFjREQ9
Bmg0taD2VDZhpQ1yDt3R8B5Mr+iuuY4iWNEYStejuHZgLPFytOkB6xI2Ruu8ASbgKxvUKfCKJL65
FP1ag6buxvFxFgzctm0v41pL9sFqyk9TAwjUe6t3nJS8T/JmryjGj2y0v0upOYfeB8tLeOIg0mHZ
LJ72YbHW741pmcManMS8ug/NIsu9MFPCyrCa30GwRJkG1jsLhreME1IkBX7+NIAITuRjUw/lZpzy
tzFwh1gs2ZtyuaLkAtHiLw/DnL+0hnysffsUyAFGgNlSPxpgo0jTvBqedpFe0EcZ0Vz2BdnTovSr
Yc0Hq+4eAksdpxyckyGWJSSAtWyCjGZPDM8L+VqArnr9AVro5Npi3y6QNXoygWoyz7azPHcKpFIu
957VP/ZZ8sLs5qPlWNe0FGevyu7LYJpjqh3oaVr1sIItEtHi8c3VczR6cLClfwhGsR8klKDepuER
Xdr2VYxdegEiRuyxLGLfz6+4BV+tpUZcz3fzWPiAeHgFGZr/Ydj9Y6ooLCFGc1eAsWdAPzZL404M
VRkRi94Y2aqdXb15Hlf9a2Og2ZL13GTakm/aCsDqbctyHGBSsxXE0fGDMlQLQWq3IpSQ4ZeTMHAF
69J6Bvp6Xgue9UEI3oWtVkB4caxHrx+vBr8Z+vZkMBihjdECtCXsOkAdYzcB6KaOTxuMQ9P63VYX
wNFrOFcHDBiAxML8rvv8EEtiAYFmg3wptW9dZetIRpN7xIokPZENX+A6PAFL0ajUmUlGEwgPQRQF
GeaRyB8c+LvRbSonTE2T6e2W0pbJn7/NaZtE9DpfJldqRzLy25VHm1sleKOL4mMRzcYbivVpXSqQ
IxZGZkkgMBooH4k7GRjxOFevzjiD4G7lu6qNS12x3niuwXfb4Z1oJl6ZvQ7tZlyG4rs5e1+ZTdip
QTsBKf68mR7M+yV3vKa2zH2WoHaqMe6YEAwp6FnjInPTWPgdPRzp/CSorSD14R74/HwUt7kWefcD
dMkJyT5jpVlg3/RWHuUDZgTEwey0BDb7twILxalp54VnPJySebDjdly0w0rWoKCGrG1wp8tm165u
oeO6dQV71rRnnNWaQsBBP+p16rAKIAQ11pTzyuyarVn1/Y4KOKfBRC86nFV9eVkrtRyHVHO+ke4o
n8sA8t4AOwPyR/20knlBm9WajcwS8wxjm4OIPrrTi44JRlKG/TH5ePm1ESYoM7POqO6FKPiUM4SD
XM+Z7/YscteleKVoLO0PMMbrWSOa9DKnTgAMCctmlBbDDm5ddBuV4y74CI/B1qcJOLoVez9mxP8+
ATIte2Fbl9VKslgyKnWtlJn/KKbVGzckC9wPjbZkvFDKcCODbTWmXVISbe2DA9HTxQwxWNUhnwwC
tsVi+ru1aTg0pUZtnrNkKY5MwuDiyL7fNPm43ie+O8dwkparKNvxaSRbfWdBc76IMnhvV3KlOVV6
P5LKMJIwyelrqt3UjdKSe7QNxvYseAvubPyocydK94mGkWKrW5NzHRutDFtQ1QzmiX7TaWSwaVGe
76gOcl/UTEEDpUUThyjVDRdXzt5pyI1hAog0JA9dQJ9OabRahDfL4zT302uuMvNEnsl4QBzoCtJv
VnkhWpw/k3Jg+5vomJJR6SRlzB3rfbMNjSEfFtDXhbvwp+dNYjsX0vxKOKA663i3EQM33SmrBe6U
cAr2FgGdtoCTUkmY1OHZP5ZSwv1MZ2/f28l4cRLYIVWu/5jIpsSpHowbO8n854Lqvbs+MPonCbZy
owbJ9qw2Dhnlc2E5+99nYSQUGrMODfTwlfqC9ZjpXatOTrpOj4I6ZlQNr6A/cijMvtmgzxr5MbdT
DROdKDG7JvO+0rlv1VmvaaLwfzYDdXrt1ne4He6xU5WaLrrd54bc9C6AyQ0lyjQmj6FyYeps6U8D
M1/JxK23S+VVLYqXZlwG4ST2vVv6xuto1wp0yFIQHJvtNn2sbXU2HJuXKzbwQc9SUFVm3pa70ez9
10aRvh/XHJxxIuuaVwytMfzr2YhmFt6vMGPDqPpzBzWROhn/Fk2Cmtmqfto6ZEG3Rg/uj9ooJ2Zy
Vu5neEAFztFWWKqP+Ds2ZL+auKxhFbVGYUckI8cNOqF/pivfh1GX3PeS3ZKxgN7h1LbsWhb+NSoK
k3Jvjx9X2c3Yz9VypFer23Hkf1IztcT8gP1DouByz2O/LUaZXophebf99YebLwWIP9JIszVqoDYz
65h1yY5hmEe/5JBDGuKY0lwXBW06n5dUjZtqNZx4WUS2nbtpOoL8FJdu9CVd62t1ypRdHfOiN9hh
WtZbErjfFp7nXUpMd2PrObDFyqUHPZnUtm3sZ7ph955ybqzmgqbt0UzHqFsC+gPHxD2NZuNHjqPR
vkDvZZx0jTjABqayjXEb1kpSWNep3rrSN2JwYdrG6xSYPmf9GoiMO4/cBSE4y42V0fNgKXOqozpz
HxzbPgmiBBQ8gUREtIkcUp6YhGXRh23AFEPn64c1b70zjzKTFIK6DQ2fi6BYZt+Jrrsy+hgcMlcf
49RegmMfSDKqiFjF69DWDHxB7pYAp6uvHYmrjVuRXaA0f94OftnuFtXbW3tInSjVrXqTy+EzV4Ao
M79pozb3tThLUmJDuJ53fTs9FimYQU+kL7NOVspTstyKXn3AP2QwAcjytjbbYM/z7u3TxVVbsw9Y
rWc9bmtkiBlG1Zuqmz5O5kxQJk7RuPStK1KnugIeA4bJEOeGI8Z0ckqQ29ZQamyJHEfFmB3MGLKs
1QY3ZqrDoSWAinRH6ufEQe1TN8ufwm1O4MdGYPF1dS1odbrkQXLnO4BbHWHO71ag0bsEABfTe7Z+
UvCSQLo0puaLM/MWrOr0gRbT/OxrDS+11QriWS+yvW87+rvBi/nQlbrYjE3vXXjFF5EDJXPPMaba
shAQ7PC9KloA2myV8JyDPjjTtjKN5W1FXt0O9KSd0cHru2KRioNO0XzVErKq9L45RVgETvHujE25
7aCeHBI+/Hag134LQNKWIRJ+cpjqrD6aTALFOpzEx6BziipSQuujlPKbLz7lzZGpWVTw18301DSa
deIs3pHw9PpXcmkyMhiBvRSyCQ5aQqYstNcCYZMoEIejIqALvqv95IoND7qw71/UBBNXJaUVzZbH
3WmJjiC7WdPwWn2C12UdJg1LhLV/WW3raqSdfke4iYJDL2BX5vVNARPTkmQkShV4L2ahVczNmOlu
CYR2BMZS3drna0SI9ktJuMFaN0abtJkXJTRUs1nUtEiSvAPOavmh4axv3A7FfhBg3kdZmPTmt4ER
mjNbUHJ47G5m7hSbjfJgfNTEC/bWaCA6W1pPQre9d5d5YJaz9uOpRK8vCIlGgd+59zM+2dUW1lV0
ZAPD1VM6YTLdPWht/gXwzBfDz6FHUowfzi2Iw1L1VL83grcEt4QviDNYcxlZo/vSa9YQNjaxrHqN
6YuPZElR+9QQv+revcLfF4l1byn/o17mr2ylHLa4xbzrpT9S+7J8t7vVjgt7qCHPexw7huFrltJ4
U3bqcEOVb7peHw+GkM49z5y4rG05ngVL/L4ujGHT5ZXaZ326bN3OKuM0B9Z5X5pteSQ/d3Fy9Wr1
6hME58SJTaonEOHDoy0ROOhhSOm5F7W7NUfzrmNMNw3thcRCLQ1JZ6U8TSYFYQ3B4ldaXJZXx+o4
R1m+dmknNs9VbodeR2N2CtoyIlH75M7+CzN2pxZLMq7qkpiWwwonUjcUS/9OmVK/MRO562YSyF62
Z9OwQdA9K4BRH71iHS0zndGiZj9705MUVHUuwKnK9dHtqo5crhc7BVJIrrcXf51N9r4NZiuZqkbk
+YOEG4kAvhH8odbhXiym/iCb/OAtztXL4UkK/VRIJ+psc7emxTHt7b2/1s+LrdNqktfkxqf91PK+
DPKHQZue56y7tQBHYKL3aKpxttTbCTkkqOdjOuSbKiPXmhg/RgwCiBEb5Q73DdO1HwQ3NkIam8pg
sYVUuDF7MKOpYF5Sra+FV+9X0mVO5kBsvnV8eJANtJPoeXqb4GR5RgxvTkaoDvGiLRF3xj0lp3Hg
1C9dTV9BLt4pmIM6y9H4drRZ0yOxlqh2urg09NjW1Pg+Q7sWJYN7/RB2wiQADnfgqAL3S9JNEXVT
28qeuIvWTVD2sSqJ8RYZhEmUf9dkffMopEd+D9P6e211/XWpg2EPMW/DqnGUpuzepGUdocfuaMs+
2Bmrep4shzQFHNVS8WFTUoO4ex5BonAw5V5NrHMzygOCQbRk5LX4l5Zp+94VYkMyLmL92NRNd48b
+uZpvAb9lEWbQdraaR6bAQEp0EekFRq5iThTNmbgChj8MCbo3O558YZd5s4Rmse9ZXVWlBZZVGX4
RqMfa0HZnPkqL4GTPI+MS5TmN0uaZziH8ZKX97a0T7QWl7SHDM9uAhvYz1CXF/4S1GcOO4E5x1Oa
ntOgxWjK66dE7y+VQv1iRbdGc7P2sMIXV++g01oPaTb10Rp8qFqjz4nKNhYP9FFtv5gF7Qy3oQ13
OZdiuAx+x/vCv2hTd6qGflMB9HW19tAkHPsnnrFgwfgLOzlRNN3WD12Vnq25+JDDdK/SG7LQHI9m
sUYZWa1HhHXFNqDatMk0bl2Hcq7JXkJNuwmYog+bdl4erNJE1nZIYK9jcc+C/1C544XG1njVSwQE
E2mNT1/OC5v9YDzNTfbY5x3wV28+ddWwzSaE2ErquzyjS9A2KMKjyXGQcNaQne5hwZxtq64Yc5eP
s6Oe6J4H22yeGIueo8Ya5HaygK+MAW/TROtAcLfWFI+5vs+zhLMn9xVn261b2B+Wn/goErBF7elF
QJ3ZaRX5kZKYr20yDZpW4rsuJ1aX6eeSLQeyOge7DTZLk7/PmfeAY/SFqU0f5X36qKz5tJZ+cMCL
eLZ5a3V4g3iclzHIvqpZHbM5iJPCvVdBsU/9hNclZg/AjWwjkiD2DPEoHUQFUwZ5ZOTLqbeNg1PW
wGecL/6q3VFmPoTM16fhkNpPU94MUSLGyE6ri5zrH0ULhhkIULdod4GbfQbDrEXoLmSVOfjdjnIt
H11q7R1nk42llyenyk5JsDyWbv84UZgUZc5wbLrhyvr30eaBHTEu+6UCV7WrzZH9E5TIFFcwqtfm
Dsj9WZhTuUu09RUHO5Q1xXmUFVZZs3KuSPSzv+r5k5FyDofCQo52xZUDJ5Cy05jN6WnN6+eykEuU
Jcgkpa6lihyh4NhlJ8bBC0jOGXqpztIgqF8F67UTjJH4A88Fz0d1gPrs7dLF9q8V75D92HvGF3Xz
BfWUIcfG8OG4eOYYHKrF7iNzahB8fNEQN2c7+wZHFmyO8IL1lNP/eDEdByA4YJY+bnst2xpC3LZA
vgvp1sNE7qtyX45V9lSvSfG1tMzivlI9qk8ZADm3JBABKr/Nx1nlzj1AVp0PQ353Xyel/mNmlo1Q
ryEnXkRJXkRpslK3qmdfqwwM0R7sns2oQZFO7yT/mf+yZSvvjX4iw7QE/sRiZZKO5+/+OlWJGcFl
EQ897uG+LU3vycqD9ZUmSf+uq2f/qgV0ekXoRmIbgGDdDLOtbzPBUC3SofWeaJn+IVGS962sgiV0
qqSLXQaOogIbrtpCgKf5wxvrOPFy+Ug7rLZVbG+2STewqTJZw5ohzT+D3rNQLNZp4y7jEuGqW+zH
FW+fYlxOzrRYMXaCycYuCR6dpKrwmAfOjRWbCzKnmmnFBioJL3aACPZs5hdfOS4/o8aUL1WTLFHC
yf04O9L/zOqA9dlEBU3LyQ59f4IkYFcL4/QjVCcr/UFv8rBplcr7cITRGlEx0O0Hs5mO/sSZSObD
dwj0H94ImTpHPdgasuyfp9rWp9Buh/kcLGV7UOtUPgkHYbWTOaIMuuqGnJcRea1DJzxWil6j/CS8
KDElEVAp0/pKT2EryToH8rBoQ7XrKAYJR331Ys/vu1PfioYHiFdbn0KaaI1ri+YeL8huj4G+lqcc
sjjBhAesIeuR8hn2wb3gP9dJ9WwWv2m2M7vt12VY1kNlkQ40B6jhxGdZ/52U+QQJKX07IqFCuUFq
mhm3u+/zxL8kraddVZsBZfLmpe1CJ2fEJGtBNZtKYpk1dnqyxSJZO2RyW01IXISyS6drPlgWmXaj
OCVE9x/oV/3ohdnH6D8DJaFuxaTiChDWc4hR6y0LO7WO41WfvTbnDhgwm8rAKY+TUwZPjJ4HTOZM
7fB9NRj4itJJ1HHvyenO7/Sa4xr0eUA55rSbZbCy6Wf7xhHfs3erPYiRbUGBmS4Y6OVZQz65JIJJ
28FPx6NddhW1Mf1KQN1lNmSO62Up9hMGKFn0tEjY+5vCfqY8hIZNZ7HWCMcQBWBM1+CO+XeNALzS
FDvGUV2XcsLVMlJmSQaj3pdzntEJKjMUndG55Bh1/J2ae+0S2sAcrUCldFS9MgTRmuG/r1TvO91k
ICUEpsq4l1PdTHhfJxwl2iox3gK3cLM3Eo1Ew5cMZ4uR1kW3Dv8+Zkx29ViR23QmYIW9Qe013tjY
61f4PcO4+/eS3PXgWggVXQEyNMxyrhUp7vElKjqVvaSJxZn496zQ/6bz/pTOA27xpwDV5nP8/OM3
r5/1j//4ty9i+jWc9/uf+K9wnvUbaAymeT3aY//gBv4RznP832xim0RBSJHZZEaJRP2BFNQs/TdG
0yHbuKbHudy5JdmGdhqz//g3zbJ/488wu/5ff6n7/xXOg3NJkz3oXx0kwH9rem3dcbZtqZnbtW70
96G6iVNr2j+P+oJ68qdv5p9Ey36Z6KWtgmsZuk1YlI9FdO2vGS+l6zkFcqW1pfuQQaTEze9nagtj
q7Sn3UTf61NZtJwQRPZ3oLf/li67XZlrGrATGZf7tXHRXyw2ySZjQWWKfN469U2C+LuB5f8WCbxd
hPppmhTIxVOo8dePV9vTaJUtF8kd/2nwMfEocyrXzb/+En/txPrHt/iny/wS0DPmdsB85jJSzPl1
aghYMOyqPXe2xhQw7x76ORYPZTereF3Bm3rNV/WQLVP6N9HE3ztI/hIV/P0D0xzB/2wHDsxfP7Cs
DJn5kp+njPTI2gxRe9EibMHI2Rn8aoiI/qfIDJGmo3HjP3CujOqvGFpHrPPD3/WY/NOfMVHT//rX
3H7/T+HrhukH19YqazvLtOUw75zhHNn/w9inRzmQSywSjBtlV7b/a8LUVlImU2NBNuycWDOr6tqx
GoaZtbT7f/2D/vXz0DRgMHFJgJeMNwPwv3y7NkXf7KyLdasT/gv70uQnOlIB96+vYv3e1PDnnyLX
8YjJG9yzt3abX2la+qThkRVcpxRLkRBqUdm6N9tJDVTZZkmzY5osy3YMsNtfyXoHwC7cxOo+CApS
rh56uj/OxCr1hN2ilBShL36WdDvSkKSxyrnvb7WbwM3vaCKjNDa3OnwqgbeN+2YPBhNfpgn4QlQ5
niUnzYptXtO57QMttwRobKUYjGyZqq0iT6tM/1IrvplDUXYOJVitukJZe2BW4VyYaCsh/EYKKDRG
nKMhSBeDnJc32xuCg+qLJ0fiImLuIdYvtjZW+/z2664r8yHYZ2LpiifLbDpkHdmT4/SZ/Ag2nBOD
l6SfkoQo2pQGZF6ong0zBTgrNBm8Kr7VzWqTE5Cd8b7WY6Lx7AG92qaJY4yhVnfai09nGiOCAVEE
kTZDsRttOxdEqPx0iBlOy8yI+X17NzBHxpBrkbEH6IzaiK1l8PGtssR6WzJD5hvLz8fDQgfDtE9X
jXGy1WtLHOHR/263S2fcQWtEAwjGdDRhjifEN7PKyDFmJl275LR+9jvpD8g/0q3874FeIHruvGCh
5kBTfN7AU0MSa5bf66SOx+rTKiw0ZlHPq4qbfCHfUyIYMIUr+maLfdQw1Zqkxr0pzDwJXVf5933D
qCfOqPcgjNL96vCMtFFVjdVjMGfGHMosIKOSl1aXk39z13lj0dzxM1ssMW0cJ6cZQSw1zlNnZ/K5
dMg44HXJ1cF+p1wmZEMkmIvtzOob6yf6rjTm/h2o9lhHQ2ZmRHc0ZkhZRe1vGu7CNbXxj0IeWMaK
sy4jRdx5acpWfEyrdztoKiOcLMbgI6n53c/SFeqC8p98S9NuuGffvXKIzZdUQPGb5jupuuaVfB8v
2LRL07vcsrQMgaj0Hway+GtoNcPckQ7Q5qcFI+q7pIGN+oxELi2WrkZPWuVq2evaL0kBMXtoIZ3n
UmShbYjqSjJthBff++N5IvVGwM0d5gdzsipBB6uSVyu1mCa053x6EiZB4E1q6sMXH7bggapBUK5m
5bkpRFvdYV3QNYYMVW2XkZbP+oPK6sm5UbM6Iq5pQ45oXTULQ5wb/c7UBFTIvvKoTNAqhBt7ynHl
h9KgMsKwZ/3UBjXTjhhqH2Zn9caO28y/k/3cYGiNoxyjyav0DzdoqKvQSS1BU206+zFIZp7LpLPb
n5iT7ue4KpyVQLTFLQZiFHdN0qkv3FIEotPMqDZEJiXIbVV0hOJ4UV4p2uBrKhAAHgfeIQYqEj8G
Ds3qlgHDeLokTm1TsuBa45ua/RqnjilRkB+e/1g3ZMVJion6B/UNhPdEYZXct4qgCF+O3rFuNfR2
7O2+qE8OdDER+XZRMR5t8nBjGTOCzAG3oenPpvzExn1hYCpCqsbVyEkVZxtjVeUUmVnXfljS8XgL
GM58vxjI7Qw2+/0PXdeIAdMwQ2pUacZydqamcs552Y9DWGUc1WIvBxIfD7RV2Fvp4A1sezdxaPuY
HbMNNWbsloeu6JqSqr9W4QvVHRUpZjs4/jEZOhpHVqcXM3OFC3E+e+3FejaoBnjh5DSZ1Bvk81M2
2Doy22DpWZT8J3Xnuds4tq7pW5kbYIM5AIMDjChRwbJsS07lP4TL5WISc+bVz0NX926LqrZOz68z
QAEbvV3lRS6u8IU3BI0C6lNStOPCT8NiuMZusLkdBF+WZxIS6lgJJ+UN8JcwW2gSyHKqFvR/x+Ky
RuXErfNwJfY9yhlU1jplpYL+5YOJVVLPPV3NSvTZJPjXtDmtQ5OHYFWiQKDokoiJqC916mYcg4Uu
CEgHSl2zRMYQUI6KMAK6Z30axGhSyX616Mwa5mScA9idlUYm0uGkFScCps/izKGBa7SLKBDrnFKM
2d6rkWbM0Ks5tnu9yAIKWK4mK1eDzDzToew7sPyNfzRXiUr7aa4MnXbbyW2R2ZnRKdrCF1FVtYck
AFAhpTy8E2upLMA2lzV8o0OMckb5BeE6lIrsgQDTUxem3zQ7URIFfYFi4tFcwHgAZZnC7xNxQqMe
gaUbRT2bbBiTOF0MdXmrwY8BOulpR4qYoo+qaIZEfXWvU1Bv51ycypPWIcK6okfSWXtBd5kwIUny
zvFlseigH6PEhxtzo6VoMkhwhDPu7WZNyUkRFmCjFHEGZDEpZ5JVhdccq6FFsQtgjwrfdSVm3nCQ
oEKD5W9c7QDUSwVd7MoJQWOfF3MNjzgUiDofojd0eYQNtsiqtD8zxD8Azcdhntkx9zm59JCQi6IT
qZabI7JAKrl5PLaoeLccGI8hP5GlH2/6SNafqwqCx1bwhTLlJBMyCXihqmxzpQQAqaKaHzkFEOiX
j3jnX6Ws/013e4SQ31JI34DIq/+6Dt6KtEx/Vv97HOrv///0P8v/+vhv9JPHRPHkPxZJhTn0Xf1e
9Pv3ElLuX4yq8W/+d3/4Z+p532eknm9pnVTjb/OCNDlhh0FG+mc+2f+J34vg7TX5X4fXOH2d/rs/
81bUoP6QVGQHyQnRdCVn+g+pDCIzySlEHVVGntDA1vjvvFXiR6ox+v1AyYUeZfDP/spbJfUPALSQ
ihRCaCTD0FT+awr+zB2ZvX8Unz7lRWHvg1gdljAS1jSiQVVnEogXlYVUqdYYB3mQ5Dm4Q53oE7lM
0K7i2g2rcv1pjn6TuyoK6cPfYTLvqevE/khzoY6Ooa41/vxTekHD28rxFWruDatX3HnQVFSWCsnH
8BIZz7kJfnCrYZLliLmqrFJL9ZYYazfJXFI9fxO6DXDXOqAFr0AMWqNd1ENwqr/FpkY/zcACZl8g
6fHiCUq09FxJuBFCoxEWShkHa+jp4WunRogaA54T5yOAFJilmmy01Hck99Gozc6YifkgL7Iuj799
/e6nie2vV9cIFdBjRxMbb6vTV5dkN3Z76EX31JNVOwDzM6975Znap3YhGzkln40jYSSMJp9ElsvJ
NpY9Pk+yVYnHguZ2fJ8YQYWasketP/fRgTIqGj+ql6VXNbfBrzLWP66lCaX917DUWGQRqiLSL1Np
XehlSA7RY70vckVy5ADXkCNQ+bmq9IhYaXIEGnBEglf+FnWrN7qt3f3XUyyP2dzp8jLgWoxpPaxo
hT13+uYgXXok5+P4XslR3PXyAlaAWVmA1+IdOEzZgavULjIKf44vDneiX9Y09FmIYhTBdyw1eQHa
tV3qxyL6FqlpMetVI1hDBik2cvNTLbgjYSUX18eiv+R/Ml0fo7fEqNUPRw2LAjbl6bODcoPqYQXC
IRSfdISeU2EjIzv09QxNN/w4CJqDDIAVlXW24RuPsDnwIuGg+/ESE88qzpacAssufPwY6F/dEP94
2p+c/TfZe3KAZPVeXb9mpxfBr6P/P9fE/4x7YXQg/ud7YfZexPWPkwth/Ad/Xgi6CpUYeT34wBA+
NF1mEfxZyORHVLxU+Km4DsNGH3/0ZyFTkf9QrFFPUBurYqgds6z/vA/4kayilUW5huoGl4n8r66D
ycmBKBrEUUOn6QjnToeWfroGc9T6dTAhhdNJEdjMaJmZNW7KIFETeBLtvNP21AfnTdTvPDNacZot
eSh6kY1t+dJ1aERLeBoopj02Q2RLJfFphwAjCkRxVa7cEoVxQdigVgWv6YdavVjGkQStXpm+94Tm
1ENdJ8BhaQj64UoqRDvBbjVMnS4b5hX9XoGagBdW6Lv4T55a0q9HnyYlFYW24kJvEeDdkIdvo3Wo
WKsCWUNEVQAiBr0HlNoLCMLDe8SawBji0kc5pg1oi9IiR1xQicBqAnqp+T1SW/y7fXc2sZN7zxT1
Bse3snCqPN2MgMNWv1XR32ty7cIxrJ4egWcjjT//dMNmkF4RPeYTWvKtIH9rpAtCzmPh/vMZywA4
8iLjLKGprLMgJwPkhkDLMWwLx/SuYaMAljyQa0WjpA/6bOK9J6e2lQH/yKNd5l8paewQqM7D8KYC
RFFU8ULJgBMf/U0paHO9eaqVci5Kjx0Lx09p5SANjbIEFC4CcX5XlSOuqHlwYIAxKndCT4kICHpY
4cWNDWOfpYsyLGc1PJxCgQ0oRCvUYagdAK/WNjkQ6U/7+TcxzMQkEpPacQIknDbHfWzQjzidYaQD
DDdrm8IpKA74KVfMW0hMYdVPgI9WkZTgXj1T0YQv0GdKmJSj7Douj/f1c/z2O3x6jMktH0Os0UER
FU5oUS6yrFmPKY+EyhRX7YU1Nbmazt54UixPM7VB6bfjWADzJ6N96RKBNeKlNxoPxvOlRa0WNDOH
HTHp6cxafpEBemVmS/nez7R1KLrgVMKx9rekzlNYW6pCdqVuCrHe46SVjmCv4UkGzjGozHUmIpC0
cN3vsCVmX8/2yJz/FFn8OQV/P9rkdlZLCE9lWBcO9V/Qi6MbUjmLaqouubfgVl02urAQGm//9bC/
/8h/Dzs5kC2h692s4SPnOsR8SJ6pTOU/a5zjRavK84NjXNZ/DzU5ohItgINeM1SPLGmJIKAX/8oa
/zFCvDTC5OTw60KEW8IIbf9SGNBALxxNv58sVJQ13kLBU/t0+egEpVlocMjW0k3Vv9UGq8PTyOnf
vv4ov90OKHHQe1N07tzJdiCptrq4ZJwcoU+rWWb1ozgcvh5DVX+74lD4pp8wigpNZcxLzFdEMWbF
oXbACdc6KMfSkDbX8iACMIXyY7rUCgYQva0T6FclSFdK9+CslcfOA/abGT9lDQZ8W491inBWC91D
U9XwoAP0QaWAv0q11I7cZiVQP4u7hzASVypERx+xvcT3bwRw3nEdLY4Z3mrZD69qHcT9ZjVIocp4
E/MfwPzsyMg2QiZuJH/XAG1ASXamkVipVJOHhaD8KNUHsDIDKHwKHyGsampP64b8K8Hu6AiwUhAs
AOyJ4w2u08YhR3i2dvEi8EUcDIIKiD0wXWkDam5FrXhVgUDNYEmUx52cvIubQEq/B4XxU1ObRxTU
Dqbb7StjWck7Ss139dH4GaIlhOYniMVi4YbiwW+YuNC/qpg4pJivhpQkhXLJaKgOHX9hYhCmt7fF
0ZsJ7UsRYUakKkut1ZYp7Ncspk/g7cDLL1git3EV7aJS3kb5j5oQAmrCXZW/RcPS5W4cX6FNNMel
mN0L+zp9TfQ3b3ip1aciggGQvmpBfOuCcdf7eg4pAKck1JWyAmYH4ryWteg7MKpleD3QWKg7rM/9
B8hJ+EinG91ayjHoOtoU4hBeh33ryDCOxuUiBD/yIHY6MVwaqr/n88xN7syamyLutbmXalvIQj/M
unNUcHItUnt2IMIRgqy9xT7pOlWRbwCEvlOa9pDl7aoGntnlB9c/zqz+KpbBg+bBopZbWxb1K/ov
tLxGCTuo3tqsHa+HgK/dFWj5aTZmMLPaLeZIZ7I2vgsxorVQs2Cwo0kHL2QGBh62Yj83v1eWsAB3
uAgsaU3zaG14Vym7TMNwJwxfFfTlQDQ5zDn6dfOmulbFXxEBwhGhUK8MLxzFReyxNhxnyiJOkRtu
rPu4uRmlnYhDrB66I2FfVX+HdVOAzbTkXVrDJrsVVYr4OcoZpb+HkOFglDPvsnguKM0zgi7cfiOx
gV0WwXyovRktKNyEqRLXFuexfG35zRwxU0dLjwi3qbCYwpdAHW4SPd2lQ7svW3MbE8rSTYHcvAHx
MDMIQqv6rVatGYCzRwXIvWs8NDmxi49SZfode/pWRYeCsrsK5qYwEgKhHo5lSc0mob6KliE5tn9b
BwBMwx8SOBil4j6UpEXA4xso/1XeUm115iFDqYBI2gp2HVh9KRrVVG0MoOahJCyOkPIyIHhgja/i
PLV9ObvuvOQl47fVsrww0xsqtzwBfYQQ2E11g/4l89AuQObQr2qcQEDcMXw8auQOebwC9sOCRAsk
e4HDduvWysLXITG2Pc27zAZ1jarCAUjyAt4bUuDGsgGv3JODl0IxG4NJ9Kih698VsbZuAfYFvbKO
wMqjaO7Q+LE1ETkDeLwAftDbbR1UHGaJv4iR/FbzbovbyM2RdpWfUrmluo3eLcsyLtcWaEOhB8Q9
tjExBh7fMDKrAwWJZSO/0PlehMkBhlPEx0Eup0yT24ACkp/EL2Yh3AUAkLvS3aKtbaPCu+yELfpr
KFViEjS8hBQ6FL6CxnENg3IBus5mj1VZ6kgMJGWZg4jEWnWPTlGqK8Wt1x0q9eLQOGptLRCSmUWp
BVH5djTIUugQtjqdJ4jwPaobnjAfvHZLW3EBnGDpRsaVX3hPFgeUALUgln+KCGiW4q1v1Vd946MM
R83Y22qBd2fIzU7JXzTZ22PLs26a6wxEn9JbCyFCBEJOnGJEECbrRKbddIyWCsddC66UxvZj4SY2
FIyrQm9uJCO+HiJUXzSAklqwkIXjOigPhdesvr4FpfEqPQm7SGppqSPbix8WtMXJlS70SO/Soikc
LUg3I4VEp8Cu0TtNoSOLMp7ZCSkhrIEOYp4AAByE0EI1/auoEa8Ba9uF2aAB8BhBc/r60c6u58mT
TcJvIzJpOqU8mY4TlIJileiiQQDgVSsfMVl2LGxequo4/3rUs9BjMuok9FDqkFo2DSokAyDDqI9V
HS4Rb7wU7I6x3tm0SwjS4duHn8GHf9unJNI3SgkxrYiXo/Go1/pKE4i26+q2FmmyCMYclVbgne3N
GABACV30MHmsob5qcvPZ41MAIMnkHHR9ZBv1lVxlUPL8jxwd59kZrBk6ouqDmuOlptIm0Xo618Yc
eRhIFewafd3qj9W+Cu4rCcy15dlRKc0UadGsFFLCxmwBZtsaMr5iGi0k9TlzF4pKdOKVizqD4Ga2
Tu9rSyR1d5RCb1VjcEzlPYi8Wzolt+Oe06XmUfPiZwE1Am3wbo+o9x+tGFn+xLG89tHXpYVptXdl
Jr+0cW8b/kH3wE12RefE/XAoBSrITb0aNVUAej4fK28/kJqIcrEUZNk+ko1lRvizywmYapwq49yG
BjwvQU0BAkH0lg3tK/bX62NiQUFyOi6Qv7/cR4r16ctxBOIKQP2XZbkTORP94qAKzljGMQdziydU
PjziQ1+mS85e17oQGZ/VjySZ+tZYjMKVBjDTuHw/jV7mZqcVKqOn6bIMaidb+7sg1ra0MX8t0X9V
X7xPY/5MS4YnxcX/Xgly+Z6OOMRy+qtOmlT/M6qPGjv+n6uPdppG/2tdHl+TH+XnntT4r/7qSWnG
HwouLCNKEUjkSU9K1/6gKmzi02KMepQip+1fWErzD0sWJYQMLWqM+lhp/E8NUpClP7A8wRcRhUIa
DyOEbdKD+qonNTlY6XtReSTfIeW2ZFNWJmvI0DoN8IWr7EtB7gC3gBZR/ZSAHg4fsGaRrGGENEjD
xZTr9NAbB2brYJSJ1BTNk4+76NPijXv6baVXqHsFWe55asCOQLXZX3/6ILe/DtHPyoDjCf3paKXT
Z1HcxYGUzh4YTm08ej+NoiVNWCNMJd6BFkHuOn+nS4VqtwAFu/3hqWGywVxk8fWYk8T4bMxJ4k2q
VGRdKIp3JQyx2PeMpVTGvZOJ3q2ZFRcGm5wBH4OpzKRII0hVkKc9fcFUgPsGNUi8Q3cFXiZkggXM
jp5e32w4xGLrO1+/3ATKSd+JZsYo7AjwgF6XOfXha+qS67cy5Du8cveyq5bbws3XSRSt0Qa4px8o
rAO53sAWdOudVuEZceEBxhU5+aTE6tRDSdZpyE6DlFSh/Y3Wg3zHUMq2VuVdYKXZMhcIOlrIlrNM
LwnwmlSe635SHSIHck6CmkoSPgVBshbWVUkq8/VTnX1zWQbPxaxgzyXTKJ7U0jy8fyVg+8btoJKq
BGXfzyruODif6GCbHai0r8eTzmaBARG6NGQcrUxZm373AnSVbuaDDn+M+7o3g0MhAfQAWeNk5Ka2
UMnD/REv8ZlPjqW1oW20LTX9rM/WcqLhyxGnB6+Gt/j1g52dJzwXIG/qQSjtogQ1WY+i3EWoVQzG
bSrmi+aordXKfYkhly7wp5XgHIrbGiPPVX+UigsFqd/OiUWVHPMjTkVspE/3AhUEo0QX0Lg1vHIb
Ew1AmVAeJK+DC2p0TxCvb1CbSpbI6kPuV1RvbUnNMjWUFIYyQhZW58oXIsjfrQuQ7xz9HHUW3cbT
RxJg+GAKIvOZECS5BaJAWOLVeKCq35LSlC+swunkI5bLasBjWkRXd5z+09HaAN14eKba3rRq6Ezy
usgEpxHy+66TX/yheuiCBpL+4F5ajeOR9nlPWlxv1Mwoq9HkBGQ8+ept4GeZWw3SXrUOgZHOItND
FBJlro2n7Rphm2N+AJAIb7UjuVoYgAhtvn298KbJC86tPIMMwoK7BMyDMe6YT0c9hGFFHVpZ2jdE
X9fIQfjKd1V2an2nFTZr4aehw15dkcl6iZ2Rca+R4Q8vga3PFuH0McYV8ekxjkXQHz0u8b33k/S7
eJPqlQQjsoFZtNETG8ZmmNvHV3pphrRRhQvr7aNOefYlPs3CZAlUqRe7Ys/wLXIC0sqDZBfMB9DJ
xg2kKO9BhWZT2MXwALkqeE6OtwjM+O8XPsWks3D2KSbLoQ5jHC1VUdrXOtJa+bcGzHVtFrOme0vE
u4wFUmC9VfbqhcNHnt6GH5M/QtAVSRlj48nV24gAo3okUPcq3sbYXYk2gjdIP+iUGoa9CyFTU1Zc
DbOoHSVW0GZ9GdJdoiIA4LTHe8OD5qusGuXg1/M4Q+9mTfnR06/lS/CDj7jq7DuxXxRubq6xj77f
52WiCXWRRoq0J+3rrCXKrjcQ/NEQTet5BW8bm9Zs7kaL5NAgqPrW/CzXWrIQlh1x2dHJkmVe73Lk
HfAxw1t9jtjXIxJatQ+SFTwu7bGVfImQ8sE4mT4zxBsOmbFBQzn+dGlnOH3HVOfkPTpYaND1r4W8
9ZqZkHwzVFiQAHNnBuh0Hn6Rhwu4foN3N7QPHbo1KAhd+xdOO/V3y+zz80y+dielfpIKNc/TI4aL
5JVt7MzmGoHrISCXXqBaHEbXpbem5emTR+YPobKSaAeb9Y2HBsYsPN7F4pUmrjChECidiU9BOytS
1FmQXFg0BTR3FRLBEuWE4zM46aO70ouZiKfFhW07boivZnZydo1U/VqomNlgeKmsFdzQIzxp87Xu
HxXl9sLuHJtnJ4MBl1dBhtGlHGX41cm0qYJPryVRpb1FtfJOceJVukSf8Np6MTb5Bb6NNv6yrwab
vFlLN9PwDdZ53c4zhT+zqlgEOgVYY2GkG0yArGRD5U+NriBiK3jMEz91wx5dwLTHw+WmqXc4OKMU
EG1zqo2wg+7E7RAt0E0qERAh3QdBcAgOEQrU4NSfKXlCM9SvQ9iKWSrAZL4vFRQkrv1wEaL22m8V
b84/Dt5GboOwl5MLNh/nN8DH/FrY61jE5PTBTrcJ0aYqqEkv7fulhSw1Bs8oSr0pz2holrLjBksg
2JQGAn+bRzZo9a8/r3a2K8bhuYT5Hw5iAuTT4YX2qFphxoxb3hLRZAQ/rGE+nsAaLXwuHYxjdgnN
lXYBZ1db+Qjz/KD9gJ1QJSF5cN3maBs5bYBGYPiITqgwCpnO3PguaXAu2UfH7VA+mulMPcirAF0X
lI7ec8Rv4mcr3XsUulPHzxGjvh+kKyjLmPSmc5AlX7/l+Vn08ZaEjDioQ26SJtdsmZXUlYFQ7o/+
skTUo5vLryKn5+OIEkBKTbrOPUfuNglOYrsaHUV9BlG2Q/BGn4slTJYL0278ftr/fqDJxetWjRSX
2BnuzZ4+C7KGj6G6baM5fb3Qbo7XeXXTBDeNvqnDK0nfJMO8holzAJcNc1BCGn3ECqLaNC9dbHdJ
XcDbIAky825M3/ZTu/5ePhpv6PXt/TvtVUd75MDqcoe1o7fzHraROSv2puM+6/JMecQxESEZ9SdX
i0mH6DHeEQNYN9YtJdM8dtrGlhGz41/Jc/qJP77+OB+Qx7NND/iUDA3UCnWK0yVIj2oElLfSXjhY
N9pb+AO7Se17LGMHvRYlRxccZL76bbHR3osBjNEsv+Hd41cCcevZD2fpqyDN4121p675GN/na+1n
sWPJoZ6UPNemjfi18Bbsky2mQjQX7sptuU4vZRPT0H3cQCquDDJxLTU2cQy2P93QMpJ0VYdo2J7J
hZzQKBRBZ/FOyOZFsURuEqFlPpvxDuslR55hCVr862mUz8J5nmBM8qCBUhmG7Hb6BG1pCZg++vLe
/wFRpXzwR6ZiVM8tOhHtjKrMsXWOlsOhieKm+CzPzKvyPtnzQWv0mucJhWEqn8119dD6FCTnhrD8
+gk/+HzTD03dEQCsRMJFFnX6hFZsAMk3mSOQGj1me7Punvtfu1uEgV3eVg/WhXvy4oCTw62AQSbo
48pKClKJmQ4eeQ4OpS/mRT8brmkpJkR1yYXT5uKwk7WQRIlrxuNacB+GNyhq7a5+N++lu/C1ebUe
jxfi599+979nderTIYBd+zWa9+jSDVds81WmVG83gx38Wdn9R5TI7xfZp8EmUBtvqHS/1EjdkCcX
u7VSQ2C5SbFhxJVq1qXPvkEVHngB8VR6dIJRL8nOTAezjc69rxHskG+tYYXavQhqTCse1eRaZbk1
ZF7ajZsf0i66sC/OSlDjzvy06vTJ8YKFp1ArAUdtTseOJuhDkq4AFeBJq/Tc67TDk/DSwhvjlC9W
uj651JMWJ06EY1gBfAdp1vcLwXKS8kCMKdANeaCfkqACCElwpt1CJb2w0X4Xs1FXwVJlrPvCbzjd
aGADoPwMsbx3f4qvXr9xv1nSIvmOkSSNOARA4gux9RR2N7KkOb3/M+DUKgmN0aS0cNzYo88nwzyN
EMGiE3MPY6ZHs6JhuwfVMpGvDOKsSNQdtK6+fufx7Dib8U9PMFmYDRYYqmLwys098CjSIkRwiNP7
6P7rcc5i7zF8oDgD8WOsaH7EU5/OeR/XFWBfrggug5yxmB3rTZ87TezOMl+eBda3r4c7r1NMxpu+
V1QnBnZ44iFCOsbEy2NRoQqao4dmD6I9GjbHczm/OwJ6I3l+aO5KQAh4ylz4wpdee7KJWqQb3bbh
MUxpY2Lo0NpxuZG8b0ECxvTfnzKTl55sHy1MsRzxGU0wgUHZeTdPS2fUMsYPEYyLumj0m/h6bDQi
ydStxW/JcaZ416iZqz6qCzP+eKLTB3MhtQsd7h8lTcr4dnYJfPlRJDxZdpMnVU93mgZAy8xSnvRY
41tpe9nWVxZDs0RMK9355dpLrzJviSJsCWO2WCZsiA51Pa1/y9WdijyXO4pvAoQZcbdqcd1Ctsl3
EcgE7IiBFXRHztGtP2BV4y1r2IyI6Q+63QkogOVI0eMnK6xSMFwiiWpuHOLmx4UFOM712RvqGOdh
0USpEE7TSWCjIdJfBzJv2CQ3L5kFeAz7HX1doP+ifFOitUVqP9weO7vSL92jZ0HyOLmfhp7GC2Zg
ib7I0L66MKxl2DIJNr4h0AtLtoIMN/PSkGcn52TIScSQJEH75/c8blNxLdpds0G4TNR/GD4b7lqx
FoCtvp5i/XeDorwLKFg2oRFMIze8VQOIkr10oApX5WtVXOYoIaA/hOgTIEbU30GAPAqj2NZcDjZh
5Bj+UqISB6gMseOKW3MdH5duPVaBALqEuI8YC4AXo97pvv1mXYsoBkMTf+m/eaxFj19dzUGLkR+r
SD3uC8VR3aUY29a1GQAWm9PQJycgUMWB2De3FgJ1lfoErb7yNiaiFzEJhHNhFn630DDdpL8nKzJM
pclJd7TCGrVgQTzAzma8orS9bfNTx1/EMdwb5NhExOPR64YN+r3GCySYs32Kp27T2RQIzHthD2bq
aDIB1wR4qr8QzZWC1ou5Cr5599F1zL7E3n0RmFgBLf3+qi6dzpzp2QzbVL97ANxWqz9rYXNE6iO1
29oBkhSYM5wRPLw85uqTr1OOf3eTtUmORlU4vBCqnEVyLL7PMzA5ZCurhGcXst5L+a6Cv90sA2Gl
r19zkISSsP56vkfOytnG/jza+D0+32SC2QuJznxTZFkXbwaf2sQEOid+TD1OMmTeZ8I7oKNcnlXJ
Es3vYkOOSV71VryEmLlzeH2PLlWAfvdQ41FjAGKBWDOZAhHSHPJkoXQolDnqr41nk5d8/eLnwco4
zdieYKwK+9OYVlySPDpKcdFJB8OfFfJMsFC0nVU/jt89eRa6doXlECIEiE16K+/p67HPSHDQKk/G
ntwXSqfAGY4ZGwSm+mg8ie8Q9VmC2lPzBJg+RmEA2T7S8W9Ue0rJ9p4wxRZWEXPtzcTd10/zu0v9
80RMqm2eJabAcFvpgKTEENspio62WAIAtC+1ms5Tosl7T26RxBp6IS4G6VD2ycqMKOaxG+dibZvS
1uBWF0hcHDym+/rCsXJx5MklEsU9YoQuL4mQPwWuHB3ldtG2dkmGIoN2mucmuNe5cTELHD/l9OL8
PLuTqwS1MlXpNQbWX5DX/MYa019R7wZDLTwK775oQ7s/dnB6L91hvz1IP63vSfSvlXFoGhFzjVuI
gt1aM/fyJcbw/UK56V/V97pbZgpferiwnCZqSQTFHx95bLdDtKCpOznBraNRAUkWJfohNsKzKOgJ
PQz3JUKn8/5FN5tZ7d8X6XMCxlMN3wLv0D8M2aZQvuUS/kTSLQzUwaUXSyvQVWYxWopIAimIyChg
muNs8f+y/P9+3MlZg4SPhHCJJB3Q9SlUO+OeKdeu9Ej7sc4vlXl/e8ePxS2UwRQYEJPVUB2FY5up
mXRIqkWOp16bYb2i0isAarD1M5yHAifzNxdLnx808bNl+GngyWrIBZwgai3lLQnbUQlHhqWzEfo4
ghrWbVGdoSWJvO7wRCMkkp0KieJ6HkVz9FWRoRCVRS3Ny3rhJ3M/WvfdlUwzHBf60FEwuDPuGvXg
BU7YrJt2o9VA4Zfuv6T3/FpWf7/BR2Pn00VlJoEklHHOslJthEBRLVXgS8z68FvVrWAK0raZf70y
zkuS40oeLeAxiDXgxE9qaWhLq2lbEZH5xlpBkgdBiBLjdhG1YvW4lut56TlGvcxFu1BXPWjSjhwQ
By49dgDYHZNHLb4+IkzbzeRqDs+jG65N2W5GK+FZka3z9togazLSp0L8FtTXJUrWx+ejui6StWyu
jthmRQC+4+MsO+aLBN8VGRypLu19dwuW98LLnl0DNAAUoCj4FSAcA/f1NBBAsTXw9Y5AwMquU0I7
1azndUWZ2VzGj4W1Nqq7MLtht8bxFbJURugMR9qydxri11igQEfJ0OCcW++VZWMG0C8wH4jkeU2s
RhBG8LAThAU+kT5KnnhALLGzyx2UUOGslca6fZavRGDCtNkAweAvd/f16018V0ccxenrTS4AQRv6
qgERelC7hVWTIdpQX9NX0xY2cF0QdocI6yMQe0cV2ZCZ+IWHALJGQcpRC4eSWsa74d+hoY2zwPfM
an+Gwhx9GGzoa9zpITcg8i9AfFny7nFsdys1OWBthFBPW64qDJlMW/Tn2i42bCm0mZrCnGseOsKO
Hr3G9aKSkTC2ET2vZVi8M8SNagXfv1nQAbOfVS9dPsteSF/xJDmCztWh/JpOoT1l1vbruToPjca5
QvxBFUWTupE2ORILNIdA2niERqj/yI4IiHeobhMvm1VAgtRlquJzeuvlm2GMvbuNXr1//QTjxzg5
rSYPMAlKi0ZusVQl/jPDlZk/ZNXO0G1DvmrdC1t8Csb9tSw+veo0Ess0BUwUwTZq2BWpZd8/Szo+
bus8g8O6sbC6xM8Q3650Xl4SvvvAaH/1mpPIS4wVZLHGNYmxEO1o+IMWi6HbiMKyTbZls9Z8B7Fy
190ExVIKd16x1AsbUdmOa/FS6exMHOJjh3yaiskBMBRqIrmhLx3i5KoyVth+JvVCPaQ/wO3lwAfK
SzHZWYQy+cqTLQmiB0camdcH4Jj0P/JmPZKUdOVJjPcwjfLyro6fmXVCF7e7pHNynviA+0BYBQIY
Ep34g07XWIkaOIJX0QFNf+z7MlTU1CpGZNoavrnYFc/xolNJLusXL7dgK4zpV6kp7bw0yIYSTdOW
feHu2iJObLT7fppy2s8kSXgvKv2FmK9fKnH/5nu40bXGNTfW/VAWxYVg6yy65CUQhUENABVVZAkm
O3Vs1WNGL0WHIhlBFVgS44uEW+XX2/G8eE46Du8UEVcN3C3A29O7oUIoSgg98PW5qX/rsJ9ZKEEF
wBfPXxTTXGkBVHmLAQoFGZnOaU1TXWkuvev5sfTxFMBHR3EWHRnX06fA3y71PLcH5d/RyoxKb27m
2MYkdYnCE3w8E9gULJsWDhNC3CtB2OLkdDBy6aFug+HC6h13w6e9O+oFgR2jK2mBGkILZBLJ5V2X
V77regfEHOV5HhwPPnbUM7HyfrZFIVzIVuXJXhmHQ5aGKhgdPQ2w6GQ4qCyaOFgp794oWx2vGEdS
Kt/OK/nBhQR5zNRgVclKsciS+BV1HjAMYipcleLwnDbc4lmDTJuqZ/nCO8ZvNEC9utZWeQNbL+5U
TBI5WCSthRama8cLUe+07z4+/NgUMFk7hL2iNlk+fZ+ipwLyYS93tD4GXJXsQkpUx3KjNW5k15pg
4FPo4XSSC7E/N71YcLyCHhJSdFiH6uljn8K3C0R5LWemt1TMK93vhXlodLgG1TUELuXS9/3QCDj9
wB8wK9wM6edC8Z1EzG3v1q5seOKh06WdH4uIz6oh8ppBeTWE7r0QRMKdHA8eXXc0y44+1n2oLojL
0Gx3Woi5etdRLAReuu2DuF/XCA9mLurZ4LpnKAT7GNd5yOrVA1GArjU7X6zbXSBASU2xDLG/3sHT
045PAD8LAyAwxRD3+XO6dzADDK1AE8tDE1r5MvSZfU/ArD3oEuyTsduwg/AZXeHakUtiI9cDSGPE
yJjiNA6NEnXtjSC0VKPoLCdR6WKRSAnOG3QHXT07Lar8rpKNlCCoh1TVZCYmDQV6fR3Z9devMu2F
AJUGLIq8BfvPQgJzqsYrIg7XWHFm7cOsSK+EoH2QCTVj3djhKWbYqY4U3xGfGW2gVqp0WruLfQAt
CuJ8iLVFi7oVwo1yREHVqBAyV6RwLitc9x+P+a/YL/89asv/b+o6o9bZP/NbHEjpn3kt49/+i9di
mH+w/SG0jDjbX6I64CT+QP9X4VRH6/uXcM5fhBZJ/kPVJQuxnRGXLI5Can+J6oyEFkJULgEQU2Nm
xoH5LwgtZ+Uhwlx4HlxwI2wCUarJ8Zqbx6DSWPmPPW5OG0gJ5XPjq8L3BGvBG19JhhucxnqIv2a9
Q1sUkitWKHaby/jY4LQQXFrj0zoBz6MhrI1KlqWg4PKRzn9KdrlsfU9sUbNU5VBZV2qKQeYxTK/U
AbPVxjIR2xXShNK0bOLleEQ3R8ggelZRfKESOw0weJCRKoAM3dj1gbZ2em64g6y4iVVLj5hzIZzp
+eiZw/hcfVoit79O1c+MmzMMLnAVXhjLQz4lyee0n9rDFXYruXEfBW4zG/GlaG7GEKcH3wDl5Fbm
stOrKw4GrGHKoX3/v9Sdx47bWtqub6Vx5mwwL3JwJhIVKrmqHCTbE8Ju28xczOnqz0PvBo5FFUT4
n/1AY+8NNFBLXPELbxiKKvR83xJ3GKzG4MkqeKZa2R6GLAAHlU/BnYMo0jHHguDQ1BGc7awbHuxU
GSA7l+ZeQ1jsU9YUsNoplEFIzSueRgMrtZUvm2P4P54RmHYIzkN8mclc6EAtQydrbPSso4V8Qsny
oWgV6gDVO6lFj2VOjifyo2bSqoXxX0i5LcNoizO7Z7Z0yofyGOLPZKr+nvsJYSRxn2VyH8fiOMju
QwM3vVB8mIxkDspKo/d62edfjUAbOoY2uN3Fi61z/xt90zinULfLo+JgnDsWGMDfnpw3RwECZAIl
wTdAXeQ/2eBL24ly5zRamDXiX4QEA8KrK5HaFbbyNxaKSJ8wmVI/FLHLPRwYpQz1VA/PXTpGr60G
KOMA2wroaBKk9SsU71LdG04cncaqaHkS9L56Ch21Els7MfNy11Q6QhklptQtDHU7k7vMHad45Xe+
MRs6BsOk3ZaJBtwSwZOk2J2AXfBPcVEoO1cB0a2PtbVytbx11NiHJhOuzvTP5YnuiwproEbxT5BC
tGMnI8xZdLWgr4b3T6xZhCmINe0w9aix3h2c7diU+ge3TPIvlh6NnkIkukXBOdqPMv8RhQiK9yRS
L3FjJ3iPdM12bG2DZmENYm9CPDYubGzk2yz3cNZTX2HmDthp6fJvqxbzMiO+BugNHMoccV4uc55F
ug7cxT+pftrfVyNfgrr1d16g5IC1So5je4rF2ACcOC6T6ikX6JJJmZrvlRhwZauCQ7UirAVub/L5
6bi4AACKwLXSaeoSAavLPpM1BFTS4iY4Bzo+M0OkERQqqvHg+KXErZoeI9da9VRniGveHnmRoghn
HhnANqVLSnow/S4npDGmFi5+HJwzJ3vMUXT6IJT4Z5X7sNliu14JMecIcvmdZKB06nVgh4x3OZrV
w0wA5x+e3TShSCEFYFU8iba+zGYlkoIiaFQaKw/HHIQvBiX3RdUftqujkQhfDhpIgg1Xus7Jh7H6
LowKgfuZmW91M5efoYeK3WjmZ6OdpoPV9d3Kib2628ElcJ9AGiHLdnklL0ePtSmpm6jg/go6JFTs
9GuoynybjslaN+eqFM1a2jC10NxydBfy+GKo0kSKP0Uu/qR0VTvBz6vtQ5Br/XdspcNjafSPonfE
UevL7w5dtlcfV/ipGizPDcSvTs1KD/6bfDEi/Ws7+NNRKc0vxFViPyl6i7BE0oEHzpV9aia/EhP5
EcOEdqblibWNUSH0ZORX2FkZ50kdVfwUYyyZURTYaa0iHqJaRrsRBaOHSaOOpk/2zhTtS4nsyR12
xnBNULf+NkrL3Taq1dzJqg/2Q10onlvFuFSZkwHGHNW42/v/jR0pZtKJaRBE6uBNL5enFvgcdcUg
TlAX3b3eUUTPcCKjpppN95MNNrjLsjWg4Rs7ElgYevuqQXUJYufloDGaUIVR2C4cDIllYmcbniZy
5Yhd3HCHNRfmwBPI9xlIB9Kxb1cOxBtb0uGqIYQiM6IysTiFjaWORoM8/gnTZ1T4Mr15KYzgVcuk
XIkMr+qF/H1HnwOEGRLEQzJffH/EqFWUxDbuv+7Jjqb8xWnV1kPtV/Vqu0a1JrT6fSKqfts7o7FN
MHNBFacfV0oLV5Wp+Ucg8uMQKgP7E8vSAiJffa9YUjmlMjO9qhGoKxVaeUD/ftj4wqju9Sk10IGJ
xiMFBnffYkN+rNUyXKnEvXHZsuggr3nAUY5eVuKipDMHtPPFaai19GASmuLELuW7eLTeN5Oq7f56
b4PxNtAQZpe5oCQuJx+2rtnlueGcqgjIfwEffh87Un1UjNE+pPGItJZr/7g95lWAwmeZZGE8ZrPS
6TKO6tMen2Ctd061Gtq7Mcq/VUPirDxaVxV5Enp4Yjwis1XTLDNw+WWNILlPmj46S4W6rJxKXN0S
Y0ReyLbf+6KqjwjLDfeIdfCeVXV0CDUdwdLIbd5lJUz2jjLF2la/SsfmJ9TihZzJ67w1i3A4VfO8
wXqA0KLFiM7Wxu4x7pAB0xI/PTbWqB5Cwxh3flRGlAKd/r7G4fdAgXBcWfY39rtuaTwCswgEsdsy
ZJZSw1ZbyugscHfgyg6bI0T27pm01f8qLL3bRYPID5Ji4tEKs+Q+70Ael3nYHG5vhuuwhsozzH7K
Y/wWkvTLZULDVdUHv4zO+L+V0hubRPtYagGpcI2dI/ZxBHzIxmRBeG6cVq6pqFxB0BHiJSHFBclB
/3vOHS/HNwdZBp3bdWc/wS9UFjruTBLEkmPS1yM67Y+94ndnCrM0vJMJ7qPvluBWc+cc++bwOItF
frVst3hOTD340I4qLfEmre7ribcQIHP2EtVoL+U2HtWt7YtNNw7VEfEwiEOZpR1iPKg3eaK6XpxW
GNNi/7Lyfl1fKQAFuFGI1WnEUWe+/EQNVbVRamp2LqU/eEWV6gcnRh9Nliga1oM+bG8v6fX5JrEm
UEX8Aq8k8ypVRWirLoBmn62sQ/I9n+oDbi/mygt1nY5B76GkgPijNmeWYnGY7DLN08k15HnEQGcT
lNa9nrnQI+Q07Ix4NNC/GVo6xrnynFl9cMDi80cf6ep/4iSN7pwmS/e5U0cn3TL8ld92/XqSoUOD
4xIn+7mKsmSWKk2m58kZcTrDywPEgGQljVe1gNN2e7Kvzw89VuJk4gRGg3R3ubiV0RaDLvX8PI15
/tJXsvjejnEJ+K7oD2HtRK+a3rR7TE3F2g17fZuBWKcwAXIdShXCC5dD9+Ad6kmv03OEIsKHwOKC
MASEW7WxR5yUevkdv0hjS+QofzS+jzujoyDrUoPOuT0H1xt8TtZgHYKywBlEnTfkHxFE2VuhiblB
flY0BS3qzs8QqZOAsNwCfTQsb24PtyyCkxDNmRilPrp91BrVxaNp6Vka53qWnyNcUM6NNcXQKtXm
oTEw5LIc0b2WWs9BzyqsYvWY2sqQlRs1LvVHMaTTUfVRBXBDsuM8zJT7qBiIbOLewHwuCvCZ1hHA
sxGqtjIHwT449QgxtsODYRfVa1GipHH7e67jW25xpg7LgrkQvszkA5mqPvzB8FwPffqxjgWEKjNw
vK6sXFTyapS3rdhZi7jmSbpMuagaWMhlMI/8cwmKyaTj4CGdxmcey+TFTzVxL/2Ovof11bG/V2pe
7TJ8hR/iKevexblYY7hd31JQxygS4szxu/a72L11o6u9G2fpmfex8cyxqOHPoL14e26vbwJGATXC
5gQTw1tzuTXHTBWTXYrkbGLXS11u6B6SuBAHLD/W1HjeHIrIVcUwhNVUlzdBaIuhb9P0nEqZ4fjj
lx5GZJ9ijAjXoof5V1+unU1ujoch2vUIiziLr8K6AIPkMcnOfRCIvUZtYK+0ZX0UvYEaeKLYh7Zu
PysCrtaIpdRLmwz0tNseFU7bjHZu7vYrKfT1atrgvLkFQB0RXC2Jx1Ey4BEWZ/wiv3YPGTU8TN2V
tUT9+qRAWcdglBwa8SjksS5XU2i+NhZan52haURIrHU2dLQh39cyzI6u2VqeMoCS/8st5CBrIsCt
UTvH5mPZp0Je1Ein0BnPijB+tph97rs60REYqJv3t0e6TsUYyrCgnZL50ahfti8w1XAaNZHTuc3S
aDfYbrejmkr5Oyjz+2AKtI0yAekLjaF9zLE9pTJjZne3f8TVSqIhw03OobSpVFz9Bn2OSx3f1M+9
gHOAFyGwpTxeY4NcreQMSJq/01Up99EeWaykqZe5qhjFudOr6E7BVvFRHcbeAwkx7YPY8bFAL+KV
c3P5ThFh0mhiXmfZPurH6nJ6E83sq9Zx60+BZT9qbfxa9zMLJdROUZ79uj2N+uU8/jMYOmea42L0
QCw2/5g/HsXRHJsMm+b2U4bkULoRjVUA7KiSwyx1jz6hOx5Sp7EBLHM/uJVmPgdZne8SoVh3PDLd
w2SDjFBj395gqzRutbCrD0nWVFC0IGBW7di910Tqbsmd4oOTj86htGprW9b1sPJWLMQ2+BYMv0yW
SqUiApjMXdw3EUdOmfypPY2Fkt1nSqLsAvbIk5+W+D6Ukb5zRzBvhlJmGINRJQHrUiM+Q0vEtFJx
aoQe7bDPKXa5E3cgVXlDkyxPTqpI80Nb9tU7trRznw6Ws2vqPvmgEMDusLMUHnLz1SYWkfJAD+PX
ELvDocx946zHAnKDCvLYAYQP0n5ASVfDxO/eRHbqwQnod0+hhTZvqhYgOnuUpjXqireX+WqVmRlg
LPPWmqPgJds9bXptLB3RnlCODnex3Ribomeo26MsYu15AYjy2LTk0yqNnCtGph9mbmP66gmbQJ3v
H1EXG3LTazvZfcbFr9tkU2TtsdW1jn40a4M3Y0TYg+WTTv7xWGdYlOO0CHLbEMXKr7ueA5MyMXEE
Gxftqdl668+d7vhKNWZ2z49zcYIwtUHb0vByVw7v7wPz/x+9f+Zg1ksEqcOzR5/pcpgc8VNcQS31
5PQBdDruMMDwbQWdykyfCRn5Vs0PnZ1hoIHKvJRfVR3GIQ70kPksVW4m1A63fuFo6IZYyTvaDP3K
TFwWDeefSPlsLjFg/EMZe0kUNkPsKiNH0U5JbFkemRmw1KiHl4CvIgCXfDj6pRUeWiX44eBC+ldZ
zz+jE0zRGKPxPfeeLieo8GWoSDvQT6kzxPetAIcTBdQoM9S/Vhbj6ialXkXMio4MtVGNtOdyKL8p
JgwkcuNEMpEhpqz5KJ3jB2gUevCUEZavTOyisf/720ihZ7se/kkBZzGgQdd34KU3KNH75hdM+ow7
tTKKZ3eG4VhUEbwY5/q5sW/cKcpkbvUq8/dTmyQvCT7BKyHBW59PTQEcDdoQgofy8vOxWlQiJsc4
RX0xehTArc1AArQxksb08hbl8Nvn3+LvXW59Eh7STFfQUyRZmE/gH2+Jjq1egEGwceKC9x+IC9lD
ctDemULN1mb6MqH9Z6bnFpz6m9dA6flyLMtvnaxr2cMo14rnicKw1/XKq90H9m4yewHAqVDPqojF
3khT7Vi6lb4lSx0p1FQfdUCFXvzdONTS6XaKpWWQ8bS1B+nN38gZ0zRwn5iQLd4jO83CYvJN7dR3
uvneNPLhqceIGYeaNsBZ08z3+F0indxN8cvtlZhnerkSWLIjQIklBX2cxUooZEyBmbsad52u7/tE
7/eVg+PCX49CAQN7MsBM/MuZ98Mf620J8KwTpqMnpwm1TexQQMUYdJUXcf0tswcaYA36yAi2LM6U
GMIYr5kU8TBqlTtT5h8rs1urA7+xdX87bVGHofpFFezyUzSlkprTj9ZJs0P7LlCV4Gi2Mn+wY9Tg
/n7WkJYzOJZcTBguXg6FSSc1sYmhmjz0AVDSqsT9tl158d/Ye9RsZxFUPA7nZvDlKKReod1Wg3nC
ilg5TIEQh0zG1ms/9snDKIsBpjGdaqNy1bWj+fteWew+2zYRPQI7Rxy7zPtiaTdxB+L/pLXY0+5U
Xxn9XZw1wbc0ZddvQh4VaFpaET9EURd/qhrFeU/lqry3s8j5DyFx+VSktnvWUD7It1On+d/wmFJe
A8MqnpsidWoU3cS+MVV66nEpIn+bp/H0HdpdDMfMUpNvUzPm2s4GDOls9cSmLkC3tnh0Jz3YG2UX
8wj0WlJs4sKpviE9TAlSiSznIe8ca4dq1WxybZGOjq1fhF4zFZhSuFVj/Qf3avHdLbvKQNvfQAko
sJrReAzDSN8aOaVML7VaLKg0Udsl9uuU0PF2rNRvptEJ/FGawtoN09AfozhTmm2iyTL1gjCpP4xm
E30wTOTK6eFJ/8U36qdQJjLdNsaI/WbVmOI/s9os5JCi7ncEjH10iKeAknGs1UmBCoGMH1wr6d2N
70Zosdi51mBE4kOcKCmWV9tBzcUX1MlnNlOlO/sQnhPgnxHT5p2fdvW0q3Ebrr1SGum7kkjsUFQ9
IUxZm1OzaYVVnZvEoQZV0gEP933Z85xag59/mzACPzS0x4K7vNeZP98YjR/d0FDsIqzj8q1z+x2u
0kA50qLNqy02NQivSDeOZ0CwhIFiTaEaHXW19T90TD/soyTvTkGn2L/cFs2ByIjl85yiQCznRb/r
grz6Yfgzjt/ICuzaB6XT1U1t++0nPY2H3CMvaT4V5dQnh0Zr2s/O4FjHWB8sDZnFSvxIwnR6xAse
9duiEA2xmcQUdDM1eULYHo0hCoYgcaB+WWW6LUzErMxuKmhHI5/2UmXY8o6DqR/HmGQbCXvfyEA4
V+PnrlR0gfd8oN2ngSEHdGosMOx6HAzdBv+v8ovOfiRH1nCjnDIN02ehVFUEG7eof/VyoJ6mIRPZ
bFR1Ms4O2qzoukwT1pVgYR8bvIASrxsx2PNMe3Ce9QbbcfSsw89alhmYojodrnlNHrdbyte1dSen
Sf66fZNdZse/32BeeqAAdM/UuXFweccoU6d0lDGB0fG2fBrkCLzNLQccNgY2PzQiP9i1uRntbw/7
RogNQNqglk+HjP7dMitPRV0M2E77J3SdrKcy8suzmyuQ9Dqr+lVWlg8KBCu9gEaeV/Rt6XWp6R+D
TDdfHSvKEYuB6j/iiHzkSDr3iTSilZdxOTP0ErnFBZ1L0+b1XeYaLTbPhsyT5pRYXfQuCep053Sx
2JpTDZcrmYUNK32t4PzWoNitapQPqCNS3btcDsTaAWG1WUe0K7DD04W6lYE+7dRwN7p70eU/bq/D
MrycP5KqID3KeRGsJdSoK/R2HJSyO/lTeagcMvshRrWglVp1BAq08qAtvOAAks+RBk8Z/T/KnhQW
Lz+vNHN7NDqrO/VT1+9Ne2q8FDTrM4Z73THmZdjWsJB3hhtV6NPE/jEkx0MQzdC3cRGXXkPrGtOG
1N3xwyE40mrcKoDfd2EU10+uL0Zvasdx5TV8Y1EALczRy++m2hK2YKZ17YZW1J8SfbSR7DGdFy3U
NQ57rh31svV3YW+sYfveWBljjmSoutJGBgN9OVVUXvq0KfP+5JZVeRwdRTl2IPw2oE57L266bCXw
f2O8GUNIxDmjX4S6iJ66JG1qI6yHUxDY76MYnw8/CaxtUrj3gTlWK6PNv/7P8IKNgI6bQwFqzuJJ
8RZfh2B7T4VqONWVAkc4DKENuNVahvHGN/E9FJOI3in+LQnAnQEsO8Eg/pQ3JU5h1pjdN739nueg
eSBFXzu8bw4nWCsEOTVgbYvdTbimiiDSh9MUVxk6Ryg9WYCg70al+EHhSa6cpjfmkCIZeBqiNAp/
S/SiHLq+96d8PCGyFO6BKMs9dsjap7++IXgdhDuzqbW5gX65Ugh9OH6eWeNJbaxvVtq+uHr3MxiH
n2Lo8t3tsX73nxbbAmivwXVEVxnziUU2EoSOGAowI6dMYJ2mJ1jAwkKadl1cm4dRFOGxJ+LaKE4X
4XQUoReaG4MnwjzY1mlkbAvVCr2cGOH271pmFhTc4MGQoFKeZ68u/VfcKFUqlFbbkxJ03b5wYsND
b8Y5qpIn//ZQV+WHeSykRWYoJgwcsPSX801LDs9G32lPLSH4Bqi28rEM/fixL+xiZ9QSqIIxgAB1
kTjBkHy8H8y6OPhTkd41ROKH/8nP4V6gUk8biB7o5c9JET9WpRl21AOU8m7SeXoBaMwEGXPYjBO1
p7qTBtB7kHq6P6B8206l12p5fYzavF+BTF2Vun/PDoY4846fg4fF7BSdzALRKJSHwVc/qB0MC2sg
lHWBIXi2jvqoGWb5QR1TB0+/qHs3RL57KB3EM/yxh3UPcVRMTXZw6eBuHSXRn+spdXZWYSnv2jpP
76dUh4sPNW0L8G9A6hoqc5PKfgUgNP/Qy51uzBc7JQUXIQnIEpfz2rpZ1ymAQE96OsHfkq7xLjFJ
scKwUTdO6PrblBbCgxmbp9srupAEn99gA4AvcwetDiDO7wLwHxm/2hkVL7TsTlwdaH/jxvURUCrh
8SCQ9IHs5dUVLPbeKsdDjc/CYczcL1Hs66/tVBRnacVipxASbs1AjVBTspSNm2jWruppdTuGosBF
cNm5Fl7ObRWae7vsfDhWaDBPbig/OWnroNlh0NfCs3KjhVX7oIE43BginHaFjfkUdlgpPsd6fSix
uFiJ666vTRNAlk5Dn/6XYSzBJEnYAJfto/FkOSOKBIbsSTwja2V9r6+M2TaHAulMVCDGWuTuYyXV
Povs6RRYssXZrxMbwEc59of9mnfxGx8E4R5EBG28OYRfYBTgm5IxN6p6asFxolLcIZLgZGu897c+
CKVGfQZrcz1b8+P3x7YJaMqSiSfaCcALwjewnrD0dF+cTGt3t3fo9TMKPhr0rbBZKDpoizOeGKKi
/1FSfe+0o5po5dbWstditO4R3ljT8r8+h7S2NQBhwDAp8F1d7VR2tcqvjVNiJwJzzFHd4hlUPaka
9T2/idXjKFV5TlX8Wf/6M4HjgaEGHkljfTmhk1K15PChcXL7QHysA/ObFqrqDyVykd4Vol+5yd9Y
P4ISgMZ0WincO4vgpDZzpymC0Tipmap5OBiIQ+QgEa4rdvvp9pexI65uN5OwC46dya6gSrZYQs0e
gmqMfXEKneChLovc2UVVEzw2kmIVfBBTfBzipk62ZqI4H2QDasTrtS5xtlNv5/eu7oMplyNBaNuY
BL3kQJZBfcBBYs0dZB6S16vxF8q1wadKQNA41qZWaZ5hkr9uY7dAlrjNEMUqsQpEgyIfUMULIok2
emTnuLCaCmEFjyise3x0W/Ne9Il4D/yRt0sv8Fqk03hqmgiY4hjMfuSEqkDSlWNRC/le+FnTQk4I
LagqZfe+6FPUPIKeid/o1KVqz55C/bMtNWO4E8OofQ7N8n1vDUm1sfQmTgEMKekXfHPj9uBANWg2
AU9pilrlCIa+iPhtwVArdzONHOXutIk8LH5Ih1u1ebVioPjUXMZOP5o8YR9bAvUftKOVl37IJqSx
ROF/GscE+/BEV7GLLAFs3aulJJwK8cklFFYzgYpuBSa/AtzvbkNqWhpPTtqYm1K66E4PkdVSSkko
uW4Tux9ex1KlMGdNUTHXcILkoU1nJfdEJl+0dlS+cztQgIMGVnCfpvZRSybufb2w+3pjSfzrN64e
Z1/BB1GLmeue1laOk/IlBwL6sSpNpMpsO9JzbAZdB0RQNdWfKN/2IN+BTn1Q1SF4aJQgPVRj0Hyo
VWf6qgmlrw51mGsFk2RWFN3MfrIPDlDPGFnNsRl2dg0t81M+RaX/bPUuRh2Ub0LcLzt7TYbvjbsE
7gx4Cvq0vLLLfoZG7bmAQTOd8qjeNsIujvhVOfsmNJT9yDnb0LhCKgb/3tvn7foBwCGQLgEVaWJG
MvnLq7mM8KYdQsU9ITFQHUc1wQHVWOVGXF/LM92VwuvcEQXatjjThTn5Sicb5UR41tyjPFAf9F4q
6NvMhgmWuRYJX19YjEf8C81zTuCW1iW99EMROZ1yKhxwy75E1KarjXc1JMP97fl7I+ZmKNpdEJ7c
+SlYvG2aDzl0qIRyimoRPoSuNu00KpqeKhpaO6WheEHsBu/jJmqeG7PJfwVFkHmu1RtebBfKGi3t
Em05R2jzz8GuBbgc/dVl54dOX0uYoCunarJHrwnL6KWu/PEeToDYlIZf7jn6uBqbgXVfIdCwddjd
22aK1moCb20sgJ+8wmSZ9G0WQYyWK0kU6EFw7hUl8VpzolCJxsFKLeCNheYNJukBAQQTYkkDo0pd
Rb1o7JMehvB7jDTc1aOuH+wCma7bK/3GByFkgAci6iczXXoRKvmWPSoSZ+dTnLbmnR7kiVdg3rby
QQtw1e8FtOcyig1iju7mzF3/M1ZCwj1xugRGj6njzae2CEAMWVbvuYLHne7SuLDzUN/h+attajlZ
CEKMykr7cIH7//0jZsQIpgJEu+DYFplbXFZJYgRVePbDDix/LXL/kSwHsYUsMmUAeGF+JnW8duiK
tMWnCSItmnpCcT7prgJF5PbUz5fQZcIzE12gnUDQxwFyGXYjy6EGfighNQokfLbwq4Jyr0+FNduj
+BEWDGnbqPd1GbjBXw9Nk4633KGUSOazpMYHujMMOffmSdGQqIvoWW2BqrvbOsm+JLXxc5Cmsrv9
tXNV5PJrERpwZ3kAAMQ8BYv0Dtdy1Z5mdno5jMbPFCjwzGyoy1No4l7tBT46KrQQMBjc2lakJ1uZ
gxJbqSVc73boy2AXQb4CYAQwebkNbdm6UdTo0IMxQffMJq5xAoN9cPtT3yjaXA6zqBBNNsCTOGOY
0i3oVM3uwoKr40GUuvYilCx9Tgan+pSl4GB1lGU8MhaxSZMofFdUNsS/diyfxzJ2VlKwBS9oPgHc
pDyNNJ113qvlIrS1r01tpKKaqdv4dJtmirM83ZcsDIvH1J7cXQIlyYuirNrmQZtS0J2Gr4o+24wX
cexpQR+sJJ9vTRZl7/meA+WJINFiY1Sl609BN8wUF6M/JFBSdv4c5yrpiBbS2NFyyXELbJz+Jwhi
97kwMXknTuTOHxDdMZ063TSu0//1xUj+9rsLxJvrcnldbhXpB7pNh4k2UGf0G8qlmVdAxVs5Fb/r
+4tjQeY4ByskBoBMFg9KmMFuHKICHoGSxR+VclJ+6ZFejLuo1FIVjDyCUCGtZC9ojSlHVDdvD4Ya
49VUhEbsbnSzdl9c2r2vCmgR4dVFhENKPKiIcPmDWKk2vfVzERpgYuC3UK22Fve4FvrCzhMnPhtj
4rybJtpzypgE77jdUVKYAMgYQqnfY8Aa3VsjAUM4dtm9qaLDm9hmvZelWhxUGw6z1VYxspgRpoED
QIWVg/7WrqLmjOoH3TTkGJcS2KOg1BXqg3MqRiSIlTTDAyrVS4Tia+V7MPjdj3CozC8ySBskuhti
d6vGhoCyVDVrZUDWtSR1HOpFfwdVn88gFy5AKtpWlLvEFelqilvFjAf31CRQKa28z73AVHBLkm64
socXZI1/xiKI+12pRfZzGUhEilGGbjv5p0J1srtER4+4MOt+C4/C3pUtYsWxxG+hCsfpUAdWdmhT
P3gGN4DdOUfiYAhUVAcNKS61gyVY52F4n1GNeF+2yMmmRDCfutJpkKXtVRARKn85cOKdK1rMHoMs
Pd2+WK+vb1plhgO6C6A73dnFvVp0oVSRT0nOCeCJYy9C516T8tvtQeYtfHkiZ6AXsaYAdw60dLHF
TdPXBqVXk3M4YPIXBpnlUfdsvUpzxrUw+/pRBPxDW4RtwCUACPfyktHjKB+VwE/OhRbam7JVdU+J
8+qxymSzUzkbR4WY6lEWVeUpxqDeC3/oKCm2mElyfe1warefoVri4Z7ZtSeCONjVhotOMO2xD4E6
rXLo58B/MTvU+4GnYbOGZsBS1ITSbRoU+RSfCRttAM9+lH7O0HHTN27f9ckMNymfwVYUZ6vlKd6o
bpLedVU9AJAxxxZyj1nsi0GGj70/+h+tXvhYB1lx9p57ZKACak3JqQt997XPiuRJGbiHNtNI0WKX
60X4Hl6FCnU/KdGl0lvDf4xdv8zwPmvQvAnqOvpGfXP2ng8itklD0V1jjm3PzaJhK/gT906SZw3p
dpd9qEwH23oNddpqazcD3gBurcOb4vBqCoiHrnnOtbT9opYBJlNRiibXyj311nQSgnH/AxqdA/HL
DVCjtpXyLMZnK9dC3HKzyiuoSn3vExnuGPtvUfgzeA5QPGpQVF5mWPnleMqsxqaZSgzxx7Y9o0SQ
1UEZaWualbvTx2FYScTfCPxpac4NQJgV3EBL9LocFDEVWtyg3FHrFG5Gxz2HrRg/dn0XljtBw/8J
Qj/E3yxNFSA/aoR2T5en/pr830IpdL4MXYrbiJrQ1qfD4C4ONn8R9exS6c4UVqq73FTNj9Lp3X3R
F/c25KF74g/rBdqAupFO8J8yBLuNbUaxV9uqups0K9ipI0fNHbSemFnWB8qieBv201eynjUjoKtr
CIAjzwNoBHIzzVqahTgAy4c0btBAyIgeMfeSybTps/9GxH8lsfa/TTxtJurfEE/7+eNn9a35+eNf
Hxr+Vf9L/vrXbxG5/Cen/09Ztfnv/COrptnGvykHQrUg1Juh9KzGf7XVDPFv3pxZi4UOCYeGpPG/
2mqa+u85l6V3RLma/5iLKLVsm/D//h+N/wdNUST2wOT/hq78jbLaIlHkDxB/sh1B38D6tX+/8n80
GmZ8WOYWefKk1tFWc5pdkCibTqUumOmbwP34x2y9/HOX/6kjtnhk/xkNbaNZNY6bXp2vrD9Gm6JR
U8a4S56k0h2r1kA8a6WcczUCjRmNM2gLaJdkwItLaOjKEqhcZj4Zvqpvw6zHLSVK1wxormaNN5UG
xoxU5r5D5eHyOzJHKJ3lpM1TYaWYmLaWuSurrD30bRHuyomirFNq5lqAPMfrf7yP1JuooTAgBcG5
l7mEKzVRHhUSmtNTTQz0qPn5r0KMqZegr4MkeT8SRmB/Dmc39sapAEWCue+wzTt71flp/r6rX8L2
M6iZ0QJzF7OMYXiv0NOtnpo8cvZywp3VNyrts5KI4Oj3TbBzU93cm5Hhe9AF6cZleOH0Tie9Uu20
u2FIkt2YGsmDsGbmfkS8gTVdgQRI91nmJqbHsofbX7bOQctAhG0i2+webJpH732sjkIaz7IhQnDs
RxWRstfb23R5nf8z00RqM4uWg7HE6aVOTOgEv/6JELfaG1Z/lkCWNpxgKpRBE+xjVKpeWwk/PvNF
+A5CMdDFjqK3D67K09Dh2gl9/AjmXn6m2j6++GhmeOji0h5A7/Xu9u9dvPT8XHIR8km2/Sw1spRC
zfIRNQdumCeUKexDL3AkGniwqEv3LuKhNA9vj3d9yCDakVByNfEA03K93P5WCh9oSszoSY2i7ZRH
G5RbvNtDLFRESapmMt8fYyyOmNHY/Yj4d/RU7/A57TbWHtVQL9gpW/bFRtsaOx2vUekhorPyddez
OcvDAAmkLcL/lnFToSp2MExW9BQ1ezGFj1FO98YZH0ZzDZf1u0dxeY4Yip4d1zlBE7nk5UTqTZhU
yahHT83ePkTv44/uc/5o37Pftc/xY7ZRD/nj8KwfxL7Yw2786T65r++Kd/JOf8aAxmy31q++2/jP
0crsz+f31u9anO8E6GBUwlR4MvqHEUnWIrd3StXgUDrt40hsQjDiGDjdXvKrXQXlH7oZEtbcK8hz
L8rF5qSU/4+9a1tuHEmuv+LwOyZwv0TYfgDAm9giJFFqdesFIanVuBVQuBeAr/cp9s40WaQJa+bJ
EfZ6ZndjdztZqKysrMyT56hhlwy3AOL91LNxZWDw6bN7e7CBtwVgajgzGg+xRxeQ0jWlXGhkuAV7
vatAI8uAtHqv3w3Zx/XFiAVhFDj5an5bwgV+bClNYyCpa1jS3MmHJvY69d8Nr/aaYC7PP9ssWELq
iflB3OSYUBeKXBFm4YkZwlKKrpAWQvQedPXK+NpPzwkkKwiX07Fmqn1nF8DBJiaWeLkTk/FCvquT
SQt7DGLcOgSFIwCJMaC1sOJb29k3BDp+1cy1PmdPTBykVnN6BfZA6Q1JWnrbT8UyUn6abbiJIIih
ZjMGLzkjEjMdDwukW/in0+2T1d4aKpMOtwqLhw3DbnsWsacZdzzbOgcNWLgihzCihOIIgTQitCPM
aKqd1VdoFmOKALJnDkY9MPcOBnCw5dB4AyKcmZfh2dc8mEXmd4AFy+Lk+4QBP31Iq2onOcm9LGXL
NkQct5pFpdIX0AO6EeRwr5+HCysFnhdUWLxRA6idcBwqS1LAuYWVVhgyQV1og6bcsjHAbyfXXqjm
951R3DTO5rrVs1CO9y1QNBjqAsIPlUUhvuZJ7bSA8o27RA99TG4vwnplQQckLYv365ZEiD3OH5/c
AVeCgksW/xC20qak1mNt0m71WynQb9guu0ENQ30McVnFnrLCiPRCt9wOqnXGzHaK2egv09yoojuY
peTf/iioDVQbVacxNMj6mB6uTd9A8XbEs67JdSAO5L9jjtdowH6MPo+Yhjo9S7QhkrTbyJa9lN2B
S2hF2LhFVylTK7yS/npf/S9eDIe1HRkTdtBMQKOXlAdjW1t6UcKHz/75fEqO/x8OOXA6wrapVtlq
iQx+3oqF3aKjkwneREwXX7ciPLjhHOhzI2HHX2CvPpvI42iZRM1ptCtADbUsquaFkoys0zHRltct
iXELlmAFCTgej4grlnCJUvT48ymekh2miJLbGDgkv4+1uVKdeK4Q9YEY1sAIovLZiUMp/8jjImXk
SMSxCGJJA51dbGuPU18qb0kMbfpKJi/XFyXGK5jj9Jqg0oN3g/yKL/rInF73aTyBrDJAaRv4lDhg
ueaiXuKPjbpnpQJxrJnjfGGBeKYetgvvcmRopxbLKp6qtOqbQNMIVAcVtjGiSYawqbWtemvGB8+8
A8tDnok+rQZCJ1TOTo01lEJbIayboEU41jU2uqkOLmnH2F7/jGe+gcsGIC0DcD/8P67uUzthVgJ6
qTVN0BG6TbptLjurf2ZBOE0gmUszKOY0QWUBXCYHdpHNBJ8L34pPMcCNVRSu8LVO11DS3lL7qG0C
C8mbJN+ozUZK5ogPxF4mL7AcWxFpGXKlmUIngxX9qQws2Z2eM+pJjevcJ2A5c8kHhI7oXAP5LIwL
RoXcFAxWI0VtvgmA08VcnaQsQvS4gGGbuy8uHCecXZAmAVmKv4m3YuNIVWNzf6MQojUHeqeHEoM8
W+wykENJrVK5rP9x3TPE+59/UTS4HIRrZB3qoad2dITjSCEgEJrqwB49FZohOy1dN+DUiCA26DWz
cpKXzAH8AFoNzrAMzoRTNzGnEIA8w6ixgca6vIsm11lq22mb3UaraZVttBvnZnqRfjAA1z/o8/W1
Xjpnx8aF4KHXOYYqehiXMcSp0TvQrPrXLVzaQSDfALHgZMPOWf0ppKzvc1jAfeLHBthlQK6qRUaC
yDHtwrF4oUUyE4QvHAqDhygMAoA0BuUvwT9R0LPVXpNYMCiKT6b+DnAq6O01vgK9sV5lKB3qyzp7
GeRsYVLHZczAxMjm+srPz7+BOjuqMiAxAl+UOKiFyZB+hNL6FChK4VlQMGmHjeHMOOulpeLGwVAg
4GCgsDzLVmt7SPDpx0BRXagxOoqna676bn8bdsyt3vqv9VMx10M4v3KwsiObgtc0Sgb6GxZhZZiv
qcF0kGMwtkDhw7i7/glFAB6iG2ZBgQnCvY0XHCAIp4ejmhJUNEtlCnIEGkhrVW5u++oP66WHblbu
N1+0p2mO2uz8TJza5Pt6dP5DUJtEmTxOEOsAHnp4Lts5YufDO/e4aCEuS7jeNAVdeQLISaChVKRt
q9vBlRa9h/fiVtpIfrIZ3GQ1MjehbrKpV/nPeOU82sXM0ZxbqHAFNk0Z4ZEwTIETJzfqsAYwdeZp
ekiwzxbKSyQcaoZ5B+EgTqqVdZjAnoLxRsbE94p+jX/09SamAFe7bEX29n6nLKR7+T3sXOleuk93
9dfssfKdBYQgt91MWnFW6jh8eIyYAuMHsOoZp/WEKqxVGbkcZF9RdUBprlxwKp69JrnW97kn3cWz
CSG1v6wJ25yV4MwGPQqs/ex/GNrGqFZOA2Cfq0e4w1wAK8Y1TZbhzENEpGr6dWqO7Aobq8W23mkM
dvOfyYOxjJe6n23MO2sb75Mv8XaqXPl5mDmq53Eep8ZxMJ2B1BcT40K2A9x4PEYSbMo/detL1q/z
DdH2uKy1GUMi+OawOqDAgdaEV/HpjNPz2VUGxa1ljsHwrV0mr9bj9O5s6UMWuclWfhprH8MLYDsz
gXf/NseJfunI8PEstGxQBgGt66ltQwodJxnDMZhU0x0kT53mssazgj530WMTwuZZOiktgNHGQL4x
fJABL8ef5Zfii7pqbopNutFX2brSF9quSDcJhCVnkta5BQoJ/sjiXM3reArIRCS3HKRl1ZE55r2L
RsCMy5NjVD1EsQObgIG0gPZAIOk4DtBobqqZvObS3cuZpP+0ICxDykHRUBLEnab+OiXZlozWusrl
9fXr6cI9iEoRWHaQ3aDKKHJ5J0kHJhIexjtn54zLjj3XxQIjB9et8A0XYiiHJuMaxHMISHTB3ye7
Smk6htMuivTdGC279Akc3Pfj9MWR9MV1W+fJKM+WgMlCrxDMUuK7y57SUUmdwtipqQMW3fhpcDZy
snXCEA1KiFq3hT/1cyWHC3ES6B8gEzhbsoZWlrBb1Zi1dVp1HUhJlHU5TZsRahKhLf3spM1otYu8
NRekKJZ9/dartg92Grx05og9zzcTLTSAcqHvAJzp2fijGWuAD2bysMOQ7bhVR2uJ2n/lJVXz2NjS
XNviPLPhagNopHDNAd4OE27GEqQwEhvUKAjxFHWHVl9QsKu0pNjYJFzFqFeNYQr6uHhjRw993UEo
Yw7+fHZI0NEB4hJARk56fsZmF/Yp2qGR7uySysYZ1Et0TowqWupZlMw0hC+aAv7FBu4dMDyRgkkr
qoElSNZ3oTEZC0LAeSk3IbTraZN91oXx0j6Mb0LmDc9GscdAhlZOukgeAzZBbRydoCH+SIYn8Bd/
kfMeapFB3M60GM5ODTfJ3/kc3YMOmRCy9UpTawAJxqCpwKNjFOvBUfxE1+5QQfFGtd2MzbSa2Jwo
Dz8WJ4GBV/35lCKvbGEMX3g5Qm7JIoPD6qBXK9Ubpb7fOiScFkMcq26ayjuQYiib3hzp8nqUuOC8
sIyyA4YHuMSUCI5AxwsAR1I1sJytaGKtDSiQSQqe5ZERv6Gxs4hSedmDO9RQV31oK64JAPP1H3Fh
9fimuD4c+A0oHISwSJp6GGOrqoNskmTQ7uR6tiCNUwKo6TQ/IGEJrcm2VO56pZ6rSggqpPBhyATx
uVYQ5IJnGK9MIQ3oY7nLSFcHtSElseuYEllRK3MCw6LFrQJU6NZy4gmaTGPulYD4uqydMIXoKCha
WA7k/sYY0EEAg6cakiZQF9AhKgna2YSmkTdh9G6T1ebgWmVera5/trO7l/90HuLAXK7ysvjpTwcv
xBTXJKyDhDndAkiqxB8k05k5ESLg7fCFULjDsxdNBlgRvpBeldNQOKgQpamDNKlVyoVpdN+yLFW2
vQ1xd32a7qOC1B5LNXuR2nX1yR4t3yMwCAMgCywT/klI1aakAGNpKDeB2ZfdZqpJsRyYTWY+5/nR
R0GUHwIMjfNCpbhOB5AFG2ReQdOY+gKzh/krCwvHM8eR7TOSdWCl6ZK13RO2o5VOHq7v5qVDgHMI
MCPCDm8KnO5mrbOq7YB5DViq6yuzqDB4RnttVaIZp5QsXZo9EKKSLo3edcP8DxZiD8I5nx+Baey2
4Ea2FIKlKWPmLmvRwekcrVqpDeu8EH7vSamsrevMef+kTUxFgNMEqFNcmCbO3+lic3S1lNiKNJy6
N0m6TVjoYezRV8hXFn2OcRsnXLAlrG9gRS51ZagGDvRsM1vfOlOzpdZck//sMx7M8E4jCJDASC44
KZ0iW+mgGhLohmt+RKg2jq5y2z1f/3Bnt69gRfAScHi3rZwia+qrYU2p5SX9TRxNM4/rM1+EFQcR
EfgQEKKghHq6PXgbZaE8gTiD1UtzWo/azVDj5C8UetfO6YucJWsoWgL9zonCkKbi9ju1JbUjkYk1
YEXfMNJgkAXoibTN9a92drS5DbCQoyELBCMgkac2FDDtNS0+XBDrzuiGTfaUQf3aBqZk0hsvVCjI
6EZ1U9SRf93w+fV6almEl6A41CmTU8l4H2HCpaPJGnmSJ03vdZ48UNkCl0Pjq6a0aIG57WQfEyYz
dNv8+50cb/4LAH4G4ofTsIoZDW53O4uGUgkciywtKVrEzvOI8fguv28jbeYmP8//uTUepTntCcZt
hd2skZxCK6ZSAjIoPrPMVZmSRROrPmvTr/rwLSTqt5juDYx8Mylzpw7USZTMJDWXXAoJHKgy0HZS
DgrBx2W/IldoloK9K4DYs980L1qeuFbzQ27maDku+RVwGsigELAwhimkbVPm2Gld10qg7VOISNYv
VbKlP0j4UOkBID7XfenSqgCVVfCewS2M1uSpEyeyMjZZpmgBuC8frEnegpbxtq3zb3VmzZyXC1EG
1G2/TQm7OKTJkDiDqqFXoz6AFmTZtQOUy+cIri+5Jn+0AKSMTAbf8HRFVQ5WBsglIjKDJsHD/PW3
sAchQat3X7WMrStIyM18w/OSDN6myPJkfD4+DC6+T6Hs24HgpGoDGYyj38iotG5fQ/hPU+PRi/K8
3iAcfhA5sxZWptMFK6AjH/dfQB5E3VDGVRUmuT/RpLodoeNwW2bNO6hDk1ViNP3z9Q0/L/6BNg3g
DhmXygGWKOw4CEJVJWxJi1sScuq6XXyvnLZc0Ba6khGm2T0dqei2xyivG8utvCBW2S/GaurAQwP+
jA6UdW7egUyLEkddXv9x53vHGf5wTYCAClmDKbT8a1wPrMwJsqXexqBFm35JQQTk98YwLTRTgpBp
Ws48Bw8A2NNQhmoaVzAEUBOQdnGCwIlVKMBxvCsmbayXyO7iHyxryX5k4EB3UYlnL0OuOdSbpjz/
TrtEM902lTKUhdG/2Q+VnexsSS8alwJNWrsjSLeeMpJKL2UlKzmePRZwwdLoJC9aokyly+AkjhuF
qnqfxq0MaGSsTjcsbY17vVSlxqshFWyD9ILEKZi6svDRBtsJ/uBBncC3ahrNrpBKlDMVJcm+o3o+
pm5mS9aLnqrsPlPGDMRTZcfexsZEZ7fP0/xRRlkbeF1i9l8BHsnfGOvq3i2qPAoGhnbGzIkQowpa
sgBU4ALmUtuYFxCyI7mMGiBHzCpA6PajYTGqYGmKWw9KddcdRowpoiHhsDNJZo1WwVBny6BWw9AX
CZxwmFkO/7nHLiJaEY5MgToP7QtYMWRgaMFaQRs6c6eLXwwFAtTucMdh9AjkoWKpEHQsSlsoaR+Q
PN1FMehtEycF6TBUTfIM1bXrn01cEFqtQDrilEFzAPRsIs9AWgDCVpK+D5IYlZ1RLhuvsYH3v27l
7CJDeRUFFryvMCEIWhbhs/WmOfSKlACkEfeLumGx27fWQ1sx0A1q7thPaEfahQdyqE96Bd5ZMAxy
e7Cw8sFW4SFgM3NoaZXjcambLq0L16oSt7dnlif63sEKwAAob+Bz4vo8vWjwngOITStQ5JB6X+0C
W0lcCgTP9Y94vlVYy5EVwcPTJMTcnUnxTE0JKPSc8Bm9hzlpJHEOGO1hWOFPRFjCE0qsIXfGxOTY
TvFObEOfpFZQ0clt2w/0cb1sKqEaoq9LhyF2TTFurNHVtGHAf8LWpTR3FM7dBrkPusdov+F3oV10
+l3HnEA4QA/ju0EiXuGY4Ogt/SkDREptvdDQl1V7j/nDmSNxdvVg+AVCuCC/BlIfTI3qqVUdYh0j
WkfJHaTFDWeZDDcGuJT0Tf782f3E1YbSA0eF8wKvsJ96XjeKWkjJHVFaaSlD4t3NDXWu9HdWX8EL
C88frkSFGi4HOJ4uJzKJlRAMEwaYcx1cPVMVoHzYuOz5sCkDOzDuLR3lnea1GfFiSWg5B6wTHRe/
4ND4QMYnowImSrgWLKmgYKq0QQ/oNRibcgZm7ZzOJJVzVoQYAzE/4Jup3AaDg4nsHAB/CxM5M75x
yYihcxpPUCAiIRd8Y2AYuhxQww20yMS1mclF+SRBf3p53TXEO4B/MVyWIBcEXTCG8QUzFpIem4KP
GIfQKpYYPq+hiyLVPubzk2XVVNVMADtbFlIs0J8h5QHVBe/qnPqIVuqpUWhKFURmj9D8szKeri+I
+7Jwb8IA0MpwBE4kI5xk5OYmlXtMOhMrcp0EeQxaRPHXf2ZE8PShLuABoFAPEgzhp9Uzm/aVNUeU
cPlT/V6JsDXQJq9BWokMQKEv4Gxzk2l0ry9DjHrIMU6+lXBn5VVsgthcqwIQtQ6bvHF1HNQUXWo3
bBeflJNHIUawxtd7hGGByKtNALKqglx75EoIlG1RwJg5NmJIFY0IoU4poVyQ8u0v37GeaVPp4IbH
C33GzNzeCCGAS8G0GEkCFUz/pgFwmMw9EebcmK/z6GNpCeZXIdpXBVCjdKX8zjIeFfvn9e2fsyGc
RQx150lKYCMagQe2X7X8q9HNVLznbHAXPFpHQs3Jmnq4WJpj1EwBNAtCkLPt6JntEAGnbGrSpnSw
kt5OMDAfu5U+Rwd/FihPvVeE75EGiygrtQosJV1XFsNYQsBUsByXb9d35aIH4/bkAq6YDxWhnnIL
CiyjxrHH02Jho1djsBdr1BaW8xB+kvj115E8siWcFjvB+GVB+VOmdrzO+qL0T2Ye+9cXdNEFjowI
Z6WW5IQwlccxsFsSbS3bkqf8necfZgN+fzbhwLQsc+rmYEWNvRJU142kujDtdcXnXRoASrQ3UIhE
s1wT1mNKau00kozgb5aeDmUHvJddSC1d/2oXYjOKSUAT4UHLOYCFe6zqmjQs66YKNAcdYzyuQREN
0TqXaeiqevbcc/PCJsEcMnJg4lCUOGvBgakP/XgG966+g4fKzbQM6ivL62s6K6oeHrVHVkR/GwxC
UAyqAggi8pfLrrzL7tPRlSGI3LvV+3Qb36tzD8+LSwMbEM+k0NEQp5GzNlElNe6wXw7xw5B9mF3v
66SYKU9fNHNUfxCua8tGhRydCCQe6esArBeRdln34/oHvBCETmocwoWt6krWGhJspCGBGPJ9rTw1
LXitczKTGVzeqaPVCMcJitGsbxuEOwZiAxXtPHeyh9uaqd8oiXyN2ujidSs0pB8MqMoQJ73pLW3V
q9HMRTu3YuGOsmiGsirjESptoQmq+lqL6XVZXdmz+tlnD9KDdx6tWbirFDujCkZUqqCJQfnnF6Hb
PjYP1jp7Comn5T76YDT36DL8JHUlD8PH2ypqTmeKRDLwKiNCpsRvSej24/11xzl/mwkmxIy1g/wI
6hZVALID51s3ucpbVrlZi5kz34mWuTHjQDP7Juq/R4pCRwdQiEAbDD8bb9UkA7y0WLbS34pcv3dN
hF4mRobomcBSolYLPbmpsn6pZF+vf7+Zw+3wBOQojcnzLqqbww5BrNLothAf2chzKioXbv4TNxCi
Yyg1qk417JGcs5XS1+5kRgu1Y66U7WolWl1f0sUL5ui78R08WpJS1olk8O/Wg7R8yEJggFflRH1H
f4IuFfQRQsCG5t40c24hhJV++tMocOwIK0HMnuzheWpmhi3Etu+vA4WeGecU4v3Y07VB+LYouhbp
eVvQZWbILkrRrgmQs+VA87alu256vv41L1uElB/e0fhL9HeKPl2Vkwn3Z+n4YZp+KYvRKwrwRxr2
A8itvaqdAxudAcd/rfK3TeE2aKPEYWaMt3ShSx7TvoEV2Le1HrTkyZJSEC+oG8WBDMeNNjvEeraP
mPYEMhEkuOg8obQkXHYxtUzSqJKxa8vvGoHWEaZyQcvnA1u/+OSHFSwJi3Sc1NZZHpm7Wr4LK3mj
NVhgiqdqmzy10NFAe2F53aJICI9YfLo44bBro8lMJYRJfeWrN81XdfLQMxvAotK4AJK41jpa5B46
Ml+Nm9F8sDE2tE38uX7GWYfv8DMA4MEIDSSBwAt26sSVVEykn/Azkq/NK/tZ+/Wmeaj30b31UC7I
a7fp9vQOxtFC82fb3xc3+Mi4cF+MA5tCU4Vx85ahZA7+EMXVUg86JP228fO7YUWeaOEOH3P0Iede
zb8+x95ygU8VCKbTZWdartmQsDJ3Q+33vevE/tj6tbRI2kXYuoav3pozLnYWdwWLwr0vkxFyhBQW
q9G5V4tHZYLIfNT7dfh1gqDKde86u0lOjYntRtkp4ipuuD9jCgwMlrZV+YMjzwT3OSvC9hFpKsI6
w5JoA9l4sGyidUeV9+tLOYt5wlKEIMCATNZykztonK9UsAN3hbPW6mEBmULfrGoXKn0zGL6LbgnE
ORwDpC/onZ46h11NNfpiobEjdujmZPCMzJfITTw35HX5+/22I4SAhBC1nybb2CURxp60XSmv1Grm
wTC3Fv4bji5gRsmkNNRBDKWPJO980LO6NgasCmMmoJ0ntoeN+r0a/kuOLE2hrNEG/bIdJB3ke+e9
3Reym3xRN+Ste2eQjnTt3O3mstq5byjc9VCQGOQaffBd0SzimrmQWICAx9N1H5wzIkQLrVKiFETh
xk6XnIWdJMs0/2hSdXHdyv8QlH5/QSFESDJgOBD6MHZNsej1QCo959X+gZeP+SzJfpcszXLmBF/3
DlUWoj9tgODGU8DYVXSlOVsC1RUMHIBo8PrK5swIgWIaSz0mETbJiEoPDJRAAX8rBl915rh1z9LN
Ex8863XJGMNKtREbBV7LJHIRj/hg+AqcJbLkxdT7Z8sS4kQrSzLNbHy9Vn8PTf2mrN7w+vdYrfnX
DZ0/lIFispHvgY8Wc0Nnk9m5XlhF0wzGbsD8Xtp7+cMAjjI3+eH0vunuyWpuko6HnpMGBzfI5/cx
D4JGtzjupY+AkdfoDe8cDVIvoP/F2b2+pgtnChZ4nxA3MCgXBWd3gBWHMhYsyHEVomJHmuVIQcpn
Zcbc1TtjSsxxpNzs9RhDRrvcTL2iWqRq7WnJz3+0HhHnYEOIJ6mAYdnJKnUz6NyaTenl1pyHz61F
uA7VFLgmrcdaLIt5OhoPcvJK+7kBmcsOB6ALWrp80FAsZ5nOlIPyXDZ2yj7fcc5+MEXgNa/7BnSV
S7euXGj4girn73zD31aFOEunUaZgOTZ2lEOTHlvjmzlHw3cp74bf/bYh+B0fgJosKEzsgFT7YkDd
eFHsrV3s13uytP3G73+mr8ZK8/Kl+ia3rvOdvtH1P1qmiHLVQ8ArlGo0dqPS4X3q+HiaEvp03cjl
E/zXOkW5NapUYVaEWCeTvo4xlMO/f+7PN3B0bbxBAXnmxP0iTTbEK8I2iarurkkn4mNY8EMa5Lk5
w7Pd4sGB4w7BBQcY4hkUxQZgUCGN0t9lUiEPvj2E0os2FOZjg0ZfoKtFlUIpuqufU5KjHJrrXYM3
4hCxr3HXVd4ELHPuJkwBwHwkKntRzNIYPAAxIuKWmGl91soEwkgDStajm4Nmq3BzqWklzNxX7Uwm
K74A+FqA91UtHCrAP0RKD6fTyjaCntRdDIXDx76oejetqxz1TCv2Cgh/czLPmRMlZs8Hm6APwa3B
dXPEC14jXU4rR2vvENH7D4WlzAMONnELBupJA9pM3zO5fxo0Y3PdO8QwBbucaJrrJ0DIBvScp8kg
TBpKJcvsjjpKtqV0Kr2yJZDkCZN4Joe58Fn5F4UPgpsR7zkhuRgJEJVsMthdaINzNA77DwlHCrpN
j6023YYd6T957fO1HRsUQnBqgIa30ix2h+5JvGBEenRyk7nqiGGspgk/+RiBNSwKDKdcA0kG3dHp
l1Ts0kwjeWB3ThirXjbW6YMZsq+UWOGPpu7nWEvEVI2bA8MR8NmwBwyFEIJxvagmiQp2Z1jgBdLG
rvUj0MB5Oc1CX6KVPbN7Z0kvhugApANOFZg2NIdEsFlkGE0ZS7Z2R6yfiRY9GGDwzEp9ncnI3ELV
Hwx7q7L8Nq3KLzp0gq776dn5AIYObS9wiAChAuZn7sdHjxantg0pxZzdnTamL4PeRJtRjlqPFe1X
p9QgAVrGlpuWcxxMZ4MOWPWJXb4NR3ZZaDIyDhpWnSrPw6gvY0PbMknFRGrpTrR1G4Bx6ybcpEwB
CHbQMIpTzMQG8YaArhdIH4BigSgSGFRFlExNbFlKJsu8MzLZ9qlmFC5rxrnG2EUrcBoULHUkr4cv
cbRSBbtb8yG1O6j8VKsi1yAqk2GC4/o+nlH7cVpd9PwwCwrWbQMamacf1LKp1tFOSu6HAeqNam7b
qReyUA6gb1dQt8oL87VIG4w2kIRCeY+QFjJ+pVWUjxE4Mu8h/zis0rHdRA3NllMkVzdTKqW/roBP
sa0fuMgb+rP9D/4/e6cgeU6iuP2v/zj5d//XONk5LeZfnIH+a/v6bx8FxN/G3Wv+8Z//vupe82Pm
df7f/hfzuq7/gVcN6J/wdxkPDeRj/2Jex38CVTI+/8+51XEy/+Rd1/7ANALQXVD3Q2/c4DM6f/Ku
a38gZmE2F4zX8G4Men6Gd/0wq3n8CgL+FVQbhx8HwnL8yadOFXEpPpVFecCMsn20865bh7WWvqFt
UttupPXFcwLBUmctWzLZsIlB0IAOGpi1U+jPYvR1rNeJepuMMR0WVZtFD7njSA+aPCaAqjjq8zhI
yaNiNOFLRJm2AFbRhdJdtsOI1dgvhwio+DHTnyJp6KD02EsPkGLS/GQIhyeMOqQYyhq07EtcW9V7
KA9LO+vb+wS83UjPa723Fqre09hjxmTf5Go5QH8HepHIh1j1BTzZqv0rovy/e/87ks9r/r37YP/m
vZKPH6Dsej129MP/7l+ebql/QAGN4xGhGQwGZSQq//J0w/4DM9UoRQOrLMvQev/L1yXF/uPQ7EFo
U9Bjwt38l7NLqvoHJkKRjFgcNoRhQOcz3i6kbBhPARMlZ1Pnsk5gOhRSNmpbyE6jMnzIIT+S+qb8
HNMZViQehI/O0y8TWCd+sQFmK3EiBfq+ZIz1IXwAneciLb+BS3GhO69K9Nj2+sztJiYWB2MQJQdX
DdR8MBAkXO0h+lZQJlWkB3A1xt64c6rFUK0wkW8lXq6vi5U693y9tDyOO+XSesiczqruKYa9dSjn
PXQ/6Qt90vdx5M4aERK0w7KQzkPNhGuAYvz/NCYZZcpsrTDChzK13R7w0zzCZJMB3e4omfmEF9YD
PAuYZDgTJWK0YCpEQhoBmRQ+tHLhSfpTSb6ZZemCx9Y1k0+OA/B1YX4W+pB8estRZCHxtOqBlrRq
k30MqR8TiOR6rlwnOjhEU+HdmD9Erom/if1a1mYxVI/HaF+G8hdb3cmR4UvdnKKbkFGilnVqhX/U
o3xHr1S7H6Mp2of9Aho2pvYcBuayB+uXNZe8CqnVwZQF9nvkz0hhsUOnppQm6kLbieJ9U/a1l2XL
yoBu4lEcu/t1OI/VQMTE6pcRSFqAbs45TImeGhmYphVpmcf7+oed+ePgjeWyLjbDGwju32IwYlMP
6ZT6jCEYGeSUzvK6fdHd+efkrDw6ghy/6oWopJZaUbQqjfc9eRr1ah8zuqZK9s6qOTCsiF75tdIj
U0LAAMYptRRWxXundzEMYj3IyzyAIueX4TafmRi/uHNHpoSdw7vNgEAdTClmvwHplDdP5i0eXnw4
FExwi/NRURwp9XTfZLNTOofUWI0coeNjbI0kBttE7rWKso4hl3B9n84PF98fXqZBAMRDTiirNaC2
LkdNjfYDZFwzB8G19Z25OvglIzi3BtjWOKWmWNPq4glq7jViBI2zn5K6BrXNE5KZGZc/3xzwquAV
AV5JqMSiBHr65VIbuHslVuN91Rrpo67EmRdbUDSZ+WIXzeDxi4wA43Fnl6E8jDWIl4x4b+NRMk6V
7SlIHmfWcumLIbfmqQVXsRTJlhqHpH1vRoiqrF50ZBeT5K6PPyu3jfcWbxOgii/zBoxYZcqryYRY
O0v2CgF3VqZ49TzvxoG25Dh5EI0I2wIBznKAzGey92+DR22t6q7z3Aear3vR+u3hbvJGX/apX97o
23pw6V7dju79dSe/sGWgtgatIcqeBzaOU88AMw2FIHOT7LUIaXSb0V1UtIt/ZkM4t3FDEieUK+yY
Ttb2iD43m2kJz61CeNWM0M1p47ZM9qwFNCA2Or+F7r3/d5aBCjFnUkCkEyIca3rK8GBK9kVWr1Mo
F8TF+p9ZEC7adoAq1jD2sIAA18iRF8+BbQ8p4pnLqb8XIeYkVuekDMP9+3qprgbIv0x+4j7mnu0n
HyFU2R6Sp7t3a8X83eiOb0x2wwfbm5OUurhdKI6BQgyPWnQBT53OiIGRxfx4su+ybhNBcDyS6OdD
ER8C+9PE4WY8ylmipKJSnIzJ3glsm8t8SjO3uHqeFSFCoLrHETcI34fZ/SMLYEWy0pBpOLxvxO9W
+RpaOSt6m90au/DRWrx/v1lbPvbRfCC32VJd02W9ihej++Nv+MzRzxC8Ms7TBrqQSrK3zX3R8TTW
mPF7kSELWcTpSgW3JIoysSKzkv3ohavwZvwAz1tlelC7jhYW8FyjXyzIolyRzufNBtulAaSqZsL+
RZ8BMBH8MIfMTVjnhDH+ZGBGso/MasW6Kn9F4SD8uP4x+R9ydjrAF47eD2iuwPp/6piYxI+Rx5vJ
PqG7ELAtIm3HDrIow1w38uJqjgzxS+7IeaCc7TBwymPXxsQDKzKUOedMXHRQ6D6AKgR/cb2/UxtD
XEAuBzfj/vYtvyFLZas8A5TTr61F5U8e2oF+4RHPXnTbyCdeB0Gre7aOb+Tt+m/cMUjoUZN1uGCm
+GztINZmxFOe7nXagIA93w0KnbliDqO4pzuHajtaJiAmRh8GWc7pYiGDnkyplTX7qOitj2aS+j0k
o9vapZoGdWBDZ8P3vjKmn+XAyLdxMtrXJtPIU6n36a2pgeUkibLkptbGCFxzo6QVLk378N0eKmix
2hOFpkmettVtF6byzyFSxvfezOXENUsS3zLZAOfxOCna5NU24oIb172UQ/y90R9JpVKQ9xOpuDcL
Q75VzRD/3qgnDer0+UABJyelnbmVPOqD5zjNAMb/RCl2YT2Q3EXLR3+YqhwqR41kKu40oEK2GFoj
A/Eyqa3WVVkPaH1Sq5yKLYuh/+p0gwEUvh5OmH0xFPpttOWB4l+i4+SmOcQQUWZr5ubizp8bODLA
W/IiPLD5hiZ4dd+EpByG1HnMzLFdYggW0j6dTDRXqhzptqstPcCZlbZ5nE63jYZfVDa583z9DJ+9
Ejj7FgZk0TsDAT9IGv6bs+9aklRnt3wiTggn4GYugHRluqorM9vdEG2FR0ISIJ5+FnX+iekk61RO
z8WOHb2rdwmEzGeWuVwJTevxtijK4ej42QfDXzrP/xPVJh7zD7gubmhhXu3jRUxgsUVEywERwVqz
bS6KKh8nRjAYiQNoyVj9jSPp1TPgYmVDmRF7B6sb+QGEKVdnEuGew5rOAyO3drFKjKr5VxqO7q/O
ZEomodeSF8vtLUi2TzBDjGntB3c9fMD+NEXFnnUkENg5Ck7ZcWuZuj9rNsgyKSYv+JSBNCdiUOq6
X1noNM/WNPE/SlPyy5Gz/mYaZ4ziLBtcaPL4k0SbWYdcbMisWx63pV+9UBH5IrY71zaxtCd2z3y4
KoVVNJ1D+LPkSVCKoo393G3rjZW1Thv3MAR5ZH2rwPUBCdzfwSwe9sYaYSK5EQWsm1IAwqL+CCGj
RQbqta54uRgCWE7kSgzFyQq5eSQhB7rE1n2CZnkHsNFYq280kNZdmHUEnVzmvrCW/WSjGKGSRbvd
+0vz1Sbk8lsio/CWAh7sC23ofK4eh3eRFqKrThWp+FY0NkunLAv3liGLqo/N7tFRrBLIMLrHnnP4
Nhm3O7ukFHY8AQiwkSIcPvR+Nt1lkpNk7mrrGHEGn2V4QKMYOAbHDBQnazQdrEgdvSWTsLe18c0d
zsUuhazf/DjUAewbRm+IvVK5t07ipYR2+Y4BOo8IMSE+DCcgulqvoyIM9lc2OUFubDmKOk/9GcIB
xEXe2c590Vne14YP88GFCfsIZSLlfRzRq4QzK1Htwql1Tm1o+u+azuZ5rtr8E243+yQNd5vYMJua
xHQjf1Zgl4DUh8AE2H0+dPbJlKP46BcVosmg0dUjJTBAimeRZSTREQt/Q+1h+pL3sg9iFGGK32gl
AL5Hw1yTJLeEqJ8sWg0QCibWVMfYA+w3z7ros1WV0XMuNfQmSDkAJzQ0QfXFGQrxE/2ODKRWzskn
gTrqcbRKBV84rb14oJGVZnUVeLfKmFeVYCxoqG0gLIPAATpM68q2CWghsmGMTlpGLEoVhajco4wy
XsSy1sNJm8oUKQDTvITEGqqEiRYy9CBc20PGEjbl+tP7S/vqIESDCqqmPmRIaQAR5FWMCFtOnmlv
qE5Sl9Ee15WfqjYInt8fZY3IxX6G7zR6YCCLoJRxlYMRZi/km6Y9ZRnUW8So6UNWQtIFDtf7CldN
0kSbxjC6y5xC4dpWE0ybsjYp0AUu4hxm2BJ7cPv+U73x7hDoh6w3Ws8oYK+lEzrFcr9xx/bUjmG4
7VXnb6A/dQtxeh3PoWuC9iBOskUn5EompAFuKKc2X0DPvbzPKcmgZcXoHvS7D4yb6rjo6DzYLIBW
SG3hu1uwRmuY3yTam+B7Cwm3WLiQpZpqB1Y7GWn2NrEgW9tUL6F0yliPU7OnNPP3Wrb5HlI5/F75
QiRhWUkY9Tk2xA1g2SczdLzfn8IlMrg4NJZ3w41to4yNYsvSTP07HmYh9A0CKbrTKBhLJQ3gt+qB
vgvo5C1wzXLGrofC5KGkh1WEnsbqDFYzlqkHs+RTSFUJNfSSbgJOongqXRS16zZImqGuTpGdRQlH
p/vw/pteLRa8qQ8BKVg5A8yLpsrlm1Jad5mhip8QmFrJRKcMcNFC32hLrVFmIY6a11YvdiJQL+jO
XQ7DeUHA7FfixGc4HY0qj8BNntW8qQTNd04Dk1kPid8LazKYc2T2I5rAdgLFGWvv1LW5a7RpYj5V
9l2tJieeqwJYFisqoSMkphjwAhTH66YpkpAwZztxYJ/fn6erMA6ZNRY6anygIULraLUiLKtprRZa
b6do0nNi+70Xo5DAEl/6R8X9PHYsdWPSrjL61yHD/x4WYK/Vp8ndLMe9PYtTZfnw3SnsbB+q2d2M
9oQ5sqDniPMV6W4Fq9F/f1lYYoFKEEAIC5fm5ddSTgQGMDgap6hq7DjMFFgacp7rjde3PK2IB8pS
6NxycH1jKWJuIcG7YOkQYa7CddI3HpG2259KCVdrMxVZ4pn8FqP1emsvfLcF2wBBUBeYr8t3szXz
FMfiOrGpLNNgyn8otdxHI9BX/zqLgLHhG4a4hJAH+sv7/pVUayYHTnPfBfwFWwsMuAz8Cai1G8Cl
EwoQeupbLruxaNa4YrzVwjNDtcBFhIlEe7VQHagQEjp21gmamd3Gs/yDhIxfHGUypWq8U1F4b+f6
1DsCfqehiKfBf1GZx+OsuiXidv1BkV2jKO4sWwdR5qrQ2rsS1ud0sk65QmPLLoM/U6FvSX4ta/Hy
/PTQbcSa8W3AIeFmcTnLtUsaqfKSnQHRgLOP0+m4c1ixcNubzVBmt/i21zE8Yp1XSADyOrgOuKsB
QwPBPeIrEDkK+q0T7o6BogXHsfzjlB39sYolqk7tqOOirew4950t0CI3Nuj1SwPQhw0Kc8YQZaF1
UIuyFFJOgAxPbhv5SeuY+c4gPEFXoDO7sgvIjVvizQBv0cNDxgcQBHCul7PctLi+cFuGp7wgcJzM
Z8f52gJL8SyduRziHi2dF8/MkQbPYIL6meV0Y77Nitr7pXDv/3M5Fbcy9CEhhQbgPNQYVou8EfUE
hD6PThS6sDFhlpXMtf3n/f3rL+vzcmmhmQ1oFMpv6ABfITVNT/q6yLzmXGR8QMY+NFhXYan2vJ9t
kElrWNgTk9veDgqx3phUIjBV3Mi2Qy+1KAEvbMLhB+GQAEy8PJ9YCg4s6CscShZIMEP+BA9nf4ts
ufoyN0HQxb7mqHHnts+smNEsfEZy1n4Gvm+cYvRG+igdnUmmxp+q5xJJyRNkPXuoV9ZGIwG2iuHg
6DKXcV1l1iek0E6blIWMvhae5Y4x5ByhttD5lDepVQnrxetn59yBiYAaU9QSK5Z51uLJMq5Z2pLS
l1v4p7om5qA+PxlHlFOCPWjRJOfdS00E+fX+lL+xzgCXBBMZIt8U6LI1azR3ByqBC+dnFvl6KyIC
htbsWnUM2TMozpYRdHSyutsHZXnnD0BwgTZWnUV2UwX8+uyCKQ4QlUufEiD8tW5LJ3gTcJuXZxLU
7N5QxmOgOPrdjfe9yk7RNkTmDb1HgHXwPVb7iviS2H0F1VfoRkCPqCDhPQug6wd1ogpVwqzaZ2Eh
N4W28hdbj0GMhSbT9x/i+jABSBWOhsCOoioBzN/l3u6ymnpzR4szifroEc3s6TxOPfnQdNHJNVPf
36iCvDEeaubAp8PVCBfDOuTkMFCsunkqzg0UM1IrZ8N+dpabyAfAzmf5rW7cNcAC9zCAhK++uQuM
a3VaIMW3JlngW05do/ZGqiHR0mMb4BxpIlsB5sI8YvNFHYy3aFRvuyx0UzhngLsC6/FkCor2OE5K
HnLG8rRE0nCjYXgd6i1PiHMcmRTytvWUtB6cHFAZK8+hjU/g9zA6MBg+Qajn7VU1T8k0aHFui5tl
+TfWORBuMF9fkmUg59YLUPiidOewPKNkle9HBJlbVBZvNfzfuDQXlWTUwVGbRNy17k7RnEzeEFKA
CQKUsShR9hZdUrP1USrYMQgjb/kQuHFV0f7B+Lq681kZpG1O3HQEcuPGil8++OXBjnwnAHgD5X9g
bta4bGFPorfatjoXTfQ0VeYPDbsTzdjXLCg/yG748f4Guw45EQdCeh6CuShpXzXvQ5SfgwLSEmeQ
KPg9tZj/YoXzF5Qw7Rsvdp1MAv6I1BU6rICv4bK+3MqKZX7TSKc9+3P0rWJEPUdjUH8oR8/AnUiO
Gztzx0OjYFdahMU/sgAReobIGFALCBfd0HDtOBFqSFBW6HSegzkgd02PEiAnFIjdxr+FPYTszdU3
jCBFjpI6oCrACwSr4JJypyvnKOvPHFuU78lQuCkJQddzO4DQN9yzKp50rTt+m33jkl1moSQZC112
39uuLvV9kNV1s4N+t9OkfOZNFTu88492KNizsa2Zbag7O1uXdhBtdIqxP42O1W0GonN3Y3lt/YEW
+BKp01Py3R5G708Jnu9+gCKLd0eZzr9DjQV6XwUJkNMGDXoQcRtoqOJOAyKClPVh8TXqtIH+0gjs
34is+EfoQIE+DnXhPU/aeD9aVkVFYrBBNw11+z5RdTA+uLyFoC4CDfOS5fh78YAU/yVqS/cECSe0
fuDVJM4STlVgofuwT15wbHeEtxaUF/BqEsJ6/qBjF6BrmgxjHRxl54vHwNd+uM1LmQ/xpJ3MfaQC
ZiWxjxLE3nB8hnhpMaByhb7JIdDauWOodJ46YWV/kABXI+r4mgQxgovhy2xr9Jxmv6rhKK/JDPxc
MDVJ0Xb4LwSQGUCxyQItIHrOya6y+cgT1qlcJwQK6mBpKJMjwOzGYBdZaDbhK6A9UNoVDFR7Vllf
RaiISlrPHjQARAISa2g0mTAdu9JBp8V3hZ+i3wbLKkSMHklRgoIpb5vxz7MPWYyNGZBgJhO+G322
RId+CQfp3InbiOghDiNetal0c5ql0GCopzgb+vYzTmrVpdqZ6iAOIVKtNh1qUWGsRmHus5ZFPwoU
dH/Ad6l5NIblBL+o7+jGt1grIKDbzF5ctU5WpNrzi0MRaQsw08YrzrgjnCYe6rBDvhYMLoz/chsK
1PXCDMLCaL/Wsy63qkO1mkyT3OAI8O9YD4T7HNkqgfMxKN+z57MEDjqzSZ1x+oDNR/gTlVXvxgE6
AW1awE6qT+amL14itPSODskhytXSmd3lc9s8AupkvpcooVJ4UE5NuC99DW6qtAK3jJk29lbabfM7
9JushLscYac+yuAgR0KWf1TYeF91lQVfuQ7F8+Km8lvrun7oPVoAJsy87n4iwolSi0r2QyjJPqNl
adEUSmDkeQaouYulLM7e6FU7uxZdnfYuoHwJ8q7mU9B5+l5Qk+9CwXMde86Yh6hNwD0hEZKbT51B
No8pqmaaQP9fVjFzWnpnIoOezoS45jMkJsVLVznkm5D9Iro/F/2L6PtAgg6EIB2cqMF/jFTRq6QM
53zLPWq1mxI2ej389M4GkP8P3C5GK7ZapvgTlPnBIII914QR6Fh8a62QPrG5ZT/agmrsfYu69V1d
FcuHjp6GNqRfMnTDe4Q8lo0ihDVP39BFRc4OdTao/FPmlmlf1zRCKcvuRJpZFUzO2NSZXyKM1P0w
lc4+hCz6LjQQ569kxdJxKMhDNRL6K+/DtgVsVLufiTuPT/gcWHkMRTd/M1mDzOOOde6nAj+TaUS6
KEyKmurTPCHMP1XjbI+JVNH8a7IrG/L4Uf2LOVFnxTXl/BgxiBiQTM4/An/y0HGDJ1+i2qHeGRaw
DYOuOUq0MOn6M/g0lo31YSijQ0Qas6+8DPZp6FukXgPlAAdogM/Mq6hIsLBB6nZV6D5aDJkN8OOZ
uGsqTxGkd0WPhl9oG6j3sMFViRMa8seB8cIzorXxyDLLfGrA972LWkTrsQXyF8JJ1OdQRsqF+V2G
0YzpE9rLMOU49XnnwGEVmo0OPllWF17MOiFIjPilZPAPw9rDGVc4LMY5WX5sw6p4IGPZ2Sm+XRvG
Rai8z73tZ+ZG+eY6EAS1CqECjLdeyVar6pQqlWULWOCdMyqbOyZ9yF+D+J7i02VxWVtRqsfB7DXz
b0Xlr9WYy6AI8HB0cFDTQB7grSFK/UTdiplaw4BiGkDtwrW7z72WbSrt+GNKugAKBRnsP2ApaQyu
NHiAmTGx3AbCgdBOeJIZqR4dOEnU8eij1ATPkvk77joJo00ZDNsWJGEP2pdO3+3qxldPEY7pIMWE
QLNEjX1xrpmC3BY8DrD+bIiQxyh61zkcKydqYX3LukqcCVXkWGU2+6gpRKNuFFauAWlI+FCeRkYE
QC8S0FWu4HlV6UTa7s+Ow6GcVhr6cVTe9yZy+w8+fJM2Xd+1iSvaYle6IxSNmgaWe01QbxCPYB/Q
QKG3pdwHbxxwfdam3nMZRDF4BM4HcFmGHQdwfjdoiJuM3hwe1MT4C+o27M5DfflGPHgdeS61GohO
4dNCNj5aNRdK3HKTifz+PMyYzcp0UVLklk4gBHnLuHAJLVfL56+hroLcyOkIMJtBfzY6Zxu3GP00
mufoRu74xgu5SyURTTdowwNZcxngTsTLTUv89pxZ/Ps4RPoJdlIigc6F/+f9oP2N9wFAaBH2fwUq
r1tAHLB4zQranXs1BRCfRgjrV94tj783RkEEuyRECGZR813hhIqsDAUdGD/nE644CMUgdqL2v9IY
KOTzwP2jqFDgBMMOv5w1Q6wM3epBfKpwUySdhqoyVwBgvD9ja3sgoGyQQ2LKUDBDRwl9g8thQKr1
lXGy4VMXf0tFDN3uuEuChMd/8k2b3ARTrNfCerjV3FHKi2yiGI4kfuwkCNWSYmNtcJZjrHJzB22k
7ftvuK5cLCOioA/QBNQIcU6vTmcEAsDVeJA+oDx6Ui4ic5eXP+DE+NuS/+hO8DqZf4+1ym+yMoIy
n2cNn4bmwfN/FuXp/Xd57cn/vWHXL7MkWH+1Jxwbyk7VhOm7j2IBaTiVQq8jPfzwkjoOYzt5yZMd
jrbU2eZxlZL4BkFjXRJA9gbTK6SJOGcJeElrrBKoIB1tHXc6V6IldpJVnUGZz8ANIOGVI++gLQ9I
GW9LGElVXeFwgMkMXBL9idSww9Sz/1QTObeb9+fFXl3Br8+F8wWxMBqVAcpil/MCmnKegYZvzllT
TF+0rXRc+UhlAyufD1p4WdJ2bvYSdIWLLk6kDqpzsphZcnwyLadbHfX9kxDDx9GW9QMIqio1gjCY
9lbVy/vPujo9Xh8VHjJLhwk0WcBwLh91Rn6JqI5O52gOrFQbWNXME1LL90dZrXpsZSDycYkgqQfb
j641MaU3uDA918EZDu7hx6KxSFJxqZMKZbc9aPb/MSX/J47ru+TsCxr3/0j2vuB+y//1ygVnv7uF
OX3xh80ri/qj/t2bl99S1//NE//P3/x//eF/uNgnw8HF/tnpVi2/jRVde8lVxRf8nzncn763+rvS
V//H/2G3EnBYkUlGKKOhZryggf/DbqX0v+AxEsCTdjFtBpX7L3ar+1+ojQAIApbNwu5a2lX/oXJb
Dn4hWKJwWwb3DAhjfNlXjjze/fm/TwpMGyb7//75gse2Lj7BERtF+6XWuqiEgM14uRrLEaqhvAn7
IzzX6OcwQ81JWMTbWQbMBBWiFJIXrvsgZeUcil6X931bOd9RGHGSCeWxjWVJ8eiXwfzEvIinLnPn
J4QAsKQMYXw3l7P68dfs/ucN/n7i1cIOlwcG4gHdWXTyQFtcXYsMWSM69wDpAoA0p/U0z5uh46C4
ODLa2rBQu7GRnHXN6nXABZ6/AAnwL3yLv4/cUvo6nHFoHeHQRT55InqiDdxApsYaN3oKP1e1192p
ti73UVAAvQ4ETNx6Q43kMwihpjM8VorJpKxhTws5Gv0wjExu+kX2BQcnXOSiMth6xgt2pedHBzd3
zP79KVsdjpgyoFQiAL1gR+wBXbXcyX9dGijpUJzCjTqWPvLpqIGqsSlZkUSurDcGdSRS9vJgSX18
f9yrxhAGfg350GQE+AIF68uBrakcmrmd1BFwFX1nLKfYOYwX941W+i5SkDQZA0sfOpbBV8pYVtrM
oUzDEIYI//4kGB/NIQBm0H5dh6A1bOF5Vgt9hDG53Jd15z6E+Tw8FAj798b35DMKH/ZWSdIfAr8E
sEVCldnrUNa68SRvfAz0DKCfEKGIByLdVTgCPAz8hOYjAnuNhkFtkmjU41lgBe0CU0+nfpIwaJoI
mG+4mz5gN1WbpkAomyF5PmgyhB/Haqw/o4vvPNZSD59Cq67B243c3Y2Hvd5sCJkAvAAGGofN1Qd0
m8CGIkjlHEO4Ez0GueA/c94AQNMW8jF3R1AApp7udGbaY8lpf0eHFkvMzK29hQjgtHXhQbLFj4td
G4b+k1XgHnr/GdcBpbfItGBf4kQEtRMu0Ks1ppnwGIqoR6+Q7q7kxsSzg1u+jConfn+oq57UMhb2
EU5knJVAUa82Esq0eYSeiHMchBe1EO4s2jkG+Q2YedXUhZOUgBxBwkr5UIVjhLwgB5+CbaEN/Gsj
3kMfLrcLR4Ldb+tpGzDh03uriOzPMDhxf73/tNcn+/KEoLrC1j3wYVt3OTHS7/1Z5bZ7rJu52PVD
Nm9zb+A7ooxIxFA696KezQH1rTZF4eYmHOlqoaMwgQTptVkI77O1Sar2aq5rL4iOrj34X2sDlNod
mvHSibvWI0cApY0byxayHAAreRVwhTVy4jQoa/AmSiL9bw0g922quB0d7Iz7dTxZU3Z2vTr4GZG8
joNJ+vcAOwUyoZUZoHJFw6kFmiwPfhY99UBHyYEK3Mgm1I8Y3gW9IhpLeejRpucgOAjwJkY4zUEt
YBrGOVXamedEdm3TQIN98k5DJHweMwALVdzXuvqFenP0K3CYzOLMNKxK4IssTwHYaDPAQvb8uwJ2
povZSB2Rcs9AIhrQpYrsACue0a3kcGHcwn41cjZqbPiODSFqwOEwo8dfOwsWbq6BL97Yw1JpNKIv
QC7Xdg4l4bkv79Hks9DThtoKRN0A4Kkey65EXVgH0q3SxVXWT1vJTyXtC5SjNatSz+5d9O16x8l2
g+rLKRUVJHwO3B/Lw0hU322F0+RPXLYhFJ6c0SdJK8f6VkB6RezAmkZXHoeeH70eKquDj7WeHMtS
B0faTNEGrRoCW1labAeLe986IP6fSY93njvfPzqOm/+a8tq7cVhcnWdQC0ECA6CVs5AG13vC7rq8
yTsVHK1GVDtn5lPSokIeD6zt9k3g3PImvjqcMB6CvsV9N6LIllaHU8DL2SgnD4+WVYz7Oq+r1O9Y
sEVp8xZV641X81AlwEENqCNAxKuhcMaWlj/O0bHvoM3l5j7bVhYIFZN0YDHhoEH+/vHyxqvhGkPg
iLgIYePaiQfoTc0gNhgdqxmti1l4FJu2+t2S2vn3j4ZoF9wzTCUo22talvAA1skakh1HlNUPZIxY
yiBSuB9wIaRjn023ktw1vgMrFRWBJcVFwIf2/ipDa3hFgiJqraNXO90eoqXuZijqCl1G7NKW4kYr
FICcYmrnjaiFt4+qkt8IO9eZNoQ/bIDFgPNFcQad0jWWJYvsQfad5R8N0Op1LCygPg+VEKRPgW8K
s9SfGg9HWeahMwgwdTQmCosQJl9t4J5n5UOPNOBobt56sGWf/l2CwINBeW9BYuIihBb4aqG5bhPC
byGLjn6haTJF2YFnUXuwBbWPLiie991QBHHkZkNKrAC9186MHwaa0xsL8DowRzy3EM6x7JEMAalw
ecHh9BO0K8LqVKvG+pkxWXzxu8h7ErmrfmlMhklto8AHEmU9fXc6HHMJ0QWz0yCMLPtLJKPqUw5n
7Lh0ffaptAoBvnJgAchcgRhzdh28YFrkQVAmSNVQ5SOmwTTz2nNZUgDXfUt67noPY41DJwd0MAh5
gQ1x+Ua652pCkp4drdzNY047N9YzResub/UWxKxbe/it8TBvWOfAeYfQtF2N59aUNDPNjpHT7+tO
ZmmBcsdcNE+9Cm9ZlL7xvRZgFk5DrBsomK0LmqhdSSeXoXVsQ68+dq4qnpyMAViewcur1YYdciEh
w06cPs17NabuhLzA1c5PiZP5kSng7wogbHa149f7qKRhGecRaqNNxny4QxgZHgJgdTc1FzPQX4X4
ApDMLYDwW3OG5YZ170E/CSHn5ZzBDSMjENRjCPNYGxc0+zaU8y85OD/QrN786xmLGYM+IHC4yNpg
d3Y5Vum2jhilbx1d4GkSiAR+y0cOOpzvfn1/oOtMDQfsUtbDUkCpHj2Uy5FGLVVj/Iidulyob8J0
83fXNyOMC7wJBo5G+KWVtGUmCyTawzDHzFb022g30Rw3aKfzG5zIN6IFPBDFW+MfJJHeanN7rbKL
hrfsVNM+2AdWNz4rMG6TsQfkjpRSbaDDXD+gv843YZSFT0hL+I2+3hIhX550AIUBkIOQH7ELsrXV
pORlGco6z0/ono4HDhDHxi/Mv5LScbdB/zpCUoEKEYBGq03fyl7SSkyAA1QqT3MEYGmB5u+NY/uN
Zesjc0Eih0wOh+ZqKTV9ByVcBwVpJWcB1Kk8AmCDKqgYUlub3+8vp1e20uXMIffEFYqqlw2O2RpF
b1rqWGHPyxNu7LRlpGUP46RpmwBO0Nu7PlcwDaih8AtqW9aUH4FMtsqk57Z5HsXYk80cKXOuHR49
D6HV/XBa7h1olohA7GB7IV0Ey0DOJkB09/v3n33Zv6tHB9wNG/y1gwSQ+uVHp/ZgReillydJ5F1J
0YEDqejc1d498eufji3/UfEdFz26YujyYZ0BS3h1jfllXs25dMvTGE4FggqLbbNakw3PhujGIriO
2ZAQQtJiyV7RMF2Hv3Xrs8bVdnUauYnifAppOtq9Hxu7vsULeWsokMyg54zjC1Ds1THZOyUkKiUu
Z8S/ZTqLju1oX1mH3LGH+MYXu45IPCD0FnttG+exu25hTTlwt64HJ4/KE/pjSHvnC5vD4AdFi+Kr
to37yx209Vi2eWcnflMFoG9aAAs0FTQvAN8urPPQYdqrskerYuxZ97OqZq9KmFWiUQyNjt5Bod4X
iAPnUT1kvOrnFEvSnTew6JPPsAvuPOwjrwSgu1b9V2px+qPvMwoAujsNbTL0Ckid0gZUAcaY9vhk
KREcyhzm5w9wY54eiGTo0cNxCI4/jempmwZQXmBglOVj0syzQ5MimhxzT9A7DRJcnuFHAMwB0Bqc
rFXbviTQvfQoF1+txgPr18ny/Bvhkwtgedn19UYETjfE0IcZ/9gjc3FtCb0tLVRM46GLqIwtzWuW
NMZ0H3qLS5A/gF1HaM8G2KE1tLJEWpSRfHCFsmZwyKfpQ2WLs7KyrNzUgTH3teLkhpuYuxxMq/2I
Ni0YkajDIm5Y67w4LkxyK7vnp4Y1eRHbWKtjAlmFcgIqxA+y1CZzCYkZE1JQGqaw+pHR3tiJqPv+
Yzf0I04MVwSfZ8Ts6Ja1imyBW4Yk9pBN8oDGlXtoDeOfajb4CUE7H0YtOQwXqHbVhwHs0HqjYOz1
saBl9FOCpy8TpxlHYO28oPotfFLAS7OpnTAZc2VPm2BU5ZdiUtatNOiVBLSaCaSTmAu0nFHCJMuW
+6uMW4KMpIDT6U9wd49++q3CNdyDKtvEMHflA56igGPSnC8i7oZw2OZQa1QqdlHkjxLPbrpt0wCI
BMfIBhx/iDlkP60ADaG064VDYbVDvqqphmQJEJntI16JD4nHEcPH5Vz48A2xKtSwVc1sN/Yav/2g
8AFiAUoNPdzY0lcfHcQg5D+LJCgkutbJJdddGWQ64icyOdbWjtrsLreHn8py+SYPTXAfVKA/vD/m
9YmF0ri7VKxClDrRELmcXoiP9CoaZHeyUbVOBe+zrdN4wYb0ozm+P9R1YIGsbqkighGDNuCaPtoP
kJ/o7FKcmA3+FrWl3kTTNCfvj3JdgMMoS7nSXiYR41y+EArIvvJzIU4TBD1SScKnXFtiwzIAhXJl
XlqBJMMfqmnz/rhvpK7oS7nInyEphDr3+jw2tscLMGPkSSLs+E6CmTwGHckfTQC5gG627GdeqXpD
cfilFa3CD6iVRr/LPA/2Rd9kNy70Nx8HW8ZFvvo656t5UINC9FhTdQIsb9p5RXNy+h6oKF+PPwzP
scZJaD6Gnd1uex9GqtNsho9NVpE7hxftjcD2jU8P8jUkdSAxs7DQV9EeLcHG9CYiQVIGVaARY56S
driFuHnjrFigI2j9YiFDZXydawkWgnhSDOMJKib2I2GD+QldNgTNUe2pTdlRA1Ubi0GGo/PkXYNn
NRso4+RFIojWoOWSGhcRJRVwU6Gl+/AATrVq4CNQzD91LaVOfQp6UkIZjOzT2TgSCFHLNGkIDKuT
OvnAq33f9P7PrFCwm1RWEyUzZPpvUQnXrX9AfSCDAdIRcSGKEQI4dbnMtR0OHivMdAKqMNs5g8St
WUlXHEQ+bxXqOLvWlfIBX+Q8t0N5blqH7zrwTuIcXbFtw0qDkoXo7qasHbZdLu27kWVdClTmdCOh
eEN6AAsI0gYol4EK56wpgJGxaQHi8XRiJDCfajENCcB7dR0XVR1tellaaRWS/VwCNGdjrbwAZGod
ZMi7OxGw6MnJI/UVyF61fX/Lrs++ZQ6XvYEtC0RTuFaZ5YPOpU9bcxJtzmIuiuFeOwMgJdrk/x9D
YT2CbQA4DuLQ1edi1uhSSJeaky4EyPEEbuGjmzU77ea3DE/XofzyVuh7QMENO24RcL5cGQROVKBW
UHNabsZkCHJ5MmMWJqwUw2NbV+GjTRHUvD+V60RrGRRcOJiyoOUBmsNqUDsSGuLnAwYVXg0c8+TG
vTdZ/5u989iOW8nW9Lv0uFEL3kwBpKETjWjEnGCRMgEX8P7p7wdWVZeY1GUu3Z70oId1SlJkAIEd
2/xmMwj6UWodn2oxfwhvLMipd6ja0amB+3ZUpaLMmHdt36n3svXmrUFygjOfSOLLamjMUM+wF1DX
YcIyWfRDBu1haMr+AR0U72osRHPiiP/hma9EklWTe33sx8zevvIUvi1TvaddmQVD0k93JT0Hfxyl
tq0bfdpY0zifeOZ/igGrhDgoNrAUsF3XqPtbauQ2ppHplbvcW5GiXCweng2ZmdQhomvdroXfs0Hc
qLyvmgLr7iVT71tGbyG9pOqiH7srhXHHhdWY6m1fKd2ZolbLJZl+Gda28tdUdhIJTv0q9OSi+HSc
z6JFw2gZp6X7Jk7kY1r2+ppdedtmaKsTn9pxAsDJIMsgdzY4GrSTj05GqU0EYDPX7k2nX86YUsxn
+YzSgpVDKxDzoFJjoMA/RdkpO6njW45EnRELAhnIEzH6O94kUBKV3rO33NvDrJ53jT7fILHy8vmX
9nF7MH2JWy45DlPqtxbSby99RtiMEjdX74sqk+HA/3wqVFP6nolVhdFW0zk2QsMXKbrhRIbzhhn8
PRVnf2+1+potQto/VnmYB1EDNENkqFrMOexcxbyTwHbB73u9jhCfmWRNuCyL+lK0gsy5K/tpDDtk
FBDOUaWzYYapqkHlDtBflimuHvQ2tvYTo/8mKMXCvwRt9ovhlBCFl2Jefk06fJ6ggoKGSGPSf0Us
4NmylvzGbUAubDkGAr4ylLZf5mKVFx5YEujlq/4sTtK9B3tAHfXrqM2SQy+U5KxJgDkEJtPGx262
kKpOqBWvc8+BMWCAXqlPZNdvfZN3jwyi/0pyQ+MMuxOqmKNPNB/WoZydPaStWl/ApVH7MLXK6dKZ
k1yglIXE3bXCAENCuDLlrXSKVA3KSCKUYSC90wfTIkvLN2sQy37UKUUXoMHyosg+Xee3kHkQu0gU
fyqKIkyLYfJ8JvOyvFC6DgTFPIkUSpGsh7sFPQux9fTOgmISic7XLAXXbVo/7Z6hCupYJgZaJ1qs
H6V3IFlr6DyQANCJ+yBLXipyxMyiqx8cI44vqkr2e81KyyRIhV0IglFZJr6M+/oLFU66F+iKjVDf
7HLG0E5RajxkEV0Omjk2Mt/AnngvoH5s8qHm7SI4oFkhiPL5yq0RK8VsOyur0FXG+NVkRNVt3CZL
t8NCGyWICqe5zkaNdqO0F7Pbaqpmnqjbj9EH61cJbHmFZXAHEgrev25GGdWQCbd8GIa62SKIRsjh
zcXnGBCYO05JuZGW2+5VEZudj3xQfaKE/NDSJswihQ19k6bK6ndwdBGb6MK2vZsMD56VjfuslPWm
dLpsD/vMChdh9WfKmKG26urcy7lRBmNpp7exI+fd53Hqo7oHYiz/nFWBxliRWO+fxaBOCUph5fQw
y7F7drTRBTzXxVYGuc5N80BUFqOkSa/0b4u6UCMJJxPXhaPrA7JreXcrsTYM1GzO//mS/gq0+d9C
Md8BNj+Fdv6/CNp0Kd//e9Dml5e+6d9BNtc//y/IJsBMRiGAnZBWwDHHIVn+D2ST/wqSjbkwV8t6
pP5lvqOo/2A8Q8XFiBVgogvenLf8b8wm/6e1ahIAVGJUbr19/Ecgzc9Amx/EdPmX1h9BeQ+KwSbd
en+g4AvkMZTd6IaLkRQvRsyjbV9Bi8z7ytX35EI49VnZqiMqoEH+bJT6XlGXIewcdHY7CcNLmZxH
zQ2iOJnOkrLPAuabIuiH78qiv7492v9/yv4XnaJPTxn2N4efL/lL8eP9WeNv/fOsKZje/IPLkPR9
vRlWwsd/Dpv1D5f3hwgPAwLmERzDfx823QNUDDmI2ldbo+wKVPv3WbP0f4AuJO9aG+IMspkn/cVR
O6ouVrUH6idSa/6tN3TJ0VHT6RLOA3D+59yZXIQexPw0knAC8a+UQLE7/ZvddoUW2nk+XEVR4twB
rYhfxs7iErK8rH/+7Qne/DNh+B3+y65/awevv4fkAdUFkkr0L0DRvz/6yRJHzJET81mTg3sxJgmG
ZEaXB1Omn0I6rFv7T8bCUjDVnTVjwYeXx3h8hdE5mEnVpvRQRTtXni2IUru2RU2M9ARZM0YseXJK
w+6PawKZw7mEQwHu8v32OsubC7R500MLE6fcAQcL0o0ITwmPH12O/9rbb+scVeGWMwxjLzD367ZT
WGzFudjUZy+qr4SnBkFHoMmPSx3VZjWo+NxgbHpwfLRqfBtyUeSrYRJ8r8P96Bs+LOvw80Py5t/w
+6tDEgUWhwO4Xl9ZKsfsh5wmR9Skqf7aMxcBe124+plIG7MKbUaT9s5Rm0qEjhysTaRVOIqDJClF
OMD18wJdkJgESGCJJaiMEp5jw/wxCgarsWOSU0rnwGvVzAgEDoz6NgItVwdpjFGUHytZdm04RUS9
PZbuq9uNoASoRSbLN2ZNFuGSCHK5prLs50gO9h7VhaFgLONViz/BYdq1yTIYQc8HVPt5pGcLWPy2
1zf55Gjfq7LNQUcabfejLRMbkwemRM1mctMoQ78qYuI6qWWEMho+in5LfLmfZlur0GUsZtydliRz
UZS2ZeUbCKF7uyQyFi+QFTMtDB17mnSC28CD/g7kP9Q6zAEvjFqrGCNILb1sva4RQaeYvRsOUl0N
kAvSF8ZDCfDGpZ31qzH1VmDElJJ6LzLS2wCAU5OHou/k3Qzc6u8G6EhWIIVChFwpeYRE9RjF4sWe
l1iyWV5jbel2jVZQvPezciKLOw48tJDIr+lY0VECwXLct5oNcsdKjdTXyqlkMMTIdidOVgZeU7cn
aqUPX+fbWsQ4d00YqC+Pgq504rRJ2lx7VUdiIItVQFeHQSvAMrVqzkTKruXXZIqTe7vzop95xYTS
79HvPfROpJmbzz+nP2zd5hG7hEGAxFAg3geltmkEIXlm64Wwt2hRjNtI66p9MzvLCU2d9/GPD5Wg
TneQqTGArrWd9X6p2I1SofeFfCY65tssaZWgT90smOdEBCaDxsCxJ8iC8N8voS7Lh7/Z6br8ujCJ
n8mlDPjkqGqhP923miaNZxSqsP30sKcqp6HfWEiInmjOHLVI1qWQOCaDAK8Jt+S4heCOsxunJJrP
ddIbNyPz5q071KfoBiQCv91hbxuincsTZdBEDXIMo2mFoc9OV9nPZR2j1+3YzZWOYHcQLcl84SH7
8PT5A2TWfLwi740GN/Qlj1oH8bn3b7Cr3FwOqHi8DEmavUptccVOsRBr95OuGYpLegtgKiLF7l2/
gK2bbdBJKfRAuEnl+cUSG/VO2nXOVFVzZLMdRgf8BwUwKF23w1m4tLAeOuv1buHuSqPidULdJgvH
iq4u8vpM++lvzTbaA0Ujrkwcis7G1uTyFhoRc0celf5Y6N/0QWqKOjkrHLTcdvFsaTPaIl13iJLU
EHvX4mbY0OBUJn8xxukR/kha7xIvdkbfbpToC7Y3UbZL6zhzt4vp5N69HBzzSke1BKR3JpBsWAp7
TKHeG8pYbUwo6j/QbSoq0gnpDGc41mNpO5dTd434SZUFbTNa1W5UZ0vdemh2eOGKZX6czMp9QGWa
P5z2el4GmWSiEwhsAwDBLsjvcsNq095yRJIGsxt55lUZtTRAEiFsbK1K3VmueiYz6d4owBDfxNUi
sn2uSdVG788arjmKQx5EtpZn+9ps4nOYzXCNYXik8Q5ihbT4BlpQIq4W52pgVGoThZNajdauAgzv
+R4C87wyPS+0G69IViUWQKLNzmkr+tGKMQFzX5CNAGDAe5lhHIwjXR/HFb9ap0RXAgsrbl2z1pqN
F8Nl4UO3Na5VlRnZKhmvjqi16l0XJlaGrrYYiQBZZIrHxRbuXZZJCb+h0F0BoAMlDjrvtncPNHl8
lLiG5gE9D+sWoZdGMv7yZO6Xo4U6TBc55tOwoKQTGq2XhnO6MBtU8z6tQwdaJhRQG1EJf8z1PL7Q
KkgLQIAjpz3LYy8dwsXJi9GHNyL7XWrL+LGvvfqpWRbxPZs9YZzXRlpfjIxgo02Wt6W7GfpR+TFM
0ypsZNAO3qhJ6T0sjR7/miSS+5uoRtMh8KbW4DwrVcy9mhrxY9XFpgaRthcOwkR6dqM4ZtcHy2iP
W21snGXDRMXeCaNdHm2z60ofFmxJ1NQm9JorVU+2fWegzwrVDP3FgamS94I6v/M4Rq1+PjGtpMHo
lGMSKGhiVUE7j0xqC1D5GzSHoqC14VTA6Fnq9D6PKUsPZFFu8iMj6XG/AAuIr0VfKA9W22pcV+qc
jZeFrqfppYofRXeRWCPUOLeFDOMXs6deCKUpUM2b9CnbSs8Zh83SRVUK/SAd74Wdq+nG6ybzSo6q
+4AWqvdcAcjBaVGzs29lA2jVzwywir6+RMpdnboleUun5tfJrGkt8iaFe5vCmP6JOZf3y0g77alF
/mbyLasR+lmjLPwFa8JJnG4bJXWYIU58t2Q5eOvGMc1bjX9S0o8tpk1P/2YMjLxGnIYfP9Ub5mmi
9L3RrK4t0bRXJr60GQ+w7kkM87z+gf7NaG1S18opvntv9o12sCFMAiYxmj5CCCmSDuDVRr9l/Jo8
DrXs7+fFKKHCOGK4U1o3PcTdaLGV2EN6HBU2DP94WeBgcanmY1QjO7SsTAOO0zvDFVA5WM2KMipY
pw0Zj6ovhqbxxWC234cRJT3fcwfV9tXMcl6rDHqZD2laQWa+XZhCzlHb/nKcYQxx5Z0j6HhKfsUM
pPuaoHcdg3ye8ZPXmGAAOckRuMusoriJ+xgZmCx1eBNFrrW3RjnHoFSNLMFQ2qL7CN5wED9mCyAS
sbBwvCDG87TG3g9D6QDJdeMGII0YwtFW1G9CzagdcX+AhSozm8Zvppp5kKO2MH+BM6XROMWSMPJB
nyImDfpX31sjKd+lJ6eW7FTX0jFEt8obz4lWuhGCiC+bDbCPfAqiOq2qzZBPveUXU2k/2RMwCZ+R
r3Jdc/8nG2nIvgqULF9Q9UmK/DnLdPOBQQSGhK3S5BhK5tq8hHhSeM8dcqntxmvxbw3a1ENxNM3R
HwSA04PFZ/C3EBXx3riul1XDo20nMTKAhM/gJ7XAvmLKi3gIBxT/p1Bo0UyAk22LgNRSOXT0UcJH
KmiKVTj9wBLPU2Ouis1Y6ekDHE5ZbhB5VX7kWsml3iqj7AAuSQSpFjH2nKMS+frQ1Dut4fnZCUC0
0u7bIF48WfqqLKQVDHbfG5ukylUkyrr6eSoU6K2uNcuzsZ+bGXJB0+jbPHYq98wo5UC8hAjXASDS
ONQF1X/ngziLre3ESLAKI+HSYZr6xkv9VLE9aK/DbN+h7Sa+ywI0HBLYcXehp1VyV2QAXzNLjRER
S6Lmkn5GZQVz36/pF2pXeECRFU2+2bT1gFta1qJApKTRbT9Y7bWR5fTMDWRnftGnWFTcWCPnoGcI
O2zgOi0vA+SrZTvKeYL7KoYHdxoqEOZKM/dhpdfi2klM+0dBBtH6BrAmN2RkpN1mcWt/b5do+SUN
MW9dJSIG5nZdI2fQubYMdcDoiDOhcXOvylFoO1iI1FtW6w2Yro1z1W50vQE0LGplRihzcA9zmVKG
mWo23ucJmqEbdkEvnihCgUoNCPIVZ5/vAqRj5NcoTRX+nI/ta9rP7XVXlOiLKrBQ4g2eT9HrVE8z
j8yaajUwnWIIi2KuOywKGvFDcfLuRyf5sz6lU/aL5HW+EHlqbrrytmBglgdlHbnFFoq29dSOSsPV
ujiptet0Z8qDZVDQQAYj4lxZDM7jjYVGGBJuRKbL3nUrkIILMyRiBD58fgvO9M5FdvT7WGva18Tt
HSgzdlRDbDZbzgfyl4cMXN3DyDQmC6Uzt3ctqic1CDy17ELuy/iA/lf2nNatzanMbPlCrpR+lwCE
CV7MzhAK6fr0xpoF/qY1qpzZtkREV+cVDN6TlqKZaMhpijfciamJnp0xncm4HS+hgj56Vl1el4VI
HqG4aaY/lt3SbBmtOQtaRYZ5qPMiG4JalF68LdSxv5sL14nDiaQzYrKkjAV/ziUaCL6V2Ne0aULj
q266LjDSNLnSe8uTDP20UW7qKasFgY1QlWgJgksADBEdHKDJn5ttrc8buYiJRstUpd2Gkzt1+1hR
9b2c0z7gNEZXMD6wjOXz6L7qdUEWaU0WkTAxR19EceEvjI0OQzn0XNSanMywksOEU1NuT08m32oW
GDrNYb5PorCezukl7CAVnlanuaGwQQMGkCmTDqyxmNXQnjpRn6eNyLcR7AmQk10uo2v8puRLpZY2
UnjTYLiMNnNX99Ul4hHEY1RPaKgUgraDHPWpLGAbJkW/izRDDhu9d1KDrEGpuAGG3nuKi7q8AQrd
XQG5hcvAkK3F1yVTBv0gRAsEMWlt+7IwsU7o0ShGhnrSx/EeoG2lB0pZ4kWhuQ3eKiY5hk8DIt2v
sSUnI64Ac1pdORa7CNzMfTrUa0Mlg9m46/WaEKKOi90GedVYIw1vbVy2IJWc12Ke85uuN2BKplzv
Z0riDkQTgDu39oJR0bnaDO5DFFmdOJtr2VZhvxSJeaGveJV5I6q0itKwcvq6vcUKOmt9UZmm2CoK
cNpdJktilTZW0fckgzASUJcb1+gIZkihIaTQ7vXOaa/zJtO7M1MndMIUVemcFDVCkYFmzvqymZUm
hhOw2FPh693c3tCZGtStg2jXRdPO2jdZSu+7WhESAk2UqtxA9swav1fJQwKBhtUSjLmEAOqYBeKM
bZINVziNcDVA5UBvTreX5Lr2nMxXoqUYtxODTxL1pqnm0Ga03PqWLJXrrlOXaVuD6VG5Tdzhh5uO
EHA1pNqLVf1R6fcYYYw+yl849xaAhxGnoclY+NVsFgetQVgzEmp1ZlHC2dt6qNM7V/QL8lZLQsjs
KF9uanglqLQNs5EEjjc7P703ifu8KNInCr/omlQmg1yuV83eTAsGH32DNllO1CIWC0N99UoxI3nZ
ZHc1nxpIE0Sc4RO59h2Hwn21M+dySVbA3Z05ccr81LXdB4pYOPjR2AzjBRdy/6IXep/7FuiQa7dB
FcG3o1hJwrzKy0edkBZdzV2UJUlgYs8GKz8esRvR1U48ilZLmsuhkgliWsO6scnO2/hcIrp57Uax
U17EoKX5m+3kfFPotuGMRYGs8his+FygrliFBKDyR99ILgAcODDGUoYxQVOHLvxAW014kd/E1vAU
08Z41dMJxINDCWvhFiDm87it20e7FJy9zEgMczfoJaYyGs2jMI5XOHuMFDKhLGujW+nhlgJkvIpC
JHedC3yAUOKLukbeLokKRwuH64NqjoiDRnauAK8o+A47kTWP1Obxo1JWxcGqzR6Tz3x8HKLOaHxk
AJTLKs+q8mZw+wEwMkjBpqa5qvfXhmYv9+YwSJCXDjoUJAbW8zA7INq8KLYbXn83Jf7q392+iqkt
vs+R40XnIFwi9UJVdCCHHRggIOBemn3jRzRPUhnsr+lUTXeWmAlEDvZLl5mhYJBXOLNH59Jy6i89
iPkXJ5rLW4lrHG9Gxm4T6pg72Wexk8Q7WQoMY+wONXiXQf0EjmSZv0NmfMURvRMwVYz0oqfdTI5Q
uEvYp0QUv3ATipq5M1rTn9vFemiqnoZqUgpv22nwSFHYdGIP1IfuFGEVy4qzWs7q4hfZKCjzY6P9
1tKlodE/itK8shMMenZoLsTdpekKp9pkaUbza5y86Sl1jF4BK+LKApnSysnDdl5aeRHrdmVvECyy
nI3bN8OdMzGA91GMG9uzgfGx/iQWaBK+0SQCbUt3LOyNlhXDr6QYDHObqmWRbGPFSWzEF9slBZpi
2uOZFaGcZEb0V3ELUMsH02UYdCN4aHtLFFVzJsak7/cY1OcZQgZjr+GW0RTnVln12l4tSpwVuHiH
bBvXdtFD7p6iimTJrZyAipm7z9DT0dqWemolW20xp+5cTMaSbsYag3WymkktzlF48LLDohR1E6TS
nPGnt0WDCqtbT3i/Sk3WAF6iKPtK+6EwH5PZoifOs3CWPa/EGbe5sr7sCO8arrdUj2+6zsCOaMLX
TgsmVQ73FUCfb5RIU+Pj8Jg/xvD/yPNUNraNKqocLyX3CQZJfzDMwKBd5ZNqRvybbS13TjxBmPcE
Dvcwk5p8TSzK8msWd+nTwIlKg952UoYfiFLxJVRJ2e6RlqLUjpqR3Eqre7NGTDeZHwrkPjASoilz
mzI2LHxVqeonLTd7EUQ55+ECxPVaYhqZtC70PKpQUcgK65sLsngMxsEq72U+q9aGbj6kqv9Nx123
QJsYz71tlz8rL0GyK1ETg6Hl/5mg/2Ey96Gh6WDMiSK5DcoIsLmxNgZ/g2NFMitTHK/d50Qm2mWZ
TtqTQTb0t23TdRXAZesIfm0Vrw3P31ZZlqmeu2XGHSG3xw1wNndT5tqJrXzomr4tQi/YBcdIGD3q
Qme5TROIru3zhLBCOLhGtC8t3LNh0JAY9+kpxPwRkm0d5tPM4jWsUBmgZUdDTaTquw4L7+h58Vrk
90zUuboxUa9osxZbJOUfYzeZt8q0pCcmDR83quOSQVuflJlneSxo0oydmdhdVhw8pyt2kGubC4VE
JmjkAsE867vbz8/I+0kC7WguVMQQ4HUwmoPgfNQcblOYOCN14SH3qirkRSqr3kcVVi4U4P+bpXCy
en9QnNIaZ2EYdFCkUl7oJTerHXcNnh5KdUIw4MPJZ07PMSHxUQF4Af59v5QydKT3jigOiDx7pMN5
fT1bRX//txvCOQYEHURgVgHU9H4Vuk1dNC15cVBRbAGIDwXNRHy8p9974tH9aT+/r3T0jU0Tfpye
WhQHxRXdmUEfMzS86tfn2/lw9FZwA4AZhj1gaQBMv99OPaquCkGhOOSjyLZN6WLbKPT6ea5b48vo
LsrZ5+sdY+85e6CwHJiWDHaY51tHbwkt7RwSXt0e5hU7KZSqkAGMROsrmtp5iKVBtS8mcR/hVXYD
G2/aKo2B9ySYDPt2sTvbt6Kx/jaZnXpi5vXxo+DzQ4XNA8/BrfI2DfwtpGmzaIaKr+5gEaB3rcZ8
q4f0fbZU/ffPn8EfXizaiHx+yLBSRNpHR6hhOsLNPNWHbmxk4JR6hrq6EZ0IKn/aD+47fOag7+h8
r7/it/3kHUaWoym7Q5p7Oq0m+WPJFRnEjKBPrHSETlnjCd5jXAiryLqJ0NFx4KQ4dEbRtodcGaKN
7Et9TxO/uKas0fZKjXwAGkfxVYsS9yN8QGAq3VhdLVqr/7QGIU7EgWNr1vXn0EBYkQdEdMKb/n7n
U2UuvVvM4wEJZpzwImegPPLi1N7l5CHIKFNo6ZtIryE61Yw7QrttKw8SpituxqE0v9lRVyMebSIk
inORN8ELo7kQMRzx5rNChzwUZHah4R+X92Jf1Ya8UpxC/MgNqVy71lgt4YJJ7gPW06Xrew2N2WDG
+/l24A64VrIIB6TPj9SHq2vd8kpG5AjzHb95CP72siuv671odJiaVZCHbHqUQU/muO3IBcIYz+5v
JAHdC7OyZfv5yn84Zrx9uASrqPCq7/r+YTtlDSg81vqDQXPhQHZbXw22JrdmbZ0y2/nDUmh7I3uC
+oyxyhgdLWVoaJ4sUXfI8eiEv0uWDDz5Ka2b4sSmPkxPARish0eDo8+KH4g4iiUgixfLgYHOZlFs
d0PyO20ybfxpp0mKP+kpG9gPe4MigKKrQbYDkuwDfWrKU4XYq7E3By+y0sq1r+TWqKozq9r/5Rtb
2QiIWay7A0nxhtr57awMrq4UeS2Gg9vTVYqSbNxil6EFrg6N9/OlPkYG1lrTRIc0kdB67I/kzDQM
o8rtD2YUL7CtAUtqrTUFcAaWoFyGeFPVMEtBPz9P1LbflJw6RkliK1STyX488WsMDsh/8EjEKX4N
Ut7wU2A9eQDB3x+gOZeVqiTVcEipLP0BvPB+GjyUwHRGSLQp3LsonSO8vhr7zhkqdUOtbz02Uqo0
Xbxdqrfq8+c/6U+vfcXK4De3Zn/qUZBWnHZkXGAMh75Xk0uU/dVN3Fv1OZ3tUyfs2Ed03T0e2rx6
lFDXZ3GEqijsahxGvZ8OimPPwme4j40JTS5w7EvrzNfgZim73F6fHl00y3LfyC1v11glIAC0fcYv
KJRPi9/qMxMFZ8hBYalOW/wy47cuJo2Ecxp6VLcND+rVplPyqI2K8pinsXr/+WNbH8vRi+RcOYj0
qIgMk068f5H6hIxenhjTYVyKAlG3AaMLNypOXCTHotxvT4x3owJpos7+EAbykh7ALIv5UGhxs1Fq
x/6yVAtu30Yl72IYfEEtO8ePZa19cdKkucGQlic2T90GFRyxdTrZXwB0M/dUftOJz3g9rMfPABIj
1YLOPAchtffPQNObrEuWdD5MmtX7JC9yE9fiuY74xuJhLE/cMH965JAmdJcnAYfkjer6W9TwmGms
UIL5wOCCwWc0pZtKTKe4Un/YFBAZulxcZrAFjgNvY3SRmujVclBsde27JjAD5sSANrMoV3qr/Q92
tTIgCYhEXhihRxFB7xVAJl45H0ZbVc5xXmRcj8Xa5q+PKyB2+Ekr/wu94KOERFYC5WfRzCj6LLyc
fFBeZVmeUiZ4w5u/PxE2WHTwqmAyWMs9TsMsfXRrL9UOUeo0530NwRWmT0Rf12SeJGnd7bqml6tG
GKSc1owOJa1THx2X/DKxipp2FynDTLfsynDR7lTchDzc0y76jLlnMabFiSP88UyRnyJ4Q86CSCao
wfdH2JZWVUSKph2qTCTbqpbYB/VmfOIz/hhjWYVv2VwlfuB7H2UojeIavY0v8iEtvGiXDqoM5yaq
Q68bjRMb+nh8Ac4RZc31muGTXH/Kbx9Jqhqdh32SdXAt2vwQ7XX4ro195Zn1dM5g3gg/P1gf8hTO
LEupNh8MoeBYT3fGjRZIk+od2Le2w2EbsjCSLzaelEut0ZlP5h3ic9W3z5c9ptLwMJF4J9Gn9cNl
gkTU+30i/EU/u+mUA5AsfU9U6JQvVY2250XJ6f6iwDm6KuesQgYGqGzLGDu2vkW6rNNgsRXv0JqM
xQMcSmjAfv7TPh6p9ZetjRSLQg50/vtfFo+2V+IkFx06kCtf+bTjB+kk2YlV/vDcUVagz2DDaeL6
OfqgIzhCkdKlyiEb4bShtViHttBqJoNxU39J7CTZYSIvToTgP6zK0eJNcn0DVTzGvmq1EWGDxQyH
4kI5EzgZ/8ywXHlO8y7eaX1hbTIvz04wiT8eaYCRaAeplBUQuVaCzu9Hup3rxYNCKl8ast8zL52Y
NecNLfq2jHepOvePf/0CvZWcBcEHwD8v8v16ta6oSOJMxQtnjBSRe+0qAdZ3IiZ8PCYI7YFt5ZDA
AoQQ+H4VZo613nR29WJbyw9Ymm2otvLUZXYceCi9bepPPk4amCvb+P0ijK70CkCV9VJFzhWByb5w
4sXwY6u0dn/30AwN1goFBEk9STZade9XKgzavBV56ovs3PoCMRAzmISIrj9f5dj2Ar29t9NHpUeY
o4N4FN4cTQGd1nMWlgTV3E3f4O30ZfEWfdop2mRcY/WaXjGc8AYfZz/5RVGb+czDJHW48KzBanyF
WQCI/E7fIk1tYI6Xa4UB9ib2dpOnpdWuSNS285MRCH2olNpw6y2u99ioikayKZtcp5pGtvvEh3V8
xt/2xdnmi8FV9SPQe8jKngKbxzdqG1jo5QaKYH3eLeY1IIVTCjfHZ+9otWPpfKCZXlR4rNZ3Wh4a
HTzI0omyE3v6cPjWd7VeReQdkD+P9TjINzoN3Rz5UqeZEuS5AeXZgwOaj8PPz4/Fx5XIPlec+Mp1
ond+FAzjthfLgpXai8h5d6NiU9RV1OYLpIPwr5cyoZMaUA1Iw3hd78+5LGqQsfmUvBTqpF/k5cgs
q4Y/TIS3T4T4D6UrySBcBhgs3OaEv+MQMaZ53A6Fmb0UCNfAFDG7sATbD8gYea3QMuE4k9FUqm/O
RfRzMIopNBpjvIznGIGvlLnSieTi47l5/4OONq8IBApbR81eSgZ6Z5Ymlb3Ike48sfE/LWOu8Yqe
MLqPznoL/ZbDNJorh6YyspekEWrYeFK9cY2xfP38Ta4Zwu+5Kk/XRliX+LsmENS/R6uUCYi1sUOX
aFARysjV/pLWyHQBNN576qRBnYkOzmaZKwC1UZyemIAcX6Xr8i6NAIKligDEcZ3hmL2MQQmWL0zh
nMsUspdPWOl3hjUnITrj8QHXyv/Bk3236FHWFOlxDQ7QLV+6rJc7W6CJ1rvDcOKYfEjO2BttT8iH
7IuYZh89WsueQNhHZfUSZ1X8rQTpAFCuxmVx1vpNhcf8WayZTPc5p/1O2DiSIxLolT64kiVYiP20
1ixv8/n7/hhiUUvDcF7/J1PyWAQjRc1d4IravJgAwC9zxbEe3dX4yWBseNV34pSl2h/WQ2WBrqS6
Zqgoobw/X1neOwlSwu0LPbXleoItcFPXzuQLt1CvKhOlj8/3d0wG5m6Eo2wyEOJ2BH3gHC1oVHXp
GOBSXyKn0axtKqWl+0mL0pPfDW78HdE299FbVOVHl6E3lIDf3sdtixEqlovySzNxWsOau/PMIk1G
Bs4ePTWs4Wypfl9mluQfy51tUxXYbZuT6/yyO9AhJ26NP3z8zGdoDBIBYFwed/JNTDVzrWvbFy/v
NeAwbntRalF04mF9XIUaFcSdTsbCaNc6at/0ycgUIl66F0u20wYdDBXswn+xdya9jWvbFf4rQeZ8
YHPYDTIhKcmyLTdVrsaeECq7zL7v+evzse4DnkUbFirjTBIEN/cekzo8zd5rfav6y+Q2fhFGAZAN
VlmjULTGu0XpYLQCYd/RmJvUVawk8RA9a3+7XOIWVnHBEt9sC9wRq9+9YcmPIi2ZjxlXvq0czf4G
BW105vN5t1xqfMnseSyay21v8Se/XZQXV0ctQzU50mGRmk0YCvwsWhorG8AZ9SHWRnmPXm9INxgH
yJs17fTMifndB8VfgBwUp9RyRmKCn/4FZO1w39Hk/tiGkria+mFCD92juMpG5B2L1P3zD+p0hWbf
pYWjwUxTuSQzJdczUcm7riHddKZPWP5A8VmUjtHNI7puXbsAuRJvwmiJbvl81D+0mv/sS/8My5pB
ORZ34fuqGsKYtit1ZX5qJ634kplFC6Nn6JHpJgRfKu5smtGlaQYEqAgt7OW9gSGbU1xMJu2Zr+T0
XPXnT9HhSWHUXsibQORO37gaoTLLBbWwdrYyxNv57CoRBbFytLu/6n3+GYpn5TqPs1Wms7EaqkW1
m+a1gZUEM82uwPSCLij0L9CanrugrxbKP2NxS2A2c6sELb2GEmu+lKVEJ8tPdhkFpqvPU3JXxD6y
Wo7mfbQZ1KB+6AnUKD3Oe7aO5rgPNHdK0uqaSF5feCC9ugukhBhYtKCUNdAyeXWb67Yv3dlBAuBV
j6QHSaEv7+TMrgdLVM23zyfK6Qf5z1OwruDI16gevmM/TJFRQ1KWmZ5wI+HsW61yK5SmdSu4Wl/m
cZCvMdFUvzIt7w9TbOZn7mIfTI5FwrHUSVl9aLydTo5oaqSUjPX5qVeMxmskdG4RByasICSJfP6o
Hw7F5qZQwORnW5/v+zFvWzi58pOIcG53lgTEyk/rvd1gFfl8KIu/evX1sYku/dulpm2siRpaqk5a
TnLIU4bG1IvQXP1u/ER1oWbWsMQobrSVZF+GpG7/VZnjn99zodTZlCFZYNXVAluUsdkXOEyexrSq
n2N2jg3/32Kphob7OW3ic03zj94q1Q1tuVpQ6H7XwijyUE+BcD7JeC09PEvWJZnUlhfqSn3m6z5d
updnWyy8bOoW2AbaP+u50iskMUeV9iQyllQXJFu81eyq+okBHR9VFObhj89/x5V1+p8hoWhQYOGU
z3tdDYnftPX7aJafrLjuzW1vibLaYL4Kvwx2MzzlY4nEOkqi5L4XWnnNmptfm3oQuxX/xTM7yftJ
Ra4CIAcobByI+WBPPxVEnT3nvaX+i8oiQuQEgCoCLpq6KvULDJlx+hDVIwrPvFSfP38RpyedP+9h
KZuxdy7EjHeapFkqYEm3mvZEAFJ/mc5+6sk24uTPR3k/lxDT0NijIMlnCgDn9AkBccwhLkf7SZUq
y5VHWyW5oT8GRK6fmUrvR0Ibw5xl9eY4TzfxdCR1bIaWtS4+0u1VPCUW2VavpQ7CVdSeu8e8f3cc
eWWiGdFyAGRfl89C2vNVZ7fJsQzs/DEZaa0h3FQ3QYDuuO6D4qBggttg5xXfpcEQLPstVK0sR2KK
x8U1O1TIkVSdOwl98A4EoinCEHB0L0FKp+9glqoSFquZHgcrjj27iTq3mJpgp0Z0Rz//YT96BXQS
yGwmRQrU0fLP397Fq3wMdWjx8OvGbCfPebEpQqHsPx/l/VELQOcf8j24MLBoq4+19RtAB+RVHYH3
adc1dR76u/KAOUePcCGM5iN6h9b7fNAPHs3kgsYlDZY2eJLlq33zaHgE9dCcl0EHXXPNUYv3famI
M6N88FtxJl9wBnz//M/Vo5mhLI3jFFfcAVKf/G5wk7Ikqds88eMzB+Q/DdfTzQtcFVlMtPE5JLP2
nT6Rgdaqq+eOyrVsBjiu7NZ4tgIpvNL8ZLxlplc03Q2dCPZY0YEppEhyIgeMtmm4gxUaF1yDjQTX
RyoBBxl6jbZ7OWNA5fSLVSc3U8UZtLl5UMewTrZybCiXeiQDCgcwTsyQgpGFpJrRZFZSEJZfc9wW
ljOOqf5tpORQOhVrD7ax5T7ktKaGnwMZ8k/gft1jVur8jcgiOreGx/WAFLZ/6Tpi6B0tifPSs1Xa
D3v0m9KvWc5K4WRlKbayDIPRpZzQY1q2yCWsC5nHjBADZQ6K82F2yJBRrxoT7zrdAz9+MfuKKCwp
18a7YcipnxV+XYye1Sh4NMmwn2GwxbUuXRE9EshuViRyiGtIBqEVY26WXDVp1eeA+tyXNgjH10LH
ZU0PxsdoP5ppddRnC5BB3crWr1yD6usifS8ORm6NipO1SUZt3Gzj3OvTGAtsPmsZHr9x1g1XxSeB
CQ91SLvJrIX2gQPQ+t4D8DxXyVyVF1EvsStygFtyXjh1vAsZKhPExHnQ5i8WbNMueIUJv8WiO1sP
eQHOJKfene+L+FcSfVGwFX3+8a1UmO9HX93mlLyEa2V2+cugO4cJS/Fz8VUc2p/Gve67peJG3a40
vXb3+bDrQ/P6mVfffK5ZZSAkRk01eiGz/ox18VKSaof0SgepvDEJt2v6M8vbBzcO1heTPYTeOCXU
9Vk5HdWeLzCvj2QGFQQ6IW65SrTpd0RWzV1pL4bySBovIqVD/qKSfVT5onyohd5tQY+EXqW0yXbq
9GIv2Gr3cxNamyanvBPI7XjJXRtjbJmqe4AX4sx++8EqSfVeJmgPujas2tXvFOL4HFXCWo75UJfc
fWt08EahbD7/XT5YJamWoEAntw49yRoWAmZ0MKaxSY9Vh8WYcEbbm+YeS0Yw6f+HoTisaOafIAmU
CqeLZCC0ATaAxuZJ7vZFZgSGp6StvQf8NJ2Z5B9saxDTFvglPf9lqzkdytewafZ6mh2lUMVXTCeJ
jTqo86temqvQqVvf/tKW4/Tl71/mn4st0iSKT+uNDTwJFCjTz4+dTl4J4cmkMw++5s6RFZ45970/
2FM/52TP9KD5j3Dm9AkVLY/t0bDzY6GRRGnOfeSGYZhcDKIDHzvU8fbzR/ugOmLI8HhIS1ja3+/o
sRJRooNI0yVNQGB0qmg+JDGxq43aU5+UTf+HlBKlUHP+uiSbINoIGv9nzkTrRYQbKOQn5KYLZR6m
8eoIqnXT6FMy5GeNcYq1NBAPmt76N5mkRLfwnv1txp/o4K9JNtWkjWdOFO9mFRUS3gA3YaCA9P+X
b+nNuUWYcQC2JVNoXCjNTybxb0WIAuB3HO9LFHQX9tAUZ37n94/MsQKEGh1erjIUTk/HzOfcjjly
qMegmUHQY+iunFImtoG8zOYuSQcoBk2XHcyqbjbW3Pyd24dbDM/MMY0Xz+iLIO50/MFIQ8wVmnoU
ft16ky7G63jWzx34/+je3x6guE6gzKSHyGTGXbH+cgb6EWyYmX6k6N0oTpATioujtLGvijJIu4VZ
IqWeQJX4UzQYC8GyBNBrZCohhRsWSXsTSpbx2NpE6LgF4SqKl2lToWLj6nVSaYZB/gLrxbrqCq07
9Lnvb1qcNyTJpNh+C5rTi4XLfzWnpHj2c/IySqPJYk9htmluU01x6MFHUi6wwpcGQbk9DqFA6+dH
SR3UEF+/j99+JPDgWQMThEQ5VefKNWCwfbP8GsuITwDoBcAwa69MfSPvFKOHIJRz9gkcGW58T6hs
oeiOju+sQqKF43/TilC/1qKgHxyEqeVtUWSqcOo8l2+kTuevH+NRuwx0kT2PSSQAvzFx3SwPcRfP
4HZbB+9R/9Rg/Nsh64Gi6I+ZNJ1bGpa15vTHwzrFMrvAUNlq1xmrY4CtuxpHcZxr35/gSPUZXN1C
GJx5FWPPoQ+9qDIU0R30a7vfY9fF3kvIvWa6bR1mkQcTPbrXJMn8XqqUu51hNMWXifiMG4V30l3m
qS2d+bBQda//bIGbhxqrTqSpTFtrtcGCa1CGpMRurOFlx2bdxf1jnSe17ZhAgQFYU4nCebxgJVSt
ssn49RX5IZzj4ijiMaVt2AP68wwz8MWO4KXmmpT59hdxTtJXu5P0+nLMVfgcitaR8BXZ9XjVSmM7
u3khR+au73oAMqlvxc+48I3Z6SrMMU5eWvavvh3UX0aKjdmpAZ34zuybo78d0yFBczT0+O3hCEHB
K9Qcf5wN/0nfQjuPI1dJm/IZmJJUe0lBFrYx9OO0Q3YulM1gk4flmlKpA+yW/cT+Chwtn6iuWXDP
fJI4v4J0G3U3qofiltttcIgR3neO0hTzo+2P05VqRZnvhmUTHLqkhRJjTxJ2GblO5nuT1DzJC5JS
uugGA649AJz4EMjd6HshiQCFE1lAXTwl6eyfRtHBqmibNNlE7WT9SoNiPmQ4QdUtlDKpIRJroNlf
C/l21NvpkVIwWIde1lnxiJo2f4ukwwvIAuzf50lm9cjtisS+atMieCoa+FhOTJY0gXe2z3UmCQfg
MlodO4Zo6y96kZW2K5PvikQy7fTnZJgrn5df6OUGQ68EGorglgfCZQv5INejbXpzN/jFJcIWP902
UOV/E5w3SN8nCSG3F8pKUHlx1Y7TIa0IEnTJQOiPY1mU0w38aym+Bw7gx09G6esSer2qGzApK5HU
fNFkP7VAScRBEV90cz/24MTzyUgPQyijQUELKxkXJk15yS3qoPgWY4NsnJI0KOHFQSI3aBSo/zik
YHU75BFgTrh5+SCgJqP8bRpt+4OAa/4VRQ+nYSFpNQ++ZjRbgxw1bTv7fnOdSVIoY4mO1QWEHVaX
XJuVxGmCzgcuOfUcMLJKteObiVhucknKRhl2RZsQIWJ2cXcxaE1JenVSl/3Gl6xwSXqVpuQqs+T0
NwUd43oSMdlroa/qsIUGxThQr6yfhdaIyqX1YlwBtYvxXY4+l6CxBPUCjwmwGVqgaISpJBN7H5KG
qezLqdfoH1Oin/d0RnP5shPxJG0ohanXZjOGwsukClqu6NDa7kFRVV+CsZfyPejlMrkmC9eObutB
M3FaUDTaK11TXOIVzitg8NKcPoehb95YvkUoW6mR+I0LSAtqRykz88ATavNWmnIWKr83qhsIpdJr
15bo34kK1sBjjZkP6CKN/cMgYL9cjoUSBBdItu0LJeRw5DLb08aVW61QvUQbOnU7DiNRR6I00sht
FL/JtkrRg6Gg0wvWIS6szCRPJ+y0CySAoN98OcDqPA98PLgpGhgXBX+4U1hj+WyCzEAHqtJd3ar8
xD9tTNyEnAdpD2ZPjYIvvdxmlVNRhH6kde/rG0Uak2mThL6/b6G5mA4cn/S5VyqsEGoYzrJHJh7r
1ZCo+Ua1+Tu80g6iKz3i74MupySRE5pV+Kw1ka7tljt6hTq+NO6DBH7cJTTS4oqGDaAGpGOYspa8
ZJ1tUpqArIrZXFZINf1m+tQ1nAY+2MPM/vpadUndOtynA4TugIhseHFT9OQ3FkQ5PNt26ZThPEY7
q1OCH+NcI91Qe6sxWJhaRXU1P6XGQiSgOHQytFCnrudIeBXloHLhsIU6RQ+ygrZGN9FnbIHOEgHZ
JFwbfNBnAcUAdX5ASGWj+Per9vskivLVanLtiUUcUFihBeJHEk/Vr7JqOZcZUhTzZjUzLHZTXZpH
fty5dMvWHNntijB5kMpIyTwOFh3xU2oLeS8Ti8o65Ck5v7eKstGiGvasiMKxdPQwIhORakzaO2wq
SuTl/UAdWwFs4ZJTVMgE2RfS5JidnQKizWjje/Ngabsi4DbmVrXsf1MLo8lpUEnxNwz3+rfJaKuC
QlATqZsWUNQjpc3A8tTRTm6HMeNN6HalXNea1F5DylO/xnluAG+Aee6AdOmuLSKEAlcppOgXa4bI
3MaG7OBoBAywuvmzuCFtAeaEP00gtjhDUsFqrRKGJI9qUyaC5UT1yC/MC2Oi9+MJX47Z7TQ5lGCY
Ga3lDF0ktklacj/PC9ZXZyoz+VFEqf2dvnsW4nWrOp2jV2xetMStsy+Uivoaxo2RurWcRM8FKYAZ
VIc4vRJtOnfQqQoZ1sxYDKoHNmx8rJs+HDhBF1W8LfIpAWyaQP0CKdJBVMuTSLvnUAfGrSQX46cx
TdKwT4ehy11RVIHqTLWdCqcEFZEtLviSW9gQ8GU1+QwHTtbC7qnKpey5iqQ5uADIJu/iKYKhCR9g
utT6LDJgC4JQctQsbb/rImifSngxd/aghNVFJzoReDFKqgeRW+UXNGjlXU4KYwIjoeQsmHLh3ua+
WsgOJIXk1rCkZ6PS2pxWT8ZiOoxSR3Z2GvX82vFoKZtRsSU4Z4Vij3vK/cQS5dCNrziTyNQooz56
AY+YwT2jNh3s/E7NY0CSpdC+sXCLGGbarML+oFfDtbPV8juTxoAG32Gaxa6ZErpKQ9oNrBdGpP3O
iZlTb9NA8w9RS/6JE7F+d06Dge8bCzobzNjEAohjmyhfJiuzI4Sisf6NmodsXkWWlSc7BVJM6tA6
9K2vOWvt4AKDGabHgRN/52gj7JJd10Bn2lIxbzqaWjReyZATbPbDBNdkgBXa7jhq8DUVMGSmSzue
Zf9JUOab90molMWvXDbgHspzNXfbzgqMY21J8eQY4xx+0USlwosaGkKvO+5+P2hvQ3gesRNIlwZc
1+8hsS2UNMlideRw6g1PWGPxZEdKClgOSNywASeiYlcqLP6NkCuQS1Muzu5HZQqHm9SvS/2V36+T
HxMfqRhM00iWLyvWmWDT2rWaXoesGlCyW1hfWVUP2YWkx1l9qaVjGGwH4vyM7yWg3Gto8cZDpIhO
26KwUF5hcEy1Z5DBk3gtU7HxsgEz17bptC7xxrQQJZ26rpqxA2rdlZ02tbTxB3B1MUjUdmHflJ0n
U4yKPAyTbYG1oBDU02ypeuwVBMDoSuV+PKhKOpt3kyDOcFfMaj16ZmQNgWvxBcsePcExZuVSiZHR
2mT43cWTKbmo9IqnTPGlcj9lNQeIOerk20BW2uvBtEO4hSLLnrXWmNgxpipJtmJKk+AaCEpEnCx1
Y0/xucjBSwCCtTV7Ktiu3xU4tSgby3dIowcO6pbZfO/bcKj23GIgKPHY2UtZyuYNRwlJ2kpwCian
qVtzcPtciVRXZzW603XYnzsIgr25aYLW0JwpqZvfXJTlB4BJ7ZF1Wiq2hYyFxRZDFqDiMtR9okhi
cnvydn5IvjQ3vHfuEtuaR7uOuauybEwh+dJWX5uNw3+xuR/luOLKkVVSuYMvVN8YdSWP21HhwuZp
mTo1DiFRsn9VJkp5naGEIY5kCNIW2AHRzRslTrNDmuF5cOTKUH+NYcUe3ptwoVy/r5RN0Ej4BgrA
6FsRzLJw2q6P8kdOYPHGGpvCxbgH6rnUscwAqYK15tpBxc6mThM7b1zPgdv0GfT9UE0aL6iyokaT
YmuV2wO041ZhJEFCBHw2R1AxqXDvsBQO9U5uVHlnpiCWrsuClSeJakW+TmZFvcvsrtJdUQcEqHZL
L5nLjiwZXkqk6tOoy+NPWZmSHJLuiFq6qBu79opGMkkwo3Luu3q/GGZVGi/XncH/4RQRvTu+LDE8
J40qXm1rtr9M+qDE+1Qy4BJKBIpzmcv8n3LVzbdZLAnAsq2sH3t4oALCrmQVW9bcEflrnCntDSGk
en2jluP8rPtVUV/W0wBh3e8XLjaYYq7j7Dqvg1Yb/aaf7FJ222yBKarWJL6m+RiTPsc0HTZDM00A
5vVpNhwVArN9bQE2m72+q4bBG4hnu0k7DMkAAQZ2PwWh1+hGOflEF4aZhz8lDuy/TD+YWxfCqoyd
H54Yn74m0Y6N1Sz8DZM40x7akUYNzq5mOKBRnvoL36Z/tKMSOr5WIPY4nuaj/muJpC29Ati37pVG
YAOfX9BmsZMiLH5IYc+FblHSBmTpIlmCd8uFk4eN6mMRJ1bIdUWNcho9yfhiw30HmxYTnbDppE7c
cl80J+7HlCbYfIT5AA7Awj2iqgFUJ4qjrUuLF+JSgbMFULHkxzfAWE1pD/shA3gJF1S5rJVsCrxU
66m3a1LYfYuGBZcpjMzE+e0n2VaL6e4v3S/6WTgucboFelS7ugBUdCEpfa5t1IGmOGbxDF4mIMPo
rinr5R3UuvJ9HCO6VOyK3XEMh+mGTv1wG8XZ5O8FkIaKU1cp3cCACUiA0or+Ea8Vkb/hOBYHwoAy
qHeo35EAjZr23IdR41/a84zGdTIb46LKzOr37IO13agYZSWnm0WYeTaJWA9QL+urUKMu5RQGcDYn
JS35K5jkDg9y205UMiVbbi5SPW70W8gnJpjVoci4iqPcuOjVkeMvfXNxhdUPBK2vEXDgZvUEQFN0
cnyYZkUcx9o08WMkCvsnPLBQuGrILdIxR70ZnM7o28d5LoAyFKaZcZUMI+tqhKDiX6maoOzRcayS
nTE0mocloOPbDBf/2tbKIdw0BWEOnh6b5q0fCuMmjsr5JWukVrj8t6rXME2Ml6Hi8OzYvK8nCJIN
6OHIVI8YdxOVIcMxdvwi1X5SxQu+Jj2oLS7nkdo7Pcf/BuKfXd5VQH3xz5GUmnDhJYGBpQeQ+qaV
xUjgIp+TgCYN/JN6RuezjpTsyhwKmvzaQEAOPZIghmanGXX7sx7j6PXzsvi70teqlbeUb9+UhBMD
bJbfDjTToLuZJg2872BuUvp6LYxYX5wpgK+r/qddNKpWp8MBWJXlxKeLZoyql6aZO8mvBEgDYgzP
NGs+fzA61KcjDRLFDrXv85dR6m8pazOS5hpWz3EbwFa7Ve2Hz9/kut21frRVbb/MYcA3BNm8lAkt
cN5mHt19PsK61bUeYVVK1/MykECf5i/UepzFxiY9D+OZMd7VFJf5gBgHpSy6FcSBq9cWlTqNJyV/
yffNTnjmTtr/XdjGv/u3b4ZYvahxbvTWGtX8BRn5ps5eQuWcPm1lI3g/xOpN4SRUIB3xFNzIWPpz
1SHC/nvl1Zv50r4P7mY33H3+26zbHH9+mzcPtcyON9+Rjmm2Afefv4RWR0D0ruoohO1Eke/S4CKX
fmDcOvMpfTjf3oy4auao9dTUZsKIBk4in4C85lwT8sOP9c0Iyz9/80zUM9mkKKe9yJK8FZLYG1Ch
ff8yac7IT9715tZvb1XJ9jH/RmY35S+YKfYIQt3JrNlmU6+rDwC8XVlptnH+u1bOIp0+XCYQaMGe
WQTE+mq+UzyeSxqU+Yv5FR3HZfY9uiwIeHCSnfhKqSDx4gMY/K/T9eScS1D6cMq8GXr1HdAomIxI
tfKX3j524zcuJsFQe5b2Igc3UhruhPb0+Rz9cP14M+Dqq0DXnGtTbeYvGV+c3X7H2+9CjT4zLz/+
Md8Ms/oUZhqMZgZgjCVE2X65uwPD7QEdOjPMh9P/zSir6Y9FI9Q6ijgvmUmYBMesKNp+/rrOTY3V
9FcnIaGg53WV8HPbDSULZcFUuCPBWufsVR8uu2+eZvUBSCIhYUlhrMJyza3+ZD6BT87OvDLl3SiE
PNOgZJ4rNjljxuqXqeYiEOo8Ki+qMQ53aL6A1vYw5mcjnr0pXKS1VRscaJBpJC7lqcthMfkVkxTg
daNAsh432ehktiG8upB6l2BbgTC0tM78oeoyE08acjY4KF38yWJnZVyC696uPJralXLSVP4vBKN0
4rnvjIlrknMVkjdrRpHXVpr1mi33WKfsYsgXWBCITOm1xrxXRlsDaKvP+ZU9+fOvBGMAvf5BG1qH
805bXqI8MElqsWwqup1EXHm2tMWdXp0tLMAahGBfxeX2+XT6eFNa1A4LbGxxaJw+lFnRYc2W7duK
L6C764VjHJvH4Jt9T8lyHxY3BNOc2wnf/eKr4516OmYWZ22kaJyCMivm7Pw0+7cTL66k9xuci0w7
K8xarS/I0GEmZRzusmN0E10m99beuEO6Z3LVvyYDLYCg/Ts7s3d8uKi90aKt5rSv9I2ObIFz3vR1
tn+UpQvy7PNf7sOF+s0Qq9k4FU2c0dtkp0VY50jKvcQ8lNq7pO4fBTXsvDva4fOfMf8/8fK/iQF7
8/q9Y3v8r995S5fn5pj9/p//vjuW3fG/bsi93EF7/308ib1c/tV/R6zq9r8E1hUFUsmfjFVW739H
rAr5Xwvnx0aPQWsc4M9/Ui/5J0iSF70w6wH+OuwS/4m9VJR/Lc1/aIML0kWG0vY3sZfLvPvPEmaZ
iJHRUKHY5z/IZrSGeUB/Rr4LMu+6wbsE8VprpddcEerFm5dz989/8G2Y5enc/DMM4eEIrBcgJVHm
6w/cnwuJhrl1LbVl+k2TWchF3RY3eC3zHwE+oh+g1dU9+Dn5RxUaxl9p/JbhOTPZWE4gRKjQRFaf
PJj6utFzPTjkMsF5SmJlXjYOXz5/xvev0jZgnqE0xQ4Czmp5B2/OoaFs0hNXgvAAJcx36beRRELZ
z/18lNOF5J9HMZeg5yXymf+9/BVvRiGxJPDtKQoPMp1MR6LiSazYTJ/LymTv86E+eiBEZvKi7DPB
9a1uwUlXMa0B2h9IVuiebWrqWwARyOD+fhhM4uz2iERASa5+nBZ24kSkQngY+6zdYCuQydJJ2jM6
lJVf5s+LW9iZsAYh8qFqWy2PUd8UVKrk8ACxpjw0pDvRU5TTbeGrv4dmBG/WACHUus7aDvi2vX6c
C+59hv33cxGf1wL2Adq3aPxOf8CeSD5fQox+CBtwbqGV6aQtmOmZQ/SyS59+18xypJnYLDmhWGvz
PxVCDiOaGh6qRH4ZILQ4tlHe66RYESswGn8/UyAMME9YqpCXrYkylFOVOrKN8BDRSdt1pHY62I6r
M0eTD6Y+TgMZAxlTny959eaw/PZc7er4oM2jD80krTxOKr8HGRHAX05JAbIA9yRqqyUNcu2LyZJa
SelTZYcWFwOyNiYP5d1GObNivPuRBBOBOzfmNJ2vbJ2B67dWllhmyYoxI84ygix5MQICSAk2su65
1p7z/r37oBnPQuW8IEyZe+vxJkVrhroJowOhiIkXxsTsSZqVbf725SFxxn8Khg0mJQ6e0wle0ZWs
LFrVh1HVlT2Jbj0F7kQ7M8r773lhhjDfkE6xSerGanUqFnljbfoZCkKRO/UoZKrz1fgS5YW9DdtA
vUVgfa9ZVfNa9nVxS5ktR8FRnJPlvX+pOrJNU10ccMvqtVq+Ij2dCgV/30GEYgItKb34UnROEvvB
IKzDXH25/WPnWZvC0kYtuop8voONgmfj5zVaPtOo/vYz5rT/dpTVoxDj4jepNoWHVk1ILlMFMIeB
OIHP58e7z5gtZfm4OHdAmkHrejo/7Ak3t6wU2SGTVEFMzwDwMJS6DdU+60yZ8OOh8Fmgx1wEk8s/
f7NZyoU1WIUpZ4cpU4yvGm5y31Grof2eLDaGM/vYsvycLLmCXYwVEPP+cnFdy5bnuiGUwyyLAxCl
uxEl4L4ahUrIyOQqcu+mFSQ2Kx/OwUjeTw2G1XmPmKJYRda0b6DlY98GdEosJUCSnkW+gzwg+esf
jVGALwOlYkFkup++SSvM4xJBS3EAYWKVbq+S6XJVoYeiCNa2UbD/fI588C6BRvIJ409Ekr02AJKp
NDdc6ssDfivFIiiSoApi3Tr6NdZs3QTmbL1MUmccxhICyZkf8v2yzGGEM7esYdZDML2aNQGJiIU2
mtWhaNG+e4RwmoGDeT9+DMNUeyIWFOT158/7bqJy8hFcAtjWFoSitXq9akIMUxVkzSGgZeTA/6T4
a8coSnxFP2NrfzdfGIoDiCLY1haaxurpYDrHplEW7UFXZfVVDJFyU8oNmrq/fiLONyxZS9oCvPDV
LoAghNZYnvaHuVP6K7C72TbrmmAfAMv5+flQ734vTh7cTjjS8Y0vaQunc7Owk1qg2OoOtYXsIuVH
uhyINHNnS2ovhNJaZ05wH/xYcA+5fXFgVWDfLG/4zaoSFC3dB7vpDpLKA8E1b718SSQhmMe8+PzR
3n0Hy6NhSjU5HHBJXMOLmXr1KCddd+A0pBzJHkIDGPTZ9UjWy00+14QCFjZZmyYN2cPnQ38wT3iX
rCqYExY3xqrkPM8qQs1G6Q5DkgNnFprylGvhfPP5KKeVH07lywO+GWX12xkV2ZAd6PeDhuasE+SP
qjjJL0iy8B/iOB1AnMXD354j/4zJOXvhN2kgF05/Py3XSlRjjDlYielBGftZxQt82J+C7edP9+FM
AfKzYOPBh+qrKyGQ+KDXWrM72GVGE14Ds9sAVgdtr5w7hnw4FOvzYtfhuL9uJIIsGvsJodZhhq+/
V5CZ/STDfb6MGpGf+c1Wxso/PxqbMcgndHA47v9U2N58AI1q9ENAA5kY1oq01tKw4ptZMpJLFJ7B
AR26ml+Mi6bBSdANoNsLMvU3zpn8tgJxeU+oV3qOzPvBbLX4/qERYa7mdLv6JkuZfEg2QkAgA4KZ
2R/Epegj/8y29NEoeMHwbXIfXtLMT2fOHM1SO7eMMvcp8bNVN24TjqGbz2fNB+sZ93qKJJR32IjW
PFDUqG03qfpwUAe22ogtcCfXMZoqJa1+dk0T//V6hrQCSQVMHqpJ3EdOn2qY7BBBgTzja9FVN+aH
cs1Gqly0Q6X3t4/GpBGcIiCDQuRYm8WnxsyLORXyIZZrli3yX1UF5Tf1DE+qBtN303ikkfb5oO8X
0YVCx0EC7zgF7T/MzTfTNTAzv1KVwD6IbrQnrBZ6E+0A2gBYmTXLLzdN3+b9XQqmvTikC5fhzB/w
fpHjlkfcETsGrTswZqcvmNRgmSzfSDoQNGhdDmap3E6Z1OyI2MLUFzc4O7y48SNxZtz30xUsJVdY
ICis4+YaKIUx0GdrLpagTdPaYLnBwFD44Zk96v0oy+5ARWNJdgEZufzzN69XVv1pNArLP/gJEbST
wKZlRsW5YhTlQv47J+dr7JAYTSFZ81GANVptFXopiZQfWr2tel7Y/WiOktg01qBb99ArkFouxVKc
aNWszNfEn6viMqtxemNQwYGcbeOqzHqXDLVm2JB4Kxst6qTUKjDA+3RnblBqUhjRxCBLe8g5tebp
dUwmOcm4SCr1rve/S0YuUa6ZNJFeJKVfql7dSwU/pILp1fGrsmpoQUXK6Al5wGpi20WsP9XxnE1u
6WfzjzRXo+QO1gPfmBqVjXGVE09JyyoYiRH8qkQdAjEZ44O+hTbfxUdiLId2q/WqgGrekY59m8R6
86o3tdIvQaVSeE0ASin2am4TYtWlQVl5hMFnJBVXBItfaMjkaA+LrvkZZLNpehhFrODassCOAy7Q
Mpw6jRZmTpgiO7lGSltey/KYfm9bs9Y2MZWq6MGY9Ig9hRPzcdSQkd8QT/y/nJ3XctxIloafCBHw
Zi9RjqRYoETKUTeIloNPePv0+0EzsatCIQrBnr6YmO4eZWUizTG/KaKnEKjveIjEZH+rKS99kTDX
TU+TkzThsTb7PDhNSe+3X9KkTKRHSHSxdT/YUEtRfx2RC/8Q94pRQqdBrehpwmSyP2IfZP0DKAoD
1zATdnKfC0Dje39o7emutAogJWWK5+A+ijsYhR3Wu819p8dR5oqqj+2jr0rDi9TNSMZCLuOvFUyU
EMtWCwfpGtqHvdNaDcM70J/RP0Uo0/ApZUOEu4aK7r2E5SNsxLqG61MA8Y/dLPHr736vms9NP1Ag
JJzsoke50fNZg1V3fgG5t6edDW0g2kUNGcPJD/0x20+mVOhnSXRGf0wmC5y569TEiYeQgoX1lIEn
RMoKNw7rO+8hiG8psdogBpRvlPahsCboK7nk5N+B9OH1AJgOe1gwgu1RrzGS+pBUEXbycD9k9dtA
WS78NeEDrt5JkWHnp9SXceuG4VRgnhCYYXucBigyR8uIU/neV6lgH2sDetDOdhIMv12KdslEDg4A
+QHVwtq8TxpsbTUEhO1WhzQCV24vaGiCMU5Aku3rqS/HXZ3gP/vOTC3cJzuMh9pv46iU9dHpey06
Rgk2jAdEGor+oQbIXNfuqBmDeGcbPTbPpWTMeMgOUPm7qhZpcjawYFd+9n49iQJD+Tgszi3iGgDh
a7uDJEKzVb1v0O+LTkbsF9I/ZpfRjSwQ4+v2uSrn6amrIwfYY5CaH+gmhCAoYewo8swwBLVhOiHS
GFZa5NVpav2muI8S/s/uGNtRepiqBvPBooEP9sBLqZt7E+Y+TqxkTf6hx2z2vRmIHl/JnibHU11V
TYL2ZKHaX4M0TbLOpf1Qic+T0pn+z0lpRPB1xOGvR38hxcphL2Q5C9v7YkpMfDcle9Dqf4q0NJrn
hNM+PkoFWc4psTLq302hNY3vxiFOktV+Cvv8Z9SJGYQNWBWOG1KIQtRm+DAZ2ninJf1vnN1BJFNv
A4kI+rlpi4dKqMovgPCvTWU9BU4IcaYwXsYeTKAEeWlXV4Z8sIw6+123gzg2OMLuHerxLm6Z8L0D
ZURppGpPdVN7AKC/iFpnK0VBtCti9amJJN0CnJng0U6I4kbU1h/atjhlZohXvE+1WUbM2kVVvfB8
eKBHZ9J1Ny7H/BjneuuqmH+4CijqDzFq7/tiwhcX0/CnCC3gXdtb0p2NxJDnR5TtpNH4DQe2h7pr
nnFxbiGKGhIo/Vy/T1XnSRO+OHT9ENxNivZ9xKBjn1jSI8x1GNtCFEeDitapgb+0h7LsgeHEaziV
/O6rqTV3FuSLo91E2se2zx+dLp4Ow1j695DJ4jsCWjjEQKlBlsb7FiP409gl72TDt+a/DSa3nqoT
5GlsjgXMF4C+4UE3RXHWlewbuizKLojHD6UlBzupM+rjEPnlO4ocwVe/j5O9GMavtaJSblPl3p1I
zGEvpOJUQZdBmfAXihKg/33/Tm9Mf8RktSgHpaY7gW/AndJqwLsRAx/JBmng9flLgdG1hG9r0+bv
+yx2pjvcPfX0g25WhrOTykiRHrgnETk006CL7ioAzcbOrEIb//DR78WPYRLT8H6shDXL+VTQ3Xax
HIn+11iNefc7iUa1e3aSPGi8ONYnqvBUSbRTUYF//pWpcjY2vGPGNH0cxeQD5pURV+4eShxgqh9p
PsjVeznPRLSXOdHxoUb2wHnIxlbjllTl9FmqNbi7aT9p40mJ2yy7U2KFlA3Qn2Ec4ZgE+e8M2mKr
7ELe2tiGN0eVrN3p/aA9+oGl/1CAYDj/+FzSwcGsAaIfTAGL083xRu+x0EmiRruL0c8Y9wknCp5a
ERpquhtwMwM6bg/m1y4Fn/nI62X5rh3GYbKX1CDx8npwqgNFKhvoYd05n7Mws3lwUdv96ThInLl2
I03DOyerAaEPONoDPx562zhQlsj0u1DpHNltjAlurBNinuA2qhySLQlZ/y0aDA/dPjNKxW2JSNND
n8bRN550DbCZYyDiWkht+BDC3IGKVWrgTNTRTrMj2qTy+wEwsbODZ6wz0zaX9I9oNIY/yqxPJmBU
vCqPpeIInkFA+8ne7ptW9hpDIOJji0jUe9aF4G20B70gDQiKn01f+0CXs3YqXORK6I8NElDk92LI
puoOEYhIEbtBKpPm6CMzP54qf3LCx2oIYU64wJ41tAwasN2HMLcyc5+pM0DOHqj87uRK00AmdGaF
Q1JTQh90s3RwoFrHsQKGvS1jHjBcTIwPJbBi/OYxYXguHEo+vMxgw59C/F4H9CqNWn9uhR1U76sy
jbkvIySr9rHWj5HLtV7nngPDlNu6gj60143SLJGj6RX/1FvQ1B6sKuykDxn47tTNSrn4RlRgYiRD
vxVgZl87bhwMbXRICfK/EeXL2UPJkSShV7W4+dmGcvkIhrrDoTsKESU48VgY8a5pk6QbEHiK2mbn
T74hTkOpNuYu70Lo7ElHCLrrulxWXR5g6Pq8zKKYgdXE6RLSfuERAGwPWQM7KBSL6rIx5Xe0yPrR
dSRaJMeKm+v32KlxdM+/Hr0Eet18rqtiqAB4D3MsEaK8l+xseMxYHA85kOYkMtg1hl5l0rPQytI5
WJgsGy9l4HcQ7msFsMqOp6Wo3w0iLX4ac6B5D0zZEsiuhzENlyEojH6vckz7U5kr2nhW5CHIj8Uk
tOnk08VtT2rWwWzCIRB2IBifJNtXPVToe6eRws+RlVW6q+W59YIORGS7JQLFOfxS3/kZRYoawxNS
ez5e49Nyroop+IeySSnuRmJ6cUzjmTuqBU1cbVQur7I1Cm5IaAMPI9uYpVgu85k6HCJbibrQE+iT
e3Fe5NwtinjiIcN5EXP60dXbfkvk+Kp+82dUbCwI/mg+LluoBPVJlY9t6Fk8Y/eVIaJDHAHDL3PE
m27nw1f1hXko3IsoMFBZvJKHpXiuKEUzhfDla3g1kpycR0RyIxcvXFS91DzaAD9dZYgMSNEEy08V
2RFQJpcragXYDBi5GnpDpllfA9tQXhNHzzfKJquj0LFFPwdAn2LP3/XvPBSL7GKAD+xBlitreHuF
6T854ySHG1W9tYHm8i/o89kGailo0Zl6BxmpibzS0Mp7FcfLgzbG1VurlCwaabUNogTtDGytLqdT
NHUogemKPLArwZ0DHAGWZCzOVoqC3ds3xGxyRCuVQgU9iMuhUrhWHOM+8gy5em5Sh2tCJGgS6O0r
bd6vtwdb2+hzRRsA/x8hGu1ysDgPrQrER+SJOtWf5KAvf0z1UAGOVbcK9asfinoW0q/z51q2OkQq
0lxrUoqTihbwyFadX3+WHCvsPt6e0+pAFF/p/nFtUKq/nFOqR5HQiMw93xcNqQb2f581+NfNv9ji
M2YAJBPlZPvKcJZXQRdSHHtI9rVfrNEccMyYivSNrmFAzoBLUc2ZRbFBTi0xoFMJ1RkZjsiDt9/u
g1BBssyyw5e3rhpd1ll7FGWY+SstymJ1E468pmXi2dUwPKZlJz9mZpJuAH+u9xu+ZFSLEMOaNQD1
RR8j7WjLyE5nnds8RbsUwMyOIKiEOJSqb/48l0MtKlRynXYwAUfrbPWtci5lYT/RnNoCy65sNkIP
AGBzKZWy7eIA2UGRlbronXMRS2hVIKgIpdhpNkrd18sGzID+J3uA3aYu28odfHtdSavAK2Du70YU
kUj59VIaoNA58ee37gS0r3j4HLApwBqXBVKrs1T8OpyZUBDI1ZMAK4jfb2vqGzf3ytN+Mc7iiZjM
KXNCKQu9Bu0KtxPSQal/SVbeuuhhTEfEoLb0GNeWEXgIXXPM8ebL4fJmSAa0e+YA3IOmmrYIa/bZ
A3wzNbrrjfG/aNwfw/8Ev/L31yjLlZ2hA8ljl9N1xWl8/jF/vYCj2sdSEsihF2UWdploKlpEycOW
ofn1nCgXAy1DQwwjC3yJLoeh+Ck7FdGqVwdp/DpFXXk02pxcP4XBvfE0bY01F4X/mlJspzbyA1Pi
dZE6fQBbijZ9LfcHqi3BxoN7vXpzWRmdXpRsgYsoi6Faqn1+AFXVazLN/0xhQMGsPbLe2myB3DB3
6WhT8Z2umhGZWWh6FWWx1yVRbR0Us3fa5wpUW7dzMAPRNo7x6qT4VEB8DXApy8tC9pXAMlqNKKLv
qQgM2A40Srul/z3HIheleRvAF08sL9OM/PojAfbXV1Lner/R8tD6SAiRDAIhKbmUjO6uku38sbX7
+BHupOQhIzVQ/UDs6o1e7POThfQY4DYUwGlZO4uvZ9QxdaCxjD2rpmROyjb50a7N4/yLEqAgub99
Yc1/2tWEcfyaux4EaPLiptcDHXKuVMUe+g/1kSyIJqeJrIKuJ/GDGbfNu0DU6l3l0PG9PfLKB7Uh
AdPSIcKd/3N5IBAOiZw0C2MvHtN0j3hMdGh7ddzYpWujQFoB0waWybzC3xj2kMjo2sVeBPbxiynH
EKr5m9GW3+L8xC/XEacTJGNnEg6B2uVsfEodvjGwjpLWTy9moxcvMTpvO9Mn6yqo/zpvv08Qd+SW
BFoP4FhfxByZNfZTgJWKV9QAb0db6o5pjd9BYznKRngz//aruXEJm/MrihfiIoAXAl5irPuRlwR1
e+RMBGBIz0Wnyp+R0un28dRtNfxWbkt6nPxFVIUVwTLg7anGpxHCSJ7RKfoxI5N8sKRBQu7Hqjdu
y7UTQDdzVpLk1sU95vLLVVEDbmPgHkO3PH0xQzTgy0bKHvpGyPtOMWLDrfzCeagTqzvcPgKrs5wZ
YkyUcshSBXygLK7jRBJ7g2LW3zSniWEO1HjG0Vzwm63u+OoWxfwVphf3Czfc5UTDMCtHmzE8u0X0
0S+0Yh9OyAOKThHvsCfRX2/PbnXb/DXeYttkmEwmMnUvL+vRao6t9FfQSombDXH8QOMqe1SSNNtA
dKytKEZRoAjRlpwdlC/nqIk07B2o/x7ymuM7Pw7t3u3CVrz6IYSjjbtzwbwkReKq/nu0xdah7ER3
K1ZjT6nqQt8PGK66NP/893EbDycRi5CeIoXgsbFb9EItTXyBPrIVWSyIbv/9GTBf/niX4bWwqPM4
fjg5fWTxEvc9FU+BwN3PMkGnfxZup2Lb5QEGFsKkaUgLK+8/VIbqv2+jIrjLCrT0hwr/7NAURrFx
xa/tABzVgPoShai6s7ijbLvuTT+WkQBU2vCQ5HFfH4WSUCAGx9Amp15Y33nsi40qzeomQH4WUBuJ
Ob6Bl5sAaILvty2N8Nag15ML7fMU+/KhTE1p4+5Ye13Ix4iyZpg9CMvLkUpbqny74e7QhpnP6It4
b46dfLx9kNZuKIpbtG3/hCZLvECTozRbt2Ps5QBnPBl1jRdEdutHFQWh58lqHFwD9OZOQWJ5A2K5
upIYS/HtbEpezmIl9SqRi1oosZc4iXFwagQEArXTHmYTpY29Mv9Ry0cGQAkKYhBQdWcJpuYBayPC
8MSbhupX5rBVm7qcftWlpr5S+xtPYWiPr7mdZ7/oedYbGMHVM6QR/kAhA9BtqPNW/ivwS+Wg5J/4
iVeRE5wkCX+GB5RbcUlSh6J6SYqo+WJluPC4Za/8HDLjdRSdfizsVnvBcpbub2j00+vbPzxsFAOM
CDgtPIQuf1QyjhWlY0IkOdconlaKMh39Ai88tR87SnWp+EZXoX6W0HjZWJC1PQelR+btxUIOza/L
oXst6ZxcBg5n5X5v7cIYLWsXHR8AC1Um92IvaQaNX0VOrHyPjpTTbhyteYCr/eBgl6fB7AOKvth6
kuaHJAN17KlTojyVQCs+wTOKz8ogBftaDo2TE3ba2yQY/nOVguWHw0IJcT7Tl9N2SrwwZKOIvRQ3
tcA1ch3JWHp50lNHpfxeE8qWKsHaEdOpJZNLEfbjrHY5YjCGQ0JHK/YqDdOPXZ+1ubNPB+SqXCtK
UaK5vaXWllXHMAviEak8kcflcN3ky5mdOjxZYWUzTl9+r5MA3I4TRuERUSnnd0im9fn2qGuhB8wF
0rYZ0mmqixcK1kyLuB8PQYu2cONOQYowkUrP9TQTJduj1ir1p9tDrq0rmSlKbSRF6MAv1nVo4nyM
YYJ67aCJJysMhnFfVEEXAkXXkw//YjA8Y8BtwxMibbtc1Siwp2YUDcm9UaWfjRZ04DEfovQ7iiE0
0G8Pdo1aJexgMNxKTRiYGHZdjjY4oi4dm9Wsc/IYKU56evGIm9ORnXamguhxqisfIrlGYShWQ/wZ
LNo/QW3lroQdzL+4uAHl8UKAmqLYsNhRc5kK/9QsoffaJq9+1jRekocUJ4l3bE9LhvIJbxjfdNFO
LB4NmybAxi+4ZlDNC8JdBSGXl4o7/HJBMF6pSgPdEq9Kan3nKLU8PE6dMSKvHE1P6GNL0Q7YyftG
afRHKbIURBeVWeayR27w9sdZuzdBSNMHIiWjULsIebogDkuEfxMv1kP7SOEqnyUUgvJdW9jjsW1D
54c+ZOm5yHNza1/M3315Zc7sYLASKoamyziwrtoxSNHL9kQGOtXl1tK/Nkg1fpUaI6525lija9W1
oe1OfdEgJS7KAUXdEkb1RsSydsuQTVHFgAnCRl3sibjP0iSZ2sRT2hF4X1TRX9qhnk8Lehqp+B8R
sfV/S1IqTxux39rIFg06lTSHG3XZWGiYl5C4z2aMj2K5QSHk8NCiMvaMVp6Mkwfoo12LPvhWyXzt
voFZPLc8ZyOPpf2WPjj5qPcSL4eRp4/KUPY7XRblc6dG1kbesTZHuJxsMQIzpqpebnek39FzRdrS
g+qsHf0B8VaKWuY9uF/pXZ2Fn2PRyRvruj69/x9zEenWhg0ssBCJJ1MZe9ePwTNYAvEO6+js/vYJ
WnsrqFrSs7bo4UHCvZxdDsSvlEEbeH5eYsLcq8k4nUosXtENVzGGdvtWqjaindUxZ59RCjgAupcX
iO9o0JPGIvF6QTve1ZsJUxROOMypRHMOeWdtPftr9wQB5Rxc2eyYZY0W0ei2TDQ18YYI3JqPSVa0
U4Vf3qlqYr7rrQj1wZpXci851VbzbXX/EFFRVpmjbW3+53/FumEHeqtT2T9SUD3ksu+Z8QCpw2w/
SJFf78dsq86xmiijG/F/Iy4uaOHgR2YPceIJFfysTui1r4vSPwAorx6sukHP1xKvGWrSJ7XpplOE
mvLGlbSWqqGlSgsQagWAx0UsTc0WMGzBtlIzYZwiRy5c2/S7jXLj6mfFfJ4w5z9M2sulTfHnnEqM
Mr1QWMnRoLaPTYhp7wOpCx87IOvHrhlnUZMR7O3tc7N6Qv8aevFVTYTQ0JNUaGbQHZZcByOWT6UN
5tGVrRlEfHu01eWc1QfmQwOAYPFFg6juKr1OU2+UsJpwsaYnsirKHrvy2wOtTQug3IyUB6WAsdXl
iqIfTD8gmhMzu1ByNzaNoQH8q2QUFCoZTPy/GI5ofCb7mRSnF7dPoRbI0wc2O9Wk4+BGIi2/AIKt
f0um36b/Yk+S282t6blToy3CxnSIQ0lMElddmxb7Grz+bsqHcGNPrq6gze3Grqd9siTLwwyo88CJ
Uq+hp4EVNa4F6kkTYfPS15Zdb3yvtauUUBBGPBwmjA0XwalU0yV32ir1MM5JXhodJ44Ks+GvyLPo
9q6mhPAvqkwkbH8wJn9y1UWw4QtFoHAxpZ5hSRYxflacOqcBi5gCTd/l4ai/L/16vHvzRnHguJLM
UIC3eTgu92VjYMGhCYItfdL83rUtLaV5CD4Ncdpa3cgv1iJcCK5/knGbR//Kdc2SfbNCMJvyhIC3
0Zn1Q4Rz1X05ivFkBjixYd+RIRZdsrxGJZd7Sa+tr6lSi43dtPJ9Hdo27CRjdl9eIirM2pdSbtDU
izt9KO7bygdR6GcyWNEqmrSPjajqb7eXeuW9QndoLs/D6mJbLc5kJSAsdFNPTEed9buSB3BWqkg+
ZHKnPUH58o8A4NGtvT3qyg1H2XLmq3I2kUldHM46LBy8m2Q+sJhGaV+FFvbudY8P8OH2QGu1J244
uMwUeWa5nUVsBQnRknJRZd5QjXpyUCqHBpyp5umnqclJl4H0x7OH+S7ujPhA2JDtwzKAXY36ytlP
6/LOFIP0/vavWvvOc9fM4BQTYy4pV1PloF49xpkH+Ek5NGUXpUhx5eUJIo2MlYpdvN4ecC1IwDVs
Lv7pJNJXZEzV75sOMfDUIwLyd41onN1UqCNMB7mfWRUyhuWt1kKBARUrs2IfZSkRG9Ne22tclYSe
9GN4BBbvGv0l4EEOx5qy6vQR74J/bCkd7yS9s14K8PpHttuW3sK8kxZ5G+JZc7cea13o84snbkhS
XerpOns2FmTPbSCb07uC8n2FtSci/AgVfUloSY0gfVrMYlG50qbPtxd/7WsTDlLKhldIU39xhxY9
xBJj4FQPyoi/ZtEL3dgbpIe/rEp0zTtnwtJy46VYW2rMkRXyNEBNYM4ub9Cq0kIz0c3Uw56++6Ti
uH2fybF+tsau2DepLN2F0AGPtye6OijlekrNNJ7RUbocdBiMUauaIPMstcsPELikkzxG8IxTubyD
uNC89glSc7cHXSj1/SkrUsrkFM3oICijy+Azbfy0kYzMQ388/0KxNwIwbvWfqynvT7KGLa4djchS
G5Mr6X6wN1F22tHSKe4xRw8PdpXrp7yAvLfxu+YlXu48Q50F2gi5KeEsPoGPGwt3tpx5woZC0EmN
sweW1yPIDyZgJynwvnwNllAXIfipqzVNUNy/YID6u7wcsTeSw3jjXV3biaQlZNKEEAjSLH7SGI8F
/nhl5tFmtnp36KCisjrtTEKM5IpXphuFsrEQaydwbjvM2TT/vaxXKNjs+KajZp40FsrRqEr13gEy
cw+FvzxiPo0Iuy2Zuy7DTtKFuzdubZC1bWnwnNKcJ5y4SsnSqA+FoOvsmTpiE/u+pU/ndpoGjQA8
+3RyxtA4s7mwFCpwV+gpfJuQL10ulWpXSUn5ENfV+DscAE3hkGvnP/0mKCAtqX368/ammffq5Z7h
1M0ZDrR5uqzL1xiBoEqPfSCiaIb27Q62hPJJw8122jip12ErTF/+eIubkSLnsgORxAN6KnNvrSmp
2o38T4NHsGjzByW1oCu+eVYwBQEJztuOwRbbrpxaB7qCCZg31U1sOcK8RE46iMr+zWEF64agFCbt
c/C4xG1ohch0EdEVtxOwm5qfZ3vEFbak6OZnavGR8C4G1UPXkKDiqkSkajWzpbxAAzyPgH/Zhb0H
RhK1rsBw+3Mmidl6qgas4uL0nXT/3F7O6wPFa4Yc7JzaEB4v8Rs2cQXQsCjxQFpZ7x2YS9NBqJ0c
fC2kqqAWCfX4B84cEU9L09T1oZfy8c1sdRRUqEHO+FJlhgDPP/KvOkcZ0pGIpD7xrGhMD/gLND1N
+ChPODHKCOKptDksZaq+3p789RXGgwb4YAZRc0aWoZMVREFOqEJaVw2qv0MXbQoOQ21n2CpmDL8P
Ox0/9NuDXt8gDArSVSfn4rMvkQ8CWchCHfjilZ5OPykHTjurM7qTjnX8I4l59LV0EL6+PejKTAG/
06Cj0TKLYS3CBkkKzKJtKXqaeu9Q5yV8RxMkFdAutcGJoEKlsr27PebKvTDHo0SKCk8qmiSXXzUO
0zBLJkoskwwde99mHX4GaamVmmtnUvvx9mhrM6SpMaMpufD0pZ1tSTUg9+2M5NLsNajCAn7TZA/S
J7tu8GGSkkbauCBW5kcHclZjNrheAXddzi8HSmEWjp96itrI5v3UyCVuULRfis/oPVRvfm4tEiqw
4gh1UG5ddvgnPW6NUdWEp6VTvpfRWPC6rIKeRinrpNOl+PTm9aQoL5NPAJWjPj1v47/OJJJpibDt
FCZsbKZ3U6Np6Fur4y+B/8ywa+Cybl2FKwcD3ASw/BndhTHyIuJD2V2Jo6kVHsQKVdoXg//kI9zh
ZtjI3Rld62BhpShb8LyVV5LyABcwBV5wQsteDHyYEPDsJDwuIPWTBGHuOzYk4/3t1VwdBRkshEBB
0l+pKilVoLcx8HwvH/L8EGp1t7OlfitMXDkDrB3UHdZvhuMtdiTqraLUyyEHmkE+fMRlcHLcPjJi
9Tipdqgea3XEmO321K4HBf8KIxBdJRITuCiXGwVTZOyvakd4YRMZz1Y46S/YWIpfU+gbL2nemlty
2tdrCUOJjA+Q6AxzX9KUYjHr0cpa7rWmKR3aAnq43zXSRh9lbVr4sFN1p0uHduBiN4pA1+PQtBkl
s2Amqiks8AxTYKvGZqeeVO14exlXZzXDOICAzAHH4tvFo281NioBnin12jlsIGNq+bjxDFwfMf58
fX59yKuAnsuX36qRJLpsVVJ6fSriB+FP6cEPuo53NlOB29bR8NUPbF/Z2CLXN+U8LKUTFJ9hxix7
rQXGd+mgOYWHgEr3ZASx8kBrHEEA03TwFX7zQgIzQidKAw0DMGSxkFFLDqcGYelVZvejLbL2NAZv
17lBSZKdN580B1mG5e4ooYaPTtdXXtyWQnMpfZdfx5rK3+H2ZFZ2IaG1g+QouNNrNbbRF3qQUtDy
8NeK3K6wggfFVn+raSG8QSq2oN7Xw3EDU8NXgdkCJlteIGOuI7qRTL0X5sHrUNrWTpLrD6bR2bsm
HbdIgNex75/7/k8MRl14qfeWNaWQ0bYYsAKXTPBqPi60eIU2yYHn23kUXRY6KHmVWXnohdNvteGv
DwOXJfQpens8rFR0Lg+DLYD2i6QcOeEIQAu7+tIo0+cAPNWuNPonUcjl8Y1fk0cNqOOMc6HAQGJ2
OWJr4FOvlY50DrEH3FeDfpBUZC1CYfO+TcpbI4Y/o1kcO1AOrO/iBlPwnu8QfpLOUarKdyRoDRS0
qJnuePDNwvW5HzZGvDrnFJwJ+P4kgirNpsWKRkMr52lJxomU22Tuh1ySsGbzVetnJYeDsXE2rm5M
RuPdnpMmJkcsfbmaNGE1UBQze6bDn1YfWumD3o5bgMO1Oc1a+YifcyAw3rgcZeirAF8oK/L6YULe
wx6VvZ3h9Smlon9rkMCEZuob530Wxl9eKmloxAKtZAzz8qF4AMmTHkYFT8Lbm3D+CBcZJ6MgtDnn
cwQ+VxRVbnu/M9Bi8lrKKx8xVk/QcI1iiolNFvjiey+iRE5dzIaU4F2r+UPuWkmlOlvKdmsLSxxL
s4vlQ6ZvsbChJPtBMoCpp+To54dWLfN6j8yD0Z1jx9yyqljbLMAziWe5Rykrzr/mr3DWqTujtYyO
bF4AtFZlOccrJRdNs/H6rM2KF2EG0BGJ0ZK4HKevxmwEZwOgJrVi1HfbyP4Z4ZWHITLKNf9qMLAj
FOBI7Zb4ab/xFRgdDAYItKNqgJ3LAbWA6nnK8FPZeMSvV5BLBMcZ4No6yn1XiEs5GLIwoODejYV+
iBDzwNFgct7atfqzdjzdwAHnN2ERofTo+TRmL9EDzUoHRpdRNRESFFr8A2p69KSaWfzmU8fX4rmj
T0YFRFkGXlmBZAr1scyjWzHzgHpLSMcmy9EAu33wrh5XpkajFY13ggZY/PMC/7UFu1j4oVFRu6zS
pivRqlEyyUW2KR/3VldEgVuWc53j9qBXjxyDcsb4XiSqTHNxykzMIpWozAIvyHXJi2bDMgmNLZRf
quxuKupXtQ61jShzZaL0mtT5GqNSfdUmi2mRxBHIX0+PB0xGq0J/zZ2yf+bliPeSj/LjxiSvDx07
cvYUoeEKAnppPVDYuTMMPQ2KZKD2sXdyq/4hycH4sZJG1GFur+j17OiF0IGxge4Bf7cWj1yZy3po
gpvzskGS8p2qVnKx74tRKtHgsUIkqYys3PLguP6MyBeAiJlh3uRZS7HR2NFT08ya1HMmA5+5Cety
Nx315lklfJz9vwPE0NpI2Xgrrs+8jlYu551GHxHSEvyEilmLxBhtB6efwKQ6MfDMwareHBbBzoRB
Rq41d1aX6rimAI43WXQwE2v6hTFp9DsVov1s4/UKGJUW+svtL7jYLvSISelQdZxRwDDOlyd+Ag1Z
S2o+nLlT/Z0y9+9slJXwMrO2VLYXCzgPxY5UaV8Be7Vg2FyeeRnwlFzY5ngWqLO/VFFuUlGdoo24
a20UGjF46fCLKbctDnmDz3wimnE4y3pNvYT35xDrWrqx8fX57v0rcpgnMx9oqsRgUyCDLt5Qw++H
Kg+N8TzzeZKdpsSlehBOhZRjVHJW9k5XW8POKq3xd9CoRe4CdTEfA5JDzevRZXxVgtx6zuWmHA61
yDTVNZt0yPH9rSPpwBxkyQ1AhHVujS1Xe9/LSIw96HksNee644Ts8j4r0yPdZ70/qaOWh0c59TPz
qa36sttjxuv8cjC8HWm/9KR+7qhbQfAYm1YdnpMC0/WDU4xVvwvkSmaldJK3OxnYzXgvnDL7lCSh
hV16VWjD2/b4n7UDyk/UT4WLI7X4RJOqFIg02fK5bEV976eFc1CyFK01J569Pkv1bYSgeTyK5sB7
aMmQ6y+rMkqWSLqU9cpZ60t9p2iFcZjBjTgVa/HWvrjeFraiEu7watMkXoY8dCY6Ezs55SwnTeO2
AaiHqQ62Xs95gRabzwY0TreRLYi47GIBdQt1uqQatDMWJhIKi9XgH3urxv9cSaQd5vO/m1gx8+PY
QaG7fV+sHC8Wcg6wLMBLV21/Teq7LBrS4VwaItsLSQQfZDW1NnbI4orni1HWBHNF4Y5mCKXIy6tC
Qz/THBA+OaO09dGMENEabNktRfgrQFbGHf2tzOZ6WrrKyaNFOAMoaOFeDiiJtjcrISnnGNnAuzoW
n0a92KLErQ7yR9CDIskc1l0O4uR128RmqZ6DBgh/Gyjhkfti2t/+Qtc3OrVx3HmRBUahRFvqVzdp
0WgSvfMzIAg/P3bFVBsu4Grq46jRbrIJVz4VRTRI8agPA8xdTsqymtIf/U4/D6GjvLYoF95r0OIf
QCwE5xJq/nFIxnjjLV6ZI3hYhv1jyUpf8nIlJUOpR4T69DNJsfRTtyv/09Tjm46N+li+LQpnLwLq
5rTps2sPnapFu8joRyWqYls/IxKGtrlkJHu9CGGXIQG492nKbZywRUz1n/HmBtyspUBdZN5Ff4XG
SWb2gU9B5hz7Sb8ffCPbWUONhmTetS7SksOH2/vl+gPOEfEfvw9ajzQeL8eL8gjiIFoZZ2Jhq9v5
o1Y09xbWrNW94tRW+a6GpwNYP80SYyNWvb7HDI3mGpwG7DDmwszl0I1MiNdPinGOkCTd+YPsfwcI
DVgKnNRpqILxWYfNuBuUbktEbGWRZ1Qp0FwqALBEtcuRYzrawWijFUQ/td8Xsd8gKDn6qMkihSfE
YL75o1I14aY2aETMr8NiE0HILguIsFS7rEC4UMiTUzJF4U6L0qRzy27sft/+qtd3DeOheU4iDICW
VOBygqMzhXoaNdKZ1dfdphHogtjlVvthCfFkszIMFKp5YvQ9rnSKhklPrMSUzoZkeEJPpn3dFf/0
hvzbaLTAtaPmJQrtem/J41OvGHd2PAwbm2hRw/nPT4C6wiFlttx7lzMFNw7gk8jGa3WzDffm4Jv9
y/9ydl47chtdtH4iAszhluwwM9I0FSzJ1g3hIDPnzKc/X80BzjHJRhPzwxcWYFjVVayw99prr5WW
JANIRzp2hx4sugL5FW3vKPjVKwqqkZaMmOLBvbs/R2R3FGLIuUhrqaKvf8eiq3WUxml4c+rAceem
rxTq9G31p1nRgFsldC7q0VQfgSz76QvHQ5IvkEqSoq28/mA5E4XSPL6V5mw+0RzQzme9yivZbSPV
nFG3lM0/NXU2DLdatO5bodT6r/fuNUoZAKuaKETxWG+OsWU1shWP0NMiRKZe21RJzkZRjwc7en9k
wZIE9I/NEhtuy7FKJitIM/jCt0JSZXdMxhdqR7brDNILPIIjrGB/fhgNfAw6BAY6RI3rr8ll1dVJ
2OU3rHSKP1Kt0M+2k4xPj1fuLRtZR3JiGBYPkTxUvra4e4SWuL6oUnmLE3sxVbdm9VK3aQBGr32v
xL/KQpeXk1OMFfKjEqLo40uIIsZ4sgvUKs1KHizPzHFM+orMm/NPSJVEcRUH+rGXtHJdnmbFCbVn
bhwrOejduLdEoM28vpQNROlgvUR50ltl0Tv5LVF606P4L3lWicLv4yXaP/UQnISTIg1H8I13YOWE
Q83sBMXNwq8MX0/bPI1BZnoVNOjL46F2EwLUg70FjZeQk9RuE5/1wWJWhRWUt05xYm8cIsmzEYo9
KKbu7glG4aywp8iBqP9t7qsySPpCycaKA5vHlxryrhc1sym5QYDZjgsZfrj0phodbLU7kxN6FlC4
aNdmmpsNrWljZqJkUt86s1u8VurputWV6fzuJSS/Ih/GHxfUcgtZZvkUpzMmCLcRz2Wva7uQtLOK
T49H2e0JROrELUslkPcU35T1zkPd3YjreGQuSAA/LbOZvGaENieQn6Oi434oBJLeYk36dGl72yzb
tGAFMzhLdVvG1ry2vW6dhtCkbVGK3v2AEADRekJ7BuidYMCtZwUSk2qo+9a3XpnUH3ybFBUUrAfP
ST1PsVuPfYDszaK+N74Vw+LfhZ/jG5NwM0O5Swo1qpr6lqgaDXXdnCDjHix/BGmUX5w8k97ZrURX
JwNCWiCUJtfagedxVwskoqhvsp1VTzYs7WuUpt25T613lv3ehmIxBfeTijGo4XpJJ0Pp9axRGCpW
qic5QaqzjfX+nIINfUiQcv38eGPuDxmaKgRDIHdkeNi/rMfTrSpxpECrb9CTzXOZG8UlV6R3kkz/
76xACDkCUP6BUNajGHWvx9ng1DckSOVTaCu5m43mcjHUuTqIW+9OCBiSMhk2tjSzrYeylNQcu8Wu
b4uhBH/CtBo/td28HNzx+yuRZfvPKJvPRMkL7wSkl260iRhebFrd5GmJ2uCLAa/1H8kY/+7NIfn2
P3wsVOnFXcUn2yZ2tVUYCo3dzW0J7fBlFIrrGoYW719BtjskFvJINBa2Ns6G3gVS1JjNrUfal6Oc
YKcSxfO7b0QiEkFtFtJjtB1u3uIAMf66sdnobZCkno587M2uw+nFwp7g0+Nlu3Mj4iROAU30HfNE
bPY4xMWQxrWlvoWDE37NmkV+npXoQzjHw8GTdXckMAXosIJ7u4VyY2A7o+isGvVOuT/ZrR27SpTY
3hxTX3g8qTv7XHhice/ClhH07fU+J4zptCFPmls3hZKXV2pxUUPty/8wCEikQBOovm4j2Fw2e7ON
iuamiMy+y5fR7Wbl6DDt4uS3nUDoK7pFACE393kzoLNf9QMbjpP6XFfo/NczFiYEa/VzmBdH7tP3
vpIqiDIiisXBVhzu/+AVVgyq5fQzs4qDKSEOnHvpUkhx5/eDUfYHe+Leh4I5CBtNiIgA2K1H02g1
DfJ5aWj/1qprHMqYDxt4/zz+Uvfn9P9G2XLDAofWNDRWm1sbx80JmL/w6gRvmjIKfz0e6d58qCAQ
xBCYaXAA1vOhB7FbACabWyPFw3MyLroXtlNw/h9GIUPkI7H9dpTnUC1KhAid5lYhbXdqlPlvJcdV
4n8YRIjlUA0hYt9G6nFTj1I4pu0tUCOchcduvEaz8f4gneCZl4+PA0Nwx/1FedB2ertsbxAm7J+K
NhjOs45Rp3r9H2ZDA6zoceMt3ya1WFF15hLkLUqxzbK4TjrJptsURX0knXp3B0Crfespoxgi9uJ/
zk/nGB0NXTHLls/zidTAcjEoe3c+y50tKAuQ7BHH4s1bj5L1xhQPOtJyeF1p56BqMY+yoGK8e9HI
0YSoDlJU9DGom1EGuNFGYyJglw2KlySxdNKq/v03HMEIfBLhrif+vRklHBITC1GDrgGsKD6pcSz/
TSec9jlcuvR54hL68/GsRDy1StKBlZgPdT7gLlD1zeNqF0NpTTZk7MWq5P6pjLpa+jpGc7+8BuNc
1q/FFATmJbZw636iEN2F7w7RQQ5BgtE2IwWBOr1e1jFnySd9qG5p0wLRRmGo/KoyXCU9usOk3xEY
6o9uwP0rQtbDiEIvmT2zDSh0J8Era9Y5ZkQwvVcUkp5f4DEsV83ADMW11Dw/goP3YwrdK0HaBrkh
UtqcBLmnUTSBJncLZ3mMTo6c1eaPbNGG8JukN5L2Z5Um4QGIIf7O9bddjyl+039OX9iOwwTm2926
XlY/poBjJzPKu9/nlBj08TbaH3RxnXDVU3EX1sybr2jbS6tLaDze6NiSTlMDizqrw+rggby3iGxV
tNzBysB8NhOKB6Ub5Lbub7OWfs/1tnex0PrYL+pzn5RHwe291RNut9S4aT/GHXK9emWpLCmQbn/D
aK59QVDsL5jN89VeMCZ/vHi7kcTtxY6mB4GyFk/MeiRJA/mruqm72WUlnRLUQmlI0lo3XubmYKjd
d+Le4kWGLa0Tzux6L/K5LmMTn+dbUKD6lSZOf0q66uiA3ZkQUSAEcGhWgj29uZDbehqUGGMzlE/i
WnXDLv5nSoMcw3MD+/F3Lx7ouAlhgbNMoXOzJ3Qcs+vRVgdISGZJl3pFryoWSI5SeTXOlUdT292X
b4x62HFkI+L+2OwK4iajaXN9vKn2yDPQQzUsPNwyzOYJNzKDsvHc4qNFqW74XpPy9QeByH5pCUSF
GifvEGDXjjs6497BJ5ZvZpbF5wGoxWuVoL+Oi3Gkt7DLXEGI2Zg06nG2qbtugm3ITUtUj7kGyxeT
UbzoSrITO7lgzazf1Kyx/sq0IH5v9ZOCGXczb5KQfiZ1Xp8FO5xqKrmNdetteiOuVIBC44omu4KN
7yDNR8pL+/MA6or8MnuHahk10PVw09gPadiVNs3Ng+x1kWK6snp4O+4/mjA9oQhPjxxnb5u2SBr6
Zo6WLLcsorX81Ngdu9PqWrvA+RHhsINDLo7X6t5HGJa6FcU4WgpEs+56UpWSCIOGWbthRa6fohLK
kznbzUU1JhlX6Vr12j6mngwI/NTW6tFbsNs3iA6+6WdTDOSW2crbmBEcjry3lhsib014sceGIVqt
7bIPlLkaA2NRHCmxncRv5vL4MtidToaGNAI3BeyZNEpbz1xXIvw1g1JBpdyuqksyaJFycaooUs+c
1GE68ewatmdEU7acK6nV3ym2IxhTMOlYfXjXwhlmkzDWJlFUqQz6LVlwnzNSx/6kRMRS0dgqX/Fi
PSqy7D41tDM4OeQK/EMldHPTdn3uxMtiGvRISc2TKgWp+WyURkaZkjfynBYxxn1jbUGN0DsV5zOd
TFk7P1713SESP0KYiotuLYvQeL3qEiyJfM5SA4AB4R2upOxlKQz1oLawO0S0ACAfTb4CxqpCy1yP
krfVYg824mhjpJQv42ylpwrc/9Qbhzb0d4cS5Vao81yyzuYAUSkhaVHs4GY4nT5fOjxkci/EenDx
9B49WPe96ydsuKAM84q99aGvZ2ZptZVPQ2fdJqcKXTNEarmO4+og6dsFT0LcjmQPZikoyk4au1Id
ik2pbd0GcDrfshv1bwsiy3M14k3u5IX88/Gs9ovIpiBbhnfJQvLh1rPKBklbut52btFsp7ShIIfg
UdDNPpvIrr33xuN1AnQX1XrRy7/1ImlUI8Pmsw1u9NIXqKxLc3OSqqY6y61uYBeKxS9UScnO1bMi
RWaG+L2+HKzvnflSfKLiKWTfRfFmPd+kMmzqKWyaEs33p1Lp+1Ocl/Z5sPr5AIp/6x1f3fAa0S+Y
Na8zZWc40euxTC0T3RZj6jeBUnduhP9xdU348JqfynXfnM2YC/eEnSKeKQ2RQneRm6bRr9Uwz9IT
N2JGLmCELZ0Yo/AHTbQomb+h8VI0FymJx8BVi85MPzSL1gwnO3aMf5u2Nkq3NAZlxkg2y4fBNesK
EeoodbT+ezPHOqMgiN6ckj7ru9OcJSUCTTOnSXfTsKGtki6vIvgt1fVgfJLT0g7dhgtFckfFbK8z
AHXgISuka9dU7yZfyTtz/Bw4ZhA8Jz10uY/KKNXNqxLWTXNqnQo9jamIde25UI0ywWVU73IIdJme
/6C/bV4ujd4Ekzcny5T/1ls0516bUA7Dc6J27XKSDfIi187M6U/0XYrEkzUOxDnOcwQCq4TG3bOd
h5Ptjvai1Z/TVh2weW5MQ3pCVTgYPM7ZGF5YV1k/LylyPZ/7gtJd6yrzPDoXObba5kfUp8h2uxnZ
mIaESF13ut9IY/1Hz/caviVDY+c/J7Xv809S3IADh1WYBr9NNQ5pmMoHUxS82Fpc9J+CSZXnL45W
tjOclFgJn5exUSq3Qp6qukJwMoh/iTzNzxBn7fLp8Xne3x9gu2B58LYpTBLLrPcc3NMWp8A89Qk3
tZ9jXS/fIw2TBa2y84skV8VBJLh/y8leKXDhuUhtBg3Q9XjFpCwIMQ2VX46Z8UHhxR5OAfLmPwCf
o5eRSu0r1KvhVzsp00HivI9gKD6RkmEfzmtFW8V66EDT23mQxP1vZuoJp6Pyt0ZGnPdc9BK2O3pb
OAaYczL8/niJ9w8p0DnTRXGLraNt++qQiIgbfJASX6qTEVvkedTdyK7N4iCJ2H9KCg+ouaJgTyGP
CvB6fnWZ6nLPo+aPaccZHEo1+zejX/g7hwOaUZMpRnV+PLX97ciQzIjpgWxCXl8PqUUqBm+1lvpS
upTqRcVuPTsXdAwPH5GNWOyDzbpfSbIgFCOFTpqg824en7gEw7FltBNy1K3P2TArlyB/b0s80R40
AEg0IuLkD87mSBTTGC40Qwa3VNO7awV18kvZL8OTjCTeOYUi0b87UmBAPpgQFBGFgk14qeqJnmAa
E9zoqlOvToK9BWZR7/RoFNOi2xISB4/ZmzLX+lvlIFSFacaJ73DKfG2JTM+SQuvgE4nzu37DbPJ2
oVRKl5lw11qPkmZhjpGwXvsFHazDU1VkiNAi4rFg8jNrVnmdEfroXkaF5rPrQnXpgDm/3yKMT44g
OBBUW7bC1IMVEzCVWuVHmFycW2wx3UoN24N9vx8F5RC6j8E22YukmutZ5kabV1mfjT7AYv+5yvXh
nETqUdX8zihiEqwndD8oV+K//wfpy0J1ATUwR19Xi/kFrevAzQFmDr7YvVEQtxfplRhkS2kNUkB8
08gm/43eWedS/GuqquVIH2R/VYA5cFcQMrLHkStfT6aAMkZH0DD5SVN8iALJ8tIuTLDOoanm8aX0
5v643oOC2k1GTuoCO3iL5iyxXmuNlsw+Lq5LARM/jL7U5oyhtpUtanEa1HGxP1Vt2Mhn4g+j/jSl
Zqe4I60q459hLoGf1eNShG5i9JJ9NgJr/GiMoWT840SYwRxspjsrI3qMiPloG+b3bm41ycpChahn
9gmABBKZyU+T0vW+bRHNPF6a/ROB/h/xJQeDE0ohYv0RQk0e+oW2Op+Idmjclr7hpyIah39Kyq+/
SebYtJfHI96bHBEP6R0SQjwSG7hJC9JmTI1k8Ye0H15oV8y9GXzxZC+WcrCOdzayQxYpevOR2YFB
s55c0KRSqHdp7suzrDx14RJ5NLymB0u4jyKIILhDUb4HCSX1Wo9ixbK2SDTT+n099E9qolff6Zg0
zhK4oOugZnnK+n4+KKfcmxoUbCGZjlzRLnUVivDh5HQMWtGIX8VF7qlgpEcH587HgokBooVwCo/5
NlIJm6FPpKQo/LgCTnAoZFzhIhXeKGvpJ31eqp89QgC5S9PYeA2a8WWS9fGnnoTZS4ZP4weq5805
LKG5mXp+pG6xWwPASiGuLDgjNOO9ybv+5zZEWnlWZ6tX/CEvAAkMu3VlyVKfH+/X/SgCQocaCrsH
zHJ7QqjK0WAWYsQbzXB2lzhVzja8+4OtulWq5OgBoROGin4kwUTd7KKEnLdM1a6/ZWo+m66jE5n+
QuKhbz+Gi1HLr0VPSvtESXqmJW+x7OqaSfZiv9RhEape0CdJd8aJfZncyRwH4JNlzo+E3XbbQagq
EXezywEdYX+ut7qpUCTsm6a/qZJau0mswbND1MeV1FQ92Hr7ZRdtBkBscP/BirdYKiwCEjD6uG9U
UhpvsKLyqiWpc3rvxxVHlhHEIELMZj2hDLFhfMvr4TbpLRwTR42uoKf5e8M50WEseDkwjYELt+bE
sp62Clx6+bZIpvJSDml+kvtZOthCu6v8bRS6QcAJcafccplretrgyTeMQhLj9onxV68tT2WN8YwZ
hEeGrfutAIjFRqA+IYp0W5jOGBOSz0xTwLqdIHa1lHYQo61DkO5M+/H4K90dS9TKNRqmsDXZnI0y
aGnhRO7yJhUJ6uJNpHulxLvhmAC+j4fabzumJSx1UC2DxrpNKPDLy3pEGJTb2IWmp8hhcIqX+qhK
vHsy+FRwf2kgRoGES3zz6i5pNnbqwuLhKVeexr6YwWd66Wun0brTaGV1Ucz4qAns7tRAbmWRCe6z
3cm0oxboULkt89xetAJMMEr7I4ju7iiEFPSQwG/mnV+fKKXvwjYqdeUWaWbu9W1Rf9D68MjY4v4o
UGgQJxdNGxs83Oymearhc+Jr1RlekCT1syS1Rx1Wd0ehz5tbiAaKHbsyNSIkOmebfddY6Pcn3Mt1
Jx1RQe5uBvq3ROsLKfOWjJjPaWEOJE43XKQWT81j35SD37JS+y0pq9ehCN5n1clLw+b7/+NtYfxI
Tgz8cfhCSdX9LEKsTnonrE5G0R+xwXdVCzESiRc1b5CknTVPi3xyr8+SctNGzDgH1X6Kw+LJihAC
0erlW72UP4M++IzfwzsVJN7myGrSCQs+QFVTfNn/hAZt1hhdErM/EEIIrmo/zHCMneIpA2N6bzzL
JAW9CnIN6QUA+HqotGNbLAubJOod1cMo23ZLRwONHLujPObefuTChQjOM0JEsrkHZQDnlnKtiq2n
gyuhk0svJl3U18dX4L3b1gSKEzQ44L8tNSme9N6YUWK+NYFln7Hh+RVAjzjZYXpUZN8aqvGZYAQB
bFPXhVJC0WK9djRztFXQl8ut0NII/dIJ7tFcqV5WWsV1xM7C75doeu0HZbhUShdcwDurp6ILR2BQ
60hJab+8kMSJI5HjIBqjSWv9a/JCmw190ZfbZISzV2QOYttLob07sCERhYMlODvUb7cmQNR+mhCZ
UfVWsKynsBt+GlN9JE+wnwrXIvsR0R0KCDsVTEq+KSiuNt9CqZIuSjjgg2Z3+sFO2UUcSJfAxaDc
LRrOeZzXCxYEUa9ETmTd4tr8ONvG60Arpxsh30X5+Wiz7KZkUG1BlpoOSThBUDLWgzkTcqJD0ho3
JLX005jr2N7k2pHk5r1RaKsUFEOqO3yj9SgQf4fEmQbjZjRG7Zrq4Fz0tD/qj747CqgsfavQEWB4
rEex7QYyDn0CN9rcY5qGJQ2H+zD4+vgg3xlFaFOIRxJZAApm61EqaBf6QpPoLdTK5YQRvHIeOmk6
PR5ld11QkqMXBplewdfehdDT7HTtJCU2Cllt97XOqBrFWtr9jS5Kf3B07g2FthMNmnweQdFcT8iO
EXRu+CG3vB8Kt1zU4WrpFBljJ2neW4VmVhCahAMqMRHZ73oocNEMJamcSqOURif8V9EekdEnb/Pl
iBZ25zNheCS6Qqmvs+02Q8Vl2eVSS1EzlDF87QOlf1Xsbn7vqy8mRPcQIDmJDpXa9YSaCLwv1mIm
5Oh/xNhCP2u9g+yAPb0XPRTCDTCTsJAj1kTgYD1Q0aHjEod56GuoDZ3tSv27RJTuIKOiEY+/ZgXp
kQmAxJO7geftO7DkglhKNXv7NjbNXJ4q1Q4/1fjUTV5PrUyH5qyWls9jWmenaE7H8Hs8l5P92cIj
Un0JKSWMP7JYTovzXNSIq5mEj5VHkVG9VU06BD+UcawWN9I6CqClIg2GqyaDqT1XhmQ3LkYBtKq4
ndlOGCajOVxcMT5N21PuzHPmlrYcSicVj5zJS00i4kvQZa3pKmoy6udSnkbtkjtjV18cpR3za4g7
4vTSD7ZZXx0ryC8xcmLW7FI/mdQvc14u4++Q3SiwmvVkv4RppNdPiLA60fPopOW/GWfwFwGsplyW
MbHDj04R6fFFCMz3nTvpixyfxgo+y5dpIm7/HKR6FF3nUWnAaKR4bj6qo21gdwAqi02sUmSTq7WB
87PMezY8Aaoj0/KPA4Qbl0X+1YwggHpTpaupWyIWXHzkKZ+aS60nyxc5a60/UmXMSn5tVkWnaZH0
n7YOeHC252JRv5qDZnRPMYa4qkfrl6S6qEPUiBtbQWWqZxMGQ/VPm/fpZ5giioIMCKHXpegMrHLz
BgctP1HQOXuZm2ocr1OL3dIlTWgLfwrIDhGAQBht+DzGyvCHBMoLV4a30Mg8J5IC/RfwYyh75jJl
878YtVmql2BF0nnFlFetl5lJYH1ZCLGcSz3o1eAV+bAMV0MpjOSpM62Jdvy8nEfplSeRfka90cNP
JUsU/+VYY5CeZVCz6FLbqfZ7ZBS65tHcl1VnZ0xz67Oczhnd3kMQfQlHycm8ymwrCdklua5Pg5WM
MhujH9TTOEURXqL0busf0nRIlZd8DOaYRHF2kk8dXcrzk94U6eLyMSTK8K1V215Og//sUexPon+X
Oexszwmb/O8gbIsvZojrmGsQa7VeFY7Jl37WJvm3bOm111meMpyP2WmKgx6ZKSfeXBhSecJOtVye
u07Ou5PZApB8NhY9S05dpEuxr+iZlFwTcsvwCkvEjM6LVNrqeY66HlaG+Aw/6kpp1QsAgWp4cpKM
1WUqk0q+whHpVU9Jrah2KXg705X6UDK7UZwtPxHxMwdh+cF5cvU60LNTjM7Mz0HBrejUwomoXJr2
J/Vka7VinCos4Y1z07Wy+UtR6lz2Iq1RU/gZjvqp1uTY/KTIZVumLh1Z7e8p51bxTCMNVdhjmdJd
ylaX/378Mu4vdq4XmGKUlume2+GTfR3GgKsKlfSx+ILba/RNQnnzyzsH4RUHRFcAmCzKTltKDPXl
Ph7SpfAHmVJy06K0bqnS6D0eZffymiBKQhWfVmW4olvAQhnlccyksvFDIKxL51TxkxFL6vemQ9L3
8VC7VRPBChYWkJgIk8kf1+8HziNGpLZt4xtVZz5Fw5h72qBop3eOQrGO4ic9jaRugkO5HoW2/4By
wND5qTPYxikfR/mDMTnTO22/6SCiExqUmo8ErQLIdD2O2mrTXNHnhUgkrYxVGg25C0Ex+UYdQT9P
sHEuodkX4cH0ROK0fh2pdyG+A11QWPlsuy2yOJqCbiQyr60heLasvxJlxEEsbGmATQsq8lFnumrT
S+/u0YEfSCs2xWuEitHi2cw3lJFMWirTvBWVMl11YZmG7tDXxx9vPzuiMhLTtxDdgCW4XtRGW7Rc
KHbdNDuQLqakax8SanEno7L1S5aqH7IY4RanHbV3xzbEg6SGqE4SIBDnrAfW+pqXReuc21izfiGM
qw8thmgHsec+rYJyTqZDtkNetXP6Iwep69GUnFvTB8lnJ7WSi6JX0o8uomyNRsDy7fFy7sYTJ07U
e9E8IJraVpWLjhIwZvCNX4MJvNDd0dB9S8ZPG8YFE4B/Ho+2P98Q+MDzuUXITcl+1mtYS04gZ2PS
+045zmjzmaUrh3J9fjzKvp4ikE70Zum8FeInW4YuDZVWH3Jt+bOUF6OrSAUGWnUV0mgeJIrau6mt
2dG5TfM+/0dxZqHjmkoBlLp0LNuPRZaW0yWraRx/Ta3M6F0c3YOjKt7+WuVHAqPzMgqq1bZHU6n4
i6PAGX1uX5mopUlOCaGwG/XTkW/snaFI8KguEf2z9tuyaxiyY6NJ7v3cmIcTunTpN1QztQ9VKfUH
tcm7Q4Eww1qkYkir//oLS1E9O2Ok934Th5PlcdEB6Rhh2BMryk1tXg4+tbhTVpcdIIoozgmjGJIP
Xfye/4B9c5V1sjpbo9/xFXOf1k0Je6wlM1CEtLF289qe/+25MBpLdUttkOtvto5nL+zGKrGQ/1bi
8AlHdComoxLFR1jMLlPh50Ha5h1gGwq72fXPs0ep6+DlD74lKbGnjQlxK2W0j7HqUHIyatozJ+mo
wnDnlAFI0gVEyznAmip+1H/WJNJQ+ZgpvPo8EH3k4nhjfApYk4O1339qcZbZUaKNcZ+Rzxm6m2m+
TL7aUxL2NKlcfGxYnfjUz4seHoQGd0b7v10vlqAb7+DCOY8XBexs8WmQnJ/iuIfEGsTxR3qB/nq8
p/bfTHRKArOKbBlRqs0L45QY2+ZzMPncVtJntBpD4xnMXD0Vua3lF+Rg6tnL0rGJvHcPTLEdFJmr
603Pdv3dMiuEcgJT1Qd+qE5A6pIbKdJ46mWn9JW6zp5GEc8/HnT/AEAzI+gCLBevt7W5kq0FUe5y
CGe/yGbnSzws4YdCMhzk+uLhY5unKMo/HvDOhwScJEHnisDndauequh9S2ZYMCCL/xpaCZomaIJ/
C4Iuvj4ean8QeLDBKfmQYP3Otk5pFoGiLVY++61sRx/UJEWFMI+PnBLurSARAf3CqJnuobZS10KF
7Gz29SCav1tG3J5Cxciucp8Epx6F7ANS250FxD4SDTGVk8BO3QQi3WK2yEgUsq9kjokna9XzUmNm
lzTTkXHOnQVkKGRuhJ66oAyudyRWPEMZt7Xsa+EYnJE01590LXk3IgqQw2kDqqRmyF25mZCWZ1lU
IHjtG2OnP6ejM7+C5RzpPNyZCxp/4K1cxDCDttXdsWhbytON4rcWbIk06yY6S6f89HjLvTmhrR8k
ZgC6iwAsFz/Fw/WSjVYcSrYVyP5AzVA7BZUGea4EeEFEsJzkv6TJhtLewTr+PDdR7Vyg/rdhCGpU
Sc7T3Mhq6qmBM32frWle/lTHIrPOhWz1hoc96Gj7jVrImSebUAxf0qBp/raC2Oxeyjoe7G/kopWM
tlhMpVIzoii5zNEgvdMenvSM6oWwaYZNx3JumRMd6mzZUNSKr+exdSOeQ9c/rWLBSlSUH48X9M7p
Es2OHGHyQlC9zeaYmpxLJJEVPytl+rYVA1asS2+d9gmguGnPTZao5kEQvt8qvIkUlkHDhAfdtkpq
d8iXTVOBb4yUqlfVjuExLXp7sFXEL1/vFNBs2qhZRtGuq25mlqrKUKSINPiOWQ5/ZUY7XNi42pdi
Adeap8b8oePr/azMsn7Afd/fIGSmEElJtNGh4B5Z79E+0KAMRexRRDSqj1kzK9/7FIb/OANiPv58
d5aSoagDg1HQ/rSlM/LgdFJbMlSgZeOrxlZ5idXeen48yv7JJiIAmaCjlAsEHbD1hKwOzWps4DUf
4Lc5FcZoXPKpsF8ntQm/prGZ/ePgHX95POh+aihyo6oGh5XOT6i/60FRWs6aslA1nyqM45lNGn+3
nch4d0AtmFB8JSThKaNvHdLmKtHnEusoH1PH+CPOvBx1ezRfzdo64v7utwWwC6RTLkmCav68nlA+
WU4lUQT1HTn6q1mc7lnuq/kyRu1RPe/OLYkaHYRp6lPIFXJhroeKTABmvdYMH3p6KuFpTINfck4T
hJ+eFR2/x1OsjxXdR5gqKS9mtCztqTbr0ped2m7OajxV8484nhyUSgddVLgmXU6eQmuIP9VzGs6n
uZHqf/B8DuPPFjyR8ElFYiM/m4UcR7Qo2Rg+K30eOy6clTqg/Slr56NQRyzY+oRzwOnDQyOOPUCC
vZ4l+uxFMNql5jdt/G/Z1Zpn6f1zFdAApMbtn/MQPc9pg6eZdBDC3tmaoosHEIGQRBDC1gObWbuM
oN6qrzml+XHRJenPzGiUgwPwxsPbzI9KO48AmiyMs4XrBhRZmsVuDJ+WKNsD/zdumW32pzDpus+K
1ba+jIrvdTb60pvmsfqE7UB8Ks3uyCduv3OFbTFvOkEl5UhF3A//yXhI4voYGQLbt7CdcEErJa+Z
6hL0fknP7z31ovNPHEYeQKG2tR6qM8swD6il+bpkx2cNcwuqIpRGHo9yZ0JQiskZgQ4x7Nhyb+cl
rSrJzgxCIjDw3IjD66AuOGJH7J3HQ+2fIUtU8QlcBSK6q0cj7pY6fdUavhJa0mkO++6bqaSDFzY2
yIdiR3QETsqcnCYtqw76v/b7lLEBybm42a1AUevFHDO5imWVsZM4dk5LrGUkO2p8ejzDu4uJnwGN
t0DiaFWvR7GGDMeadjD8eKn6a4hp78eIROyCGf1RLrA/8UzIEkRwYdUAc2w9VN1IE5aqsuHPUDLR
DuWN+OLEefsjYtueUk3L/8mapP89AOMM3TA0nSMF03uTFQa97BrKDrv3Qo/1aGDvGH5Fp8PXSYqG
V7QWwx9mbhxhlXfOP08uYn1sUJjYO6+SstGRqghU00fQZ7CegmWQLDetTYfuSCtJLK90ovF72cZN
TvA6ZcNVdtq4fjUbBcepGkJWcZDx3Vt/AmZeMTJ44tTNhtLT2UIBtDF9PWxnsMUsp+w6/1a19Vkv
TcNtA+Wv1gkvSpm9W+gXrjx9k9BGFGAomPnrT79geTIKhxqf0Nn2hlgOYKSHzTVuuv5glve+sdBd
4Q1l+ekCWA/VUjgBHo4sfygm1YXTZPpSZ6JRkgb6l8dnZ0/TYloI17ChiEBAezZjdSOe7HU4Wuyn
bpBOtL6Nv5KsRqUxl/Ll86i08+xaS5/585jG04ku2yC9dGXXf2mT3JyuWqpGR0iJGHT98IiUnsAL
FAEIccujGoqwa+sysv1RbvRbOeTD6wSb7LfHc78zCjkOAo7ooQqLqM0XNeOwooekd3xr7Cc4J0Vb
/hwMcz64gO98TdHHQCMUWTYfa0M7MsvI6hcpt3lR8hTa0Tx/GQ1lvCiRqR/MSAQcm3XjGhRLRoyM
kPLmnbQSfbH6Qbb9zO6Gb4MRBR+g11G+tTLZlfWg//7uFUTIBjow7SNUO/XNzVtIZa2Cadm+aQWZ
W3UZnb12d2SIfm8B3woYQmaTd3mzgP3QaqFjp46f5kV/Duy+95TSyhHklY/sre5sibeONUhBQlps
q7lqGKEVWnXm+O1Uz6exqyoPxbsjmYF7owi3BXh8rBpaWOvzHTXN/2HvTHfjxrIt/SqJ/N305Txc
3CqgyRg02QrLUlj2H0J2ypznmU/f35GdmQqGStFq4AK3gQIqCxY0nCB5uM/ea6+19jh2oD/XRsvs
kxZzvVUMzHP25odDpwm7a8GRpQ+xiJWjEuZ0a5Jgx6lobPNi6FxZ80+JW164FshU7AL2G/FjmZqZ
+Aljs4ElVDloqddFVnKeECFPYWJHWQzv6ZPJL21jkrPlgFQ7HhQrY6TuTs/sbl5NBK35TkmaHFys
HSX7vOOszVcxnk2qVzWqjHjXbGF2p6OtNx9xMVfHG4ZmQr4AGKhTj+Sc6dvCZkKKXYMw9yWSMV1x
K2bYOivGPTn8O+ly6Sz1Aave2/ZQQOiQrZy+SmQY2V2NkcmuJbZEDNw1W9l1ugEbLtwVpvRbwcTO
+n1hYangKkGQ3uRd0k23Q45HfuKqZqzrHpegNZdl7cMJ0gIpwmGBeZ6Om6hG/H1ImC96E8VGW5zV
aqEaax1no+FyxNPKcmUFpPjLUMvRjGeVMpmXkh4p1nXkpEV1HjFIwUeGMuAslauTQ9N0bubJZRpG
X7oSFqVJvQrgC+rflJZZPI9v3HgW1OIngJ2gd+yv1ZMC4BYy2dcdCcDK1LJg1WbYyL++ylGsE6sg
7EEhJxKUZSrWSJKiIomyr+2ii3cm44rcrA/0y1Qbx7U/pM396+sdbXThuW/Q+wZYQe+zDOOOXjkF
31Wu4y4qNpWKZW1Y68abr0roDUkywR2Ats1FaDAQbcgYT6jXdWDVq8KKyw2KNOnSKEfp3FCrU6rj
47tIDSnUzbCjFQ5d8d49r6xiWerMutGumb+k75h/54RuCFd7H/iaFLhyx0Dn1++juIKDMwo4DNKy
sC0QRNwlODU1TlsmWk8KV2eZtTKssnrUhykst2ZO+N1WhjQaG4YujOYJqOXJ7m+xNLIcGK3wmgW0
vjiuYBOKmXSOc501Yzd9KEcn/Z5YeXJfW0MSbKxE7b4ybohOXpqMwYjDo4O7Suf43WPZZo107qSM
jnI1M5WcFXvShjeo0X2+C027UbcUjPW8iiLdQkRZjW35RbOyACO5Lp4Mr0zqLloXoD31qouMov3k
+Kb5w1d76zPiUq13owmHQleGifjQN7RuN6/f+KPcmU6liacMgn1RjS2NkIO0pXs74wZQl/FwUydB
9yF2BoOoY0rSN3OW73K7X03Y6n+vi7758vrqR4e4gO7I5kB6oHiT0x1utDqEyoWngnMtxUm0Hdpa
qekYq0HiTW2SnABAj04LmxwIxE4YwwsN9OJB+4PW5k3dONdOAIlxoFxy0a1+NcdMd3Op2ua5+jGw
Cf+vX+NRiKAmRGkNKwfeChIw8bI9e5l6rUaCAjB1rapZu2kbVGZZgFzkrasAhMB8AAmlrDeP7mRt
ZbKRRPFuiIrufpCK1MXHWN2/vsrx82IV1BIKRAuuZAnsGtXMQK8kj3dNLyVbK1Pkq3yckw3g1qnK
6igGUbKzECABYAFA2jIGOUOTYbAG5JI6zJEwxy9jEliejxi/7frwRPw5vjD0rQLW4oRSsVtYrBaE
+VgEZRns6qEvPbADesxpqX1Qsu7NwwgBPmBmA41zUeBJ6uF+yMYRfzymV+zisaC9U9XZpk/xg3n9
SR3vOq4C+0RgCXBI6sXDVSRgukLNK87A2k89Mo7wvIgDZ/v6Ki/cNlErcTjRwQaoFtHl2d6uQquw
kiFMuG2JFqzKwim/2jNCXjdu8lBevb7a0SFBu4QzliuycAeml3G4muFHg5kNnOuyEcyukeGp5lTS
97rsL6W4L7ZwSU85Lr5wgZyB8M1xnBFn72LJjohkzkmb7CC4l+e+0dL0mlop5e1q/f5ENHzhmTmi
b8JBLzSITwz4Z3cztMZAl4MSu6iiCd472FLfxnpWrF+/iy+tQttV5XwXhk/Lu9irE2BUamc7TGIx
1WpaZ90706ln9dIqovGKYyWvFWj04bMKg1jJsSzIdmpn+xuUKeZDEBrx17deCzZSOgQpYUEOCLxY
xWwYh6ENfrYz/TFhlAjT05IWa8rXVzk+OFjF4KEgE8PIcvnGzpY8q0WT57si1eZthp5r7UzJvMFL
qj3XJXV0K5zDL9sqM08RYI63vCacCAhI1CJCynF4G/1BKWFOh9muUKx+uFHrzIw/oIpRx11NEZnf
TmrZfTNL34jfbPH+NItBwz+FfiHYlvhoz3ZjU6aNEg9NsUtDc7C9onQYQcd43be/YvTNaQeRFPEE
8SY6XCeNJt+a7aDY+T1OLegEMs/IsD1zUtN6c1AUZgucX5xcOLYus0wtzgq4522xy8u524CLmLsi
bosTGeUxQio8HRBHYXJD9gLD5vCKoibWOklKi10fJ8OZmejJJrQkf0sVFq3VoTRXWQYXGGTc9kZG
Tq17e9A/5MS8E+H5+AxFr8+rTkdb9C6Wu4d3OwWhtIpdyZCd7VDlppsNYb7WpNpfKQkdtNdflOOX
nvVQ6wMYArof8d+LajIqI4jLnV9EMSKtamKacH4qZX3pqihnObCFGchRCzZXU53w1ZU7dD2BN2tO
7OWOj5pU9ct1NsvN2etX9cI7iEAQMjcFCvTGZTVE0TLXU22VO14VzeN40tYRje2Nk8JvtGdABcjB
wcPri75wK8kPBNopFE/gd4d7iLjt468ofIl81fF8fDANTyWDtU88shduJqAW4DX6LYYzLZkWClzt
0Zjkale0ufwjMvPiJkvMfN8w22+tltGbWamIxBBqcZbCZcITb5GX2Go9ELHtcgc7V7sQbtobddRN
L9b0+9fvoIgbB3UdKxFXQCIJX2Ssi3S/risonwFXBgCjrZsgrXoPszA0VpWaYGESpZl8Z05otp0+
bM/ruCxOfIIXNg44MlI1WGhE0CWi13Rq1c9z3OyIcYW2Jl7X6lpThi67cAqlrM5xNZBu8kI2ihPV
wJNy+fDiYc3QG+XwECng0jw9DKMYOlBn7NKKERoWB5RR4p+K70EZXGD9WUXnTgkn6irE27z+UVrj
bG3lIYubT7k1I55zk8KczR+K2RTVpTRqzrRtR7VqhDJJzs9ff1TLTYgeg63AMxLUClGiHW72boBp
3c9KuuutvFn1c3IRSP4u14PPtI3fWimJxeDegBKJavDIYlVVik6x5jjfhUWjMOw17Rm/Kr+1fGEV
XJsJUoLFRK20uKQmLdU2y9t6x+BC0zMMydmy1e4Mpyw8SBLtiTNnudnFcpD1KOGpLGjPiTv87LAu
dUibtj01u6iUrG2rc8akTq+s0YX13mCP6baZBntd12bgqVMVnogiy2jF8qjySJJIjzjHl343aVs2
LYlXu9Mkxs5oqRJsJBOB3evb5HgV3uMnkweiIiF5ETvMBudfbQ66HQY19vsKyVt2NmbVcCpDfuqI
PH97VFTuCmAIdghA5eYyTzCbVMqdrht2AEMM0FG1eLS3jTPLF1jNzvkmtef4i25IlfIxrPGamFco
l3COhRTQYpNky11TgWCoqHvTMohu416T5y3qvHj07H7AXWbqMZpBKOrEsdslpj1vAz8zvyWWnN1G
PtiEm9VhzJBlO3DuJ2xgUTXI0p1mNmb8xqSIiwU2oO6FqyVGDi4aKVqCYHGs8nFXONJXtdfDbVjE
5ok3/EidIVaxiYK4B7AUr/nhBtWqQLWzqJzAZHtFWdej0epuBd9tWs1SjuGTM47gYdLYOhj1BmOQ
71KNt38bG4HdbBhxHePFUgMjuiO2NtKKHpM2vLE0EmMX2Mm8tvR0QVEW1V5Z2QNw31zuescm2c4U
64OUdfTsn/bxf3wf/zN4LKgC4NnnzT//i6+/F+WE6CFsF1/+87p8zD+19eNj+/6h/C/xq3/96OEv
/vN9BLLWFD/a5U8d/BJ//9f6q4f24eCLdd5G7fSxe6ynm8emS9unBfik4if/b7/52+PTX7mdysd/
/P696Ahd/LUA7e/vv751/sc/fgdAffZKi7//65sfHjJ+b/eQPnRHP//40LT8qqa/g4tOI+cJXyLx
+f234fHnd5R3tA6eKkkDpEFI9/ICoeE/frffCRYSMAe0Mg24iPKoKTrxHfUdYDDQBw5uOokbP/D7
n5d98ID+fmC/5RgxF1HeNvzdg1yCuhLaD1AUGbiAqY8A8V7FCL8orOkKWke7YgxD44a6Te9EiXB+
LqfWLTUmWEdwzZ7dn18f5PnCYsf9HYnEwgZLkwZCmxPDMBYhTy6DyUFYXV/Z4Zy4vRmbSC7U/EwZ
pbe5EvxaivyHTgY2xZxBh29on1YMhxry+qrwESknbW9uRsOMTlyQLsLJ4opwCoaGKqx1yTpFkH92
UkVBE3QMa+iubAT4rlzb4aaRjfSOsaD9RRvJw8ZIUkVdt/UI0qfGWCrmaLh7V65so3bHqUWRXiq5
tprVqt5Ks+q3nqkUZeGqs6VeV1qHlHnQ5epLESXv2XBd5+btNN0p/dR8Tvpq+KOPQumLJWmpa8yV
Y7jRGPcf+loqAJTGcLqJM1W907uh+tIGinUZhOM3o4nlj0xSG1ZqP3aQfHy5yl1fy8avzqxIbwON
nx6GyBrIzKmM8cheFN+q0mQqGtz2KhmsbuMMRbbyu/HUJKTDvOvnKrw+7C/+gyGweBZmLMOYGezm
ypjDfV+ttO4Dg2HKrWb6pyjBT5SRxXMH38dnXJATUYqKnf7suTddMEZG6TdXSNo31SR7apCtKl/b
xOhquu9BvClVg4l1KNWxHZqMetP1LVmL7NotXkQ1QNJDIsfnUVU8BpK+DgcbKOZaa0Z3UD8YjYOb
0OSFg7Yysr3NvJ6uytxhJvvRrpR610cXcuuVzY0vx24of9Wjz3F/0RRemnsShgehJa+DRF0zB8iz
424j9bEbz1slLHFX/Nz413ExfWTgL6Mir2JynDH+OJmPfruf5vhyiG6ISptUufAZxVpi7GVN3mBu
NDtYq/3APx8sLb3GGuMs727quF69HiVeeqk4r7BvAjak0F9O9GHoC+PeGqW5KsJI2fLlxrRzeRMn
+WOUFBMcISW6MoP5IasKaWvNDm3Ktg9vlST5EOWlvDH8UFploW9eFnU2uJkvu/jP3tNr3fT6Iyd2
7aXgJausz+uPcSNHuyQqEs+R9E+tpcyYA2iapzRj5NmD8kdaGu15Yhn9pVP01ntTbyrRYVFWNRqg
T1pilufJGA08qXzaqnkZnsg2ngqGo80GmiQsyMD17QVsBqVYLuPObK+MxtZWaCWiDQFpupjL2fD0
XOt/OMNIDLfS3sXWULvHLUE9zzFHcIPBMb3eNys3UmJlZcC58iTyRFeRe8fDEaLzfILN2eg3/OUu
yda6TuP89Qf6lHQtLwDBM7P7cFrkGFukS1IXGiE3tr3KsIr34jaovCZwzG1bTvq6sYd8m9pTcklm
P7ql0n1GqzqdAI9eOHqghwhXd9BoINZF/Tzkei8natJdSTY8KN+R4kss3o2tbfinbM5eXIqzVehn
SEKXZ0Kuh1XVzF135VQ1ziD6pKwzNZG/hDR6Tt3Zl9ZCtEVlhnZU8GwP45CstHZjQH29Sku5/ZDZ
mb0CF9Q+Dn07XHIzNDcJZ9uzhjq5ChW5XFcqjsgYY0z42FVwPLvC3Kht3CDwz9QTLcqnQunwuaN7
4WiEAcz/H4lQAgvflwafmaug9tV1A/LqGqYcwmdpShuXD8aOWYGNx0er3ftVpK1Ql/pnRj4Mm1yZ
za2ZDvMZ2CNT+uZeZg7idMqm9TgVAuB7qhmoOIWf2+H90/0ghK2mlVfF2IIV5XWxDpMxvTDnOt9a
U5icxzh5XCk0W99U/nFaAaHgogZ3ibwBFeuipK4CWemsMM8vEazYa2tKylVAc+FN5ZBYhSyPrFKM
aoDSsRy8VPZO2VdjrF9mcj1u5Czi3lu5tHn9BT86eUEFMGWiZCa9I2QvXi4zkM05nfr5MpuUrVbW
9Vk3y6ARilXh9/LLsfBNBce/LCMOSo9Xy5L/gQUHQotnN/6o4Pj0QD7/29lj+pg//K/f/nfz/TFv
KFl+e8j/+O2W6Y7tQ/7bHw+/eV0ePjyvS57+7M+6RNLfgTJDZQP9RbEI/49997MwkRT9HbUifXDB
yjmsTCTrHSMQhIkoPDhayiQ+f9Umki6/I6ozhIqknpfceEtpsjgq2KwYNCM5hOMuzFrAtg5fSCbg
jIwjCi9krEbSTWPBn0hXjCys8rM6V/rsDqZPWXwLEn0sfSYKaXX/TVM6tWBYjhWGpzy6F9xhk5nn
AjERF03LVFCWDj8PNHmGUTl566Y0NN3cZmqR7/VxmdWaZ2pTEX2X+sZuw01hZDBc3GY2nOYMOyhN
wvIHm5ZcWo/mrJpYRTjWqQArXqy/AyzKHN2hyY+qUOAQaDUXny5wMkbQ9lrnFm2sjjOOgl2FpLK1
QiQrLRbcFAswuMLY8yks9dlrjdSudjH+WM6G/pxkfYS5Z8unPtdhWBURn7ma+M8R4LA75Chc3DWt
0nIgs4s6N9JiWs9yp49XEiINs1lXaFug99UmwyB0t8PPpdrjJ6b354niRJbtKX3smzZOA9I04yXh
oNJc6ebUxLcZk5k/Kz1Gm/0qqeMII+W6N7rGLX1lQlH69HL9N8SZ2yLjf0tE4yAU/cuA9T8xDAlW
2X/8CTAchaHbInlcIB/kVQScJ+RDwuz8HXAjMgIkf3DuhWHEnxHGUt9xHNGqt0HpnmLFn9iHZL8T
6RmtTMHJwZJWvPm/0A/JeQe5hMAEXgrbSUYE/+eH+wU6/MSj/gX6IXKiv18ayKp0EEhFsfaDbSt4
WovNCW9mms1S/qQqHzXmugQrfxPnHyf1slAvh+Bck2/K4GrKNZehXJn5oczWTbyZL3THrT87iTeH
V6lz0eXborwI2ND+6AY/ilXGIMXbejMUq0ohQuys8UPQeF26CvTrLPRGWurmru/eO8M2mNajdlWB
/qn6uTlzUsZeMrm8rbF/F9Zf5MjLmAu7LUav7e1bySxXbRV5Snxh5Lso+iopX8z8epRhVWA8cJ2q
13kI+oCnmG2+V5iPpKPXdmZ30s+m4CoNPvWjC+fRra6b6oIgfiLJWATJX3eUU4ZHThPiSLs6yCqz
ScNM/tRExr3RB9EK7od1iXHBV2vEqqZ1VkUlbYbPAKLGe0vDwSUeuvLUxzh+sNT9cNvRdQv7rSUX
JM8bu9Qaff6UhOpe6RT7BqO86LLQLo0ovkfF+GCW+l0mj5Kn2vWWqgpfFy2dPsHvX829cvfsrfi1
8Z6jXYdBkLtCy5jtJXxFxOdZdq0KjOSCSbOHT7Vay5uujJxNM+v3rTZts9i8ELTKcyCTX1ND/hvC
1v936ZH2anp0W+SiL/0T2hX4LXfwWVTS3kGMFdwTAdeRzDyLSsQXEmRsjYk9THjiQf5CZCXFeCd+
mkCGukWAfEBXf0YlVX9HTg2Ga2N+9DNivSEsLXoKxEmSaOBRAFlBX0W+fBiWLOiOBu49xt1oF86V
3hbNuRNn0iqPzeCGcUb9GUVkfgssy0hsLEmLMz1Xx3O4mLVXyT2M2xZ7GexW6nn9+kY+TO/5ZLgj
U8oK/zwIA8YyJ8vGkmGEkdTe+XJYr/y272AwVsquMvtkU0v6KVee5Xv8tJ44PMSITJZf9HDCXh96
2kv9HThGt06FiJpWrnIqXBxitz8vC2UKWZNweToa4BT6ZaL4edjflVaSrHPJYQxkHdrS1g+d4QYJ
hu2FsQ1oAUdi1VpN7zHVsdu9fm9FPvv8MMIxH5qCcGTD50545hw+9SiJdXxK7WIvGdJ01qiqdD9V
U4qrk919xkqjXRewQ3ZqVQDY6r62en35Rb7NTRAzxUBmabJyKKPYOVxf0o1mVgpl3Octdk5+kTH0
QB3tnSYzr6IwrH7VGbF6qVXN+CEe9fuOvOvEgzh63Eg90eUJOhrdfVq/hx8hbxNpbtKg3deq6ntO
pjartrbeNvDj6UKfxtcKtIQ3jDLlALEdx3iolHBs95XJ5Ag1SgZXDhEN1fFJE8Enze/hQ0UqxOAY
3mIdCGhpmTWX/aDAgp/2k9IYqyZukw9S4WvnMqXERa9iauIWZajcO610z4gqc5vmEn6yUh599gNf
zTxUxKeUASJ8LD8ThxEGVAzmwoJ8ASLqFs77WVcPe1OTvnbgEevaz8/i0fg4ppg0ReUpo3hxQ5cL
gmvwXKkO6UAv4plqo8Qxy3TaFyNmNWiFnFVAD5mx2tGpQQ1HSwmprML2pdMJherIzKUypoZCo9+n
XVa6WaRbqxkazHrUm7cBRmwjlmJSAv05CJTC/+lwG+VlFZehP3T7TsqzDXYTEo6DZu35tWHcFJMp
rxWrthAgZafGV790kRgUkNiAXuK4soCq4rYLS7DZcU8vRT8Dz5ZW0FnSjW5Mp/jjRwGfixTCHOR7
2LXg43V4kYyXyyNnVse9r/tXVpPcI7BM3ZFRhG7YaN9eD0FHG1MUsJQDvCcctdzUw8WsUgW37tFt
JmMJN568KvcSepJn5ZSVV3MkZZddbhcnAt8Lq9KMhE9F7OWMURfPsZ7nZMqtUN7PSeZ/S4b8u4b9
wlaLVOlM6gQYPknaj9ev9CjQkWBAoIK+Di2flvzijeBT6H3vVPK+D4Lec/Ba9mZeqbM3r/LE0wFV
pP0JB/Xwfub9APjT+vPebEJnHRpN69raeMo5ZoHtPr0I3DfGipGtoBZbNml8OGB9afTmPi7t91kX
Y0gie3JbQg/rrvp6rWhfWosWWHwWpvsRWiEm1WdjOzE4nPRh3L9+0S+8HCJTwKCEfEw/mtJZaXhI
p0Vm7u0aDAb5xlyMKxVyy+vLvHjVKG44KlXhxLCk4U2JRRMO6tM+DFdqdD6krnYZvbc/4YqufeQm
qOfVd1SIwR+OaDKcgIxfusjniy/eFEjTqcOgWHOfO+/17spiMkJ4wjbqeAmwPeo4KhdUh/DKDjdP
jxmIjCV2+5nmUbpNZ+QcWYJnVZwayZv3KScxLz55Jf1a/nW4lMQIDJ0BTs4es9hhnajAa7jjnBoB
KFL+w2PIUZ8UCGJnkMEvpUSYONQRhgfO3rZ77LPDtGgfA0SbPmOXrLhY+YXaMGGsmKuLIU2zbdm2
4Y8qT+XWDZRRGEBUuv4FkSBiWcU3w2RVSHr+R2bkeKDlrTJjyErHJ/BGO4nabWiklu/OFSOyPFtr
p0u9rPpd3ZnYt9pmu8KrXhcjsySGrwdRxV5p9Jb+pNaHzg+7APs8EeiOgw7Xr5FkCoq4AOgPb7Oh
JFUwa4O1z5u0WJcYv3h12ZziGh2lsdxlYjd1An0AOhviKTzrh+cwImvVbpw9XpPaKvGVvHf9lvHG
F6oTDedhpU/tFR6b8y72k6RaK02anZgQISL2Qb4hvF+e0OkXZz3OgIp0bKVgbwyqc476vFmpcpKc
SUORr5MweXOVgvcj9B3sGziOxdjaw0su9LnKlLpN9nIdJCtr1vHkx2vyxOM7vrGsIiAzEDGaLEuv
aHVU/DFWm2QfclJjt6KVBhyDyj9Lht7Y5UFfXwZ57p9rFTYaUxCUJwLCi+uLshTJhjB4WFxlzUih
dEY/uqdPH30oWyYSVLl6GRUkOSaDZfH5H63Q1QrpvgqVUyyehfhAnDJcPnIRMaUPAtTS53xMB1sK
QzPep6HuDrK05XitLy2I0CBoU3kbh0HkmpMfX3UaeYOJRexZNSn6ib11/BIBPIJOCjQHzH2pmYGK
rxulxFNgoOm8HaO2cdWuOGW2/uIqNOmYBI4DCw2Qwx01zIFTVRY7qqhaMMd0xHFdjk91ZV9chXiL
BS0T67EfP1wlHTJkRnaS7PGwYkTwEJarOLOaE2fVE9vm8HUUuRyGYTT9RYa3SFc7jDf9vpfj/SQl
DBxJiua9ZNSK22BehIdCtpvDclBdZ9KdzwxYDd+nmZPdoYiTvwuHHa/w/RFvKv+HZY39D0vupMod
B+zdXGnOpx9KIqlbfdTgkRmQ+9ZplBhfGz9RPL9XqlPQ4gtvARdDT19cjSjXD++ZOmLOIQwH99lc
pduOcZlC6hK4jaQobjepuif5xbcMyW3ZT92JEHAEr/ISINZCxC56q2Rbi9KtyJo0Qlod73HrM9bc
O6ZMS6VyXss4nCelEm8ZhGGdDVUnbyqMA3GT8aeb0ZejTZD44f/DuwCpDnNs+k8onRf3wgT5cYYs
j/dOKlvnkGcK7PX0Uy5I4q8cbR9yg6d1gNgWuXLvWGPd9nO0n+0h8fxkDDeRE2TnUZbN53NhjNsT
mZ3IbA4XREYo2tcQ6mmFLdNm2Gs127Vu9s7QfyktyHlFCIVrUMzpfB41815p+/teb4JVXwzxudLJ
sjvKfXOp1cUpg7YjVAYcBuau0Flg1E9nbnH1YZRZaTzlLUi+ypge2W+bCwqlbB04Tbhl1zefuXHw
ogI9C9wyDPZhVMnuiVuyjBTiU3CW05MFnaHeXTxprO6HLNGsVkAGNp2Mqv1MehqcD3LRrQe5q9ws
D6QtJgf5ZoLn+K3ttOnWl9TH3IGcOrU3EN+cE4DZk8zr2YPiLAC0Aq5lDwqRhbN4G5RisHGx9vt7
i9P+KujK+N5smnZwfYwaVbe27Kx3UcYruTsNk/E+sNPq3qwmvXWVeDZDd0q19EOVd/7XUGllJsrg
j//etEKtcfuhb3Q3M1OzdOegV24zHYqmK01hcY3NKROBSMHlezVwOqx32yG/xTFDkV1JM9JdMzTK
R+C2DLGYFum3alNqjCFi+DFWfkVQfQ2iNPxecKLeplkRa241N3nM6KAQfzy5nOPWVQ2/uukHKf+a
Z7Wyn2xnNFysB8PI1TWfNq6CZ+6DKrdz7Nlh4lwWo5m/r4s6+A7vK+dUMtTimzZPxW2hhNofLbRQ
zY2ZXfNN67Fu8FRzxBDFCaqPzFRqaxdRViC7ZYmJnTuzl64ihkF9Lx0ry9x8IDnXDOyyXAwlmKbe
FNMIEouDuWeEsxR6RVjGX+Q883+WBv9uYdCS4CV6pbXa9Q9pd9jD4Bf+6qw670RHFaKXoCM8NSp+
kcot8x02xpTiJEuwrQTi+GcLw4C6QQseOR9wFQeYQMf+bGEo8jscmkQeANmSc1p7S2P1CUJ99maS
tMAoI3IyPg18Ecjv8JRsMG5uDciSd12KSj+bOvNy1Pzxk5F1+lnUNfZ53ozZ1gzqYqf2Wnmhl365
SZk/umu0sb/skiT18NHeBgF2a3ZRJVeO01a3ijLmV1ZOzmcqY3Cm1818GSmznDI0vfGvqvCMyeOG
X59IYQ5rYVHik++iegIYB57nXDi8HFmvDdOnffwJx5pgFWS5vY5t+7s8xNL5s4e8+3mL/nWn8NdK
gilBEwDEbTl1pssah7lSnfFJzVJjHYajzZHTR9vcKLPLygnN92UnaPlOqpya3vvCRbIidZPQWtG6
XaRpoV0yVS6T/U9G5PTrfG6Cy9TX9avAMKf161d5tBSbTAyR4BrhYCLQObyfMfumd/qsupUGk8ks
k/mQmaGMSEY55TD0ZJX1907khtKrQrHMNoTAg0nN4uSCNWQGmTlVt0iQNlnQnIMbb+y5vcoreV2N
2QZ5I0MlznO8WXr9MxH6o1IwRy2+DPyHzHoEW/NqqTkLh/ZiynZyHa76Xj/PdOCQ9BMTKe5GhN1a
Zp2lZXMZZ9Fl3Qe7NlQjt1OVEyee+LCHFwNdAc2+ECOz8LIdZo9TzKDwNIHfPEgbS4bmPfq56mZT
WzDxTzoFcolHfrgeLiUg9wBAcCXYGYfPqRxGK4mBKW4h95jb2R/nMwfny8sh8/Pzchycj4lkod+t
T+6Qw4RDPDbIzRSbvHkoJwHZD1fGb3M0nYCjs7OAhIIy91eN6mcn3rYjOelTFYcvHA03TAuxSjpc
RikVGv7SqN4yrLI4o/+TnOn0oLbMt/MmjN5WqpE0rh+gpQhqNCONH5puDe3bi7OaIrjLtbUE1bur
Hl5/Q47uPGxN/DJgUoBg4sW1CKDlWKVdEfvBXeQHheenbXdtKZLu+WWPv7Q2quteCW8kC9rW6wsv
qjXuvCgI8cGHfotzElaHi1uCrJNZ7kZ91+prqK/Nih5V6FpD/rFqps+11t/G6TR5VuDIIn/61srB
atDqlZXpvhuU3Q6pQuNOk/JQYHaQdOpjAGfWBav9hvJ2pYuquaRml/vN6598kSrzyQVXkfE5MPFo
08tLqplU0uANwGTvKkN970MaHtJyVdjOh8YZLuNc9wwhsZH0z0r3cx/9O0v5nbD57CkcEcA+P6Rp
1DzRTjdd2+Xs8mekC/G7fyUsJhQJgSjjUMHDEfDNX1QwW7DEBBFD5BF/JiuK9k7kNfSDYXzBzBZH
4V/Jiv4OXw1FmBeAQ8HzVN6SrSyiANAS1YCwEsIumpriqOALkCJFkSK3d3EXk4bXzPD4MOYRfooG
4OHWGeTajccgSNbzpPbfIH4yiMiWm8FrNTO586u2+pCOWnYD9XDeNtSPJ85LEWf/jsNPHxBWCUOJ
YeTSylmOpx5GPnoNZnxXxe2uZObXBY61mA4nWaWfCImHgffXUrRP6GwA/vO8Dl//tmfwZ2DM7d0k
TYXXDXWwDuQwPiHrPkoQxekP6070vnhd6ZAfLjPMlSnVbYY6C6fOrWJW1FrhsMPmHBPLpqk2Mqyw
wW1bn8MunewPcyW9T+r0sg59wzWVIKfuTub1PIfGJyYZ1WtJcRIcMadkY/k3iVWVlwnk3LM4oJ1d
NqG/DbvKWDmMfz2FF4gS/PDp4O5CZk20xLkDcPTwWiYyw3rKmnBvWVL4h8WZsANKazySLOryqHTc
qFMuRh3/v07Hr6RPZy+YEnmVtYab1+W8TZus9vLu1tD7eN0nQfTv+ITy94nYJXQM/7qK+vSQFYuY
xM//FZOUd5AR0NOST7HzBdr2V0xS36EBQUYD3k0uchiXEGqQusKdgOuO+/BBXCKECHoqIB0HKLZa
b+CBPTWkDjYWaRd9FHrvfAhKskVGHlSdlGX2rNyqeTQlDILG38qz/Ln8o4z8cB22huFKgRKMHjVD
Wni2Mvv4ZkdqYp3nvVwNm6goc8nLLKdZB8OQzW6TmuZOp2bHK1XWmsRj+K5qrVBZFZ/iWfpa9w06
wlwdim8yiOrk5oVGi8iHxH5Dv2cORYuLyZ8qE5TLdScb4R+ZWdqgYzkEbzcOGaGwydq03EUaKXLV
Dn3lDUJaumbSWCV9kUKcgKMxAHHIgIXPGcUMwSfIk8KtpvH/sHdeu3Fj27p+lYV9zwbDZLolWVlZ
crwhZFlmzpPx6fdHLa9uq+xjHQPnYh9go92CbVnFKnJycox//GF5o2D+aTcDlUTaBJiH3hRXnbNi
puXKJuC02kOuJqHf6QRCFoUYgh/W1M2/r8iPTdtP2zNH0citZXbIrgnN5/UGkLeUZ02dgBGVoiOR
tGq3k9GhtcQrfGMMxVsim18sDD4KnSjC09XK+9yEo9eLEq8Tc36w1Hpm6lMNnybDUYztGLqN5dVQ
s3JP11J3h7goZjFo9lh4nVE3/jBVDKhrGSIDFaV4KkpVPodq5eILTP627Ut7lIUXzZW4F4nDgtNr
Mb/r7dkM/clA57BJ6hJIaB7JK2IWavU+D+isCpbVmdfL+nGRflzbeDKJQqTXnda5TSCMetZBL8Mr
xV16LbBEXZ/00G7urDicPsdRjv+W0vXGo5lY7TdRZCk1tqjtwhMwQoo3AM2frthKVECBiA8jZtGc
xddXDI0krJnJmh5kVH4Ll+oUKZybRXf3ShYm25fl8b/V4X+ZcMjglVA/0chD3WFa9cOd81O16DOc
qJ9biVDp0OVolX6sFn/5Wv/ZqVX3LxI9VgnOd2nRPzs131od4LmIRH5wE3Kpv5eQQFqr9RpzaChS
TLzXJup7Bcm31kxf9nEqEAod1H5/sFHTk70uAc5Pw/mMwo06Mlt6kR764hSL1LO154JdUjDqV+LS
0+arzA70ESdvf17eNdFWLTdolVNz48S+GR6Bk4lIF9x9YlNle/sp4+5RD6511zR4AF4t7g6Nk8j3
9vLB6S9S+ys2mH45a14inxpxq4mLMHogIDkGnrKJIvc18zGJ7x3ohv2VXR8b/dRhCudciPSGSUXG
15MSnpYE7/ed45R+Hp5WMbSeXGEX4Nnz4i/yyha7CE6kmn2xy30Y3o3uezO5rpTnrC29Xly1K2nB
bb1y2Nb5ZZHeIN2xtO0QnsyKcKIHIOvM8HWkf+lebw/x+KgPjddWMfyJzk/7u2K+j42HRT0o2Qdt
+TxkBzu+DLt9IQ8WG9u4Q4VpjVuLOi7fme6FpcGoyN+7ZkCwHJl3VXY9zTsrgfp2HbsX2rhJCTKu
91N8NMbLebiZVVIygjg+Loyrq23elR6Np4EmQ8HkYG8P+3b5GBCopEzH9Ve1XcSHeLrts4d6BM1P
T0VxWZpXrbhvuvswv0zjvWL6abaJnU1SemXjZajEmbtZx1bZ27WnZ5e1ttXrXRP/2xb+j/aRX+uL
1pf422blf4ZjClsB+wGSZyxKQJBwe/htofauTOTz13/dy0f53P3rMuEW/td1L/M5KaPvm0X3arf4
1ct/3y1s8y/ua6xF1kHVWqCxu38Hxy3rLxwDSbEFbmDG90O/qTtruwmmRooAT1Rm739vFgr7CJg4
H4ZJ3ArMIn78o+1ifbr8U9ehv2UnAyHHKo49CE/Bs3pB7zus+RMr+tQMdekNbWzeaV16VQNmK03z
PCIzqpblPpxZ25mDTF4UG+k0rYf52bhpS4ON9e+a+Bf1y+sG5vv7wY4YBvhKYDmPrBxbKZR5HqJP
RVY3WyWycspKvmRkCAdKZjte0asffn/MM7Rm1Y+i0GHLxqOJs/5ii/MjT6gz9JI0gsR4mC0M37V2
UxQjRuxz3HiyjfNN20zCLxtY6E0Zw2B8K6eT5ffqIrirLJGHAwiHuXbWZxehIKSTUzo5d4s5e24y
eHFjzFuRQSJRDrQGtGaJcTXr6nL4/Sf/+cDUHsDS4LjQd/nvde3RdkRWU+wbd7qlaIFhZ4OHt3Xp
GeFwT9L7thPWvanV+6YSn35/ZB5+rz40K5gLjBZptYfDPJn56etjp4MwGSfGxW3mZR6OAN7l5efD
ofBtn0guL7wwr9yNeSX3TmAdrEOysw7tyTrgFrWJAydwfXej+Ovfr/+u3rf7ci+9m3Yv+a270Q/6
jfSkZ/EPnwb/6cYKyr36qT25GxHYfDv9Mn6ab/ITCODtdMc89lBvtKvlKrpw3023I56l3nyjHwZP
8aVn+4Nnb9rN0w0v+vQk+e3k9wHnyU+CWzPofWejbOHu+dDrNoan7K1NG6g7dVdt1N2wbbfFt/TQ
bGQw+u7e3ZtBuqv2CGbs0lu+qlfaAWLENbnIp+JkbewL/VLZq7v5SJL1pvcrXg1axcvrOxvzoGwN
z90vN+LKOKyv1Huh/21/qrzew1MhWN+GGzT75tTtc/++8BjK+sYh3oW+ebCu4p370O1H7y3ngBdN
yD87yffrqatwMFabFNbT6+uZuL0MiRDIb7fB9QPZG6fGr3bR7fAlmXxA19jxXKxDsRY7Lftos3jJ
RvM0L98ue8z5d/zTDVX29nl3dZwRBbb+/eyN+yigifT4iw0hhgEtoJ9zysv1/8tZ80fvNubB6I3S
K9+5uBl6ZBAqwbhXgmhb+uvP7ve/X7gv88Kzz2lgMa+iBoeo9NJz/7hZ1KIYaRaNAoWCG/mGOTrH
aWjSg1uVuzGJu6CaU7i2kQMcLZuLf38p4mPcF/Hh5U/YBH6CI9ftiDLD1cqGt5CU8+BrUy3wrsPg
G1SpUQ+hNvqtPlXHly9aKp9ivY58u+cOZRgL+m+zNXAbiZPUxuuwTNVjyIU6UgN+/1JWK2cgjOzg
n797+XfN1Dv+78/Mi23D2ZlBk75CGPDEEPGvz5of6JbhUk7pnLTpLUPYoyKUC1HGd6mML5zimbj2
ey00AzvJrgxFu9TNBV2ms12awxC5m4Uxhr4cU/VrFBsXpRgfiK9+rCr3trGTowanoC/khx7padhB
by6/kGL5qZPFvpriAOf/bdL2V0Qy7hLtPdCDA9HbvcE/eNfU0+KFS7yzjGS1d7qYZIYrcbIZRbip
4mumqBsp600YUe3ali+tgdwZdwN5LBBCnlKKTCOnSGzyO2jI9yNWxuTtvNEDnj2BXm4eWFRIgF8o
dsb5jKVInd4luyC+VTMeNTKF3AzlD27hNxWN1wkKr2bewPDewvka3jj46/nOesW4YDwB6UEoRUC3
X182JxzNeZJauDHNcvIbd0z8dBlrT2AEuYGoL+9qEW+MDtbx7xfM66fPS1X27/QiSjMwi/PO1xxb
p5tGc7lOO/05Kyje46EptkukX4cR+UypNExvcSGBuAjtdr8/uPb66MD44L4kCsIiAtKiNjzDY2rR
h/gmm+pDo2X6fhYRlmROdtL6jsSuUMm30MAGT5rVJVZEJPsk/WVmVttBo62ChobjUvkoxFIGkSSI
OprqJ2zEu4fCbt9CqH/9TpkkwbnFT+Hcz7d0YLPl1A8PvZZ8Qotj+oWqMj4y7BNWHJ/6zPSqpCmD
fMnfElG/eDX8c08zx2K6iwYOYBJGPHNAStEf72ltLFpHl311m5d9kI+EldfDcthiIlEXu7glwhLv
RmbQ2dJdFQlOXvA4381l3gMFNYk3Nr17geHOPmpjeRqE9tGZy/FWjnq7a1uMyF7+SFJbszHFONNG
2slOqoA8EYMPw1SvHdJPb21Zh++EvFqKcb5Io6Nrx8M9XKIWdCeaQI/w1o8nM/W7sRyOC3KBYCk7
eWdH4ZVqDWaA5Pndy/r5f9AB/dgA/d6D8n9gr7QW3H/X6z+hJrtnSFvJKxR7/YF/NzvCwlxydcYl
ch5iODjxf3odvFjwaP9Bksx3vgMjwsCmhS2IqQW0Tap+Xu47MCK0v4C24QehlAAxBW/5k06Ht8JS
/WcpwxkAPIc4AD1gHcti+PV6KaM0dG1cSdrN4sgm2+VzSvs92rX1PjGRO2xjEqA6v4kGw9paop3e
6UPuPPKOp0PoVKnuDfD0YqyreqF4Ou4p/RHS09rkZ4b70Qx7bIykLPBicBI3I/gtysYW98NhuJ50
u2uoCXR6LIgfzmdyy4wevEKdze3iNuFl6bid9NpRxguWaZVS+ShcaspidZwupNSMEOOiXvcjG6eR
63EI030yqO6FtPL5KkKI+yjMtPkGxj4SaRerj8syw8xHZZJ9qtwyJ1dgzscSpmCsXiVJNn2SzWC/
c8tiTHYxJD48NtOYsAprjpLEC0eB/+aYFwsFW1R0j1bWaF/jstAETOek+KBLnmWeOkcGFEe5FKU3
acMa9xwTKeNpss0+mrG1nMhVs6yDAl+UR3N+rYvWaRjlue1Rj0FWd0VXKrh8mWPluVWafo3TTEGN
JcR8bK2aub46SNvCiXDucp+zqmm+qcsx90WrDEOA7qpLPBmWBlxEBREmoIthhJuw7GsGXqVRs3sn
0eDVSq9/Fl2ppV5l5e0tYGKk8FBTq4+phF8UqJlg92x06Vy3mWEpfh7hB+o3JFbhiCkKVd8oimg/
GJXpfkH3nqleY2TQFLti1B4HKNetH8VQQINs5ecMMUPSPZFiIDdGnWK1QZKE7L28EY3j2UW/3Fgd
wAF8RvKb904q0s6LbIyCt8pY6nuw8VEPLHXMiYWgoHlXlGNSQOhO7ch3RZZiiy+1mTrYLhNl108u
GcNCKHZzbLp65kCmSv/YlFWDW2Lldj2Gez3miLLJm+0k3GrywBicYRO7sWSgk7QOzpxpq987o7Tv
yknGYPWLA2N7onZP9NKY8RZijaG6nzvf7rrh3ZS1uD/adjpzzd2+sI5LXOLel0JvecyjGcuQkGn3
qXH6sN3MllMVvu6EHaaglkmQJPkyRuLD2nQu7aWyMl+MNpavOs45mhfmiuV4md0tyz5t5jDyRNKa
5r5yVodtnFBKB9luFiebWWjT51JO7qda0ZXGF9IhhdbpRIfBkTsP/D4f5606ty7x65JXavreJbyp
bi+JEofphQ+hupfFkGebMa24bQ1rWnUAVmzHG3hG87cMH9pP5InyULMHKeGvpkw9DrHlJqbvquwQ
3qI27TcNZq/hp8ixskAzM21lZjOx8XKDvCgkBqH5wS6qMvMNMWFMLV3RcDKFaN93ZZJ/y+HZfi46
2Rje2Nbhs6xrq/K4A8crk6DqNMjrNSGh76pC82HfY8CZkapID5ho8QeyOnWsMI3G0nx7itXIRzdG
ameWaNECUS/NowC3j9T0c4KCVXhFZbV42bp4VtvFzj6WQja6J2QsYt/IholwUQHfGsBTWW4gfVEc
NmZcFIHqyELFL6nuW892FEhRuL3Y6sHCOTHdSdqA0K9zGATbaqn0cTsrEVuTBdfZ2OO3m+AWMUu2
QyMSLQgL9B4BbazGYWapR6XdxgtF8DZs6LK26pCJj5VJ2oDvOFPy3pGV+7UK1f4jhsqCfk9NumHH
DDTSt5iEygd3mi2q2HzIrH1fS504jrnvtG2opDYufrMW1ew8qpE+8Xam/pBYRYIRndWJz5Mr+tHj
g/d35LBE8aaolWHctxWh87soXzR5J9qYFaIos2ndQOumkTDlkkRMMTViSMaxG2soSF3+VUktoGW7
cbcE9hYB2Ve3bmrg9Gg3far5MVmqGA5n9b6kq/bMkMquXRKuK2wFrp9JJGC0hs5YZrFLGJZdLFV5
mY40Bk0RHkyuvZOUJ6eab2BvbtyI2IVEGz0Cta6yyAgs7uOiHq5Foz51dXJLeNngGal2zNp+Z/QA
amE4erFVyP2QjYHhlCfrpdhGymG4y3VXNwDLiLe61vyIYeDXuSvvJ1B0MdbUwfqjFt0Msrksshlb
9nlvdPGhk+mhpqGbGTksaulrUX49JfOmaOKP7eAogTSbZm+340NfhkT6pcm0J9av98vyjukke1tj
ennoXJaxoft5Y25UMiXs/gln89IfBlSKLkfL1WiXtpiojqFzdI30gzkb8VbmKqLQFKocwZ7KYnkk
ZolgyfKgM+YjIeXZUXSGcsS74gGvtsIzRUeg1ljtx2yv4/87VHN7yKIZw5LS2bdRgQ39cNdB0hos
9+iChFVOGvli+rIMWN2Woz0f+PkPYRt96FIBPa8U93mWHAc7PjmZcZENM67KzuKy2c67ocH8VFF5
2ToSt6Q9PplKWm6KIcZadzQ1QiRMtB6lGnkl2Z1dKzeK0LdYj3CPLqe0Vo95qZ1GTdH8otS82hTX
fTyyathysCw7RGFHv+84zUcmJ0GRZs+V5W4aNd/3qb5XZ+d93a2K1oXKeabbeb+owlet+rrTgWMS
WPmLU1yyGRkekX3JJp5SrCcXtC5xqb23yS/xpLZWMrl8Sir9rm0KJBjcjT7WioFN09RUzcOgpx/Z
T3144fGBGLbbYWUtSVmxCSQmD+oG/e2W2ue+satT0+SPeh5/mELp4NKuaQ9TGW97s8g9rAJduDha
7+GPetkh7ghSN/Z7s5puh5jXZCabbaq+GRNuRx0/yb59coSS+pU9aJejps2enD6KOi95tFnPHC5I
mUPFSVvagRxM8mZhaBNzpl2mGrPoOGx2DvVGoNfK10Uxg7IeN0u+hEe9buv7TpBsgkMck2vlqGQ3
Ih1jrzTuUrWGzeD2iVfp1lxRs4hPfTssF0sWBVkDKIgZNxmz860uxm2RxoFW6oyqHK4hZMCboqzp
hq7aaIgO0CCvyiXza4W8lLx0OfPJlyWJL5dCguTw3JiiK8UyD3K2bmyZ+lQYiY8ZTlAWxr1ulqtB
Mw7aVrSJhd1v4nqpkcETKYplIPOzRuqBqELdk1mxl73q6Up2ObcRoSPWja4VdyVK4c7O6PyHXaS6
N1j0+ya9eaZpGIeF2d5tWGxug19YEDtAt/nnONO3Stu9o8r4yBDFc+Onsma+l98mM0O/luVc3fez
cbRCLr85PFIFKmQXdfxwsjeiZbzpo/fQ+3xbA+ds5bZ3vyqVvJitdAOsGF4iMTupMt0qOSC8M4d0
nc+jZuAsLbRNE2eN18VT7fGQqXfdoi9wmfq9FnWbFPJJMKyH6pLyc+hWNwJLAG0XEnLhIdsMosxy
t8OYXZsDD2nXYi4XsjPry1PWzAlG2eYSMLnvvbmlGlEX+ZV44G2F/U+QLpj84eG7d63iajS7Uzm1
ZZDlbCdd8pEUKLJ+Fwrbalyzhc3mkdp62LvV46SvI35LnXGWsGCefaa/VaJDtKj2VyOX19oYNjF9
gZTOJlZUvUOO46jltsr6dt63CHo/u2rmOn5q5U66bSt32iSdVOMgrqxx9GXYKyjkmdB4Xd0nV2Ig
6NEfCEgt8UgqxFNrpsWjJop52EDDJ9KJGHGr9cK6KEDYTDOn1irLpA2GPtf2pjWoJPhMFo9EiVen
h0KC+GSn0CpPmTrjSAfTP3Nus+GgW6GdBBb5GimL0rFu06govuWmhvFbqLb1HcZQC6Wn05B/MxFB
8V7NaeYvlIn66toKE3ljY5ISIzQdxH2tR5qDK40rcvr7QuheOk/1V24tFXvwNsfBrBjsBXegsoeV
NDl8sKC2JUIPjUfD7TjqXedrUs7XuVIPcoM2moHtJItp3PPoUZ1gniIkY6NIeYNFSYV0VGtL8Fh0
9LWydHPdOlZZonwYl0q5ojKZm1M2W9mm6Gb7q4b+CpJL3cNTmZR0+fLnIMP/0aPx/2ucAQrE74CG
u77rXuMMLz/wHw6G5RA98ZKi8Lew6PtU1f1r9Y/FSwSeBbzRFaP+jjQ42l9QSeFgQI9UcYFcR7H/
IA0YMazZOqAMkDuAQP+AggGz7kegYeV/wNuFh4XAiYEmIsXXQENoVLE6s57YdjH/3/almlh+1Kdt
/3ESss4BEtI6k9uqwcriRkU3Z92FjpOme/ovd75pGQQYmEIgkHIKCO1ZMezh+MvKy2eJ50wdtupt
VrnVe3TmjvBaQtMZjYxZYgJpW6F1K2IzDLfY/SggclpJ9gvzS/y1p27bZUQTFb6aYvG0aRq9vwOh
UGl1yPS+ccq2e3JVstlvasVNeepNGk87umR6hSqxxA6R3qj6oejNj1pvrIrzFAFsoI6giBQpUC/M
MeRxnCUJosZRSEqJsmcy4VmJHXfbNDGzOwUBacdbGOp8q+qDZh1URJC52FrdzKki5LnhyUhKTUQj
+8My+sV8+VfXBmIsY0egVLDUs2vTKOWgc87sFDOkKG0RY7YtCsuldk9FprVJ8PvDnVkFrGthlZsz
8Hj5hT/L2VpIALKFJuHhpGwPWGsOEU5imOeJ8YuqF1QBi0ya+FSV1Zw/LW6nPQz12H2cx44lMCcA
5G+cgdcwGO+IvXb1bEBYwW8s4+wddZGypFFUUnt3KdO8QCiVHvTVomA7mRrjsrOparqNk7sddRCh
RdWmLOzorbehr/j6P3AcvuagymsQOQadSNi5NV+fGcsq+0XJQ5CDOAQOC6oE05PrrMwSHpaxHNWt
CJWw8UDw1ew0RZbxrGp5ExDLosPty2p9eTSYornvWfKoLXaAMjF5IZnT1wsbsxHad0IaY3w/hssc
PpnD1NWmr4IemW8NP9k6zj4LNzpIJWoCMEYceF5/FjV14jlBZRh7SeJUnxfk08XGio08fWM9vSYL
ricNbyPOGU5bjGvsl+X2w4jNLI2Q1RECscX2RKxek2mzfZVWhQOJFpNqIjEonPs3BjXnNw1H5ZYx
cDODDQCB9WxCVDhjU5eQIyMP81B6o6yet4ZVhUGbuu3+93fMT5+Q2EKkFtwuOiYmyH5en8oIe9xc
z3JUDaGVT3WgGWRO7uVcDs5xbqSpn2SPu4f7xl3xmo3AiWUEhvRK5+7AWfMnCggTXccoyA2n8IkI
k5u0LrspwpSyndzL7r02E1AgoReDjf8Nn/9fbEfrYS0LIxEwaQYs59qyRWegUWHKz2HVZWmgyo3T
Ze84dU80RiWefn+09ZZ6dcuBySJkA6TnsDzvzs4tJh46YYl2GnmLkvX7tq3tXdgbxk4Jc/emwwZx
U5DEeYw5wW8sIf3Fk+X1wRmWA/RrENnhPJ1f2DDMGj1pDNZPF051GfmZCx5717V0O485/NjOxYWL
971zzMWGMJBFK3VYG5Qco/OsxsUM2mEnLQ2Jd4bMDy/jdIAGMBid5atlj+FwMykWBXeO8jadPLdf
quV2rLqp2oVc4OK2WkqaC2vUZoD8Phyb+a6WqrV4emgp1u0SDsnyzUia2hz3amdlkBqHkWjid00y
KMMzBi9L9G4U40Bfms5Oml2KMdEF+S6q1tziL2BNfqRHlUU6Um5E9ilT7Zl4iFEbnZBODdvxqy6q
4FBNztS08zZaEn3p/V4rE/1DSstjDQdXRIWovT613fxdvORA2/EULdpEZRsL5D/GMi0fe0cnODQa
zBIKQFZHFo283ceKc6jzfExPMlKN+ArIpUx39KSF2PMakbtsY2WqwsHPOHL6JS/J2L5ggtfmQYZg
iq2jUy3Fqa5iO3XS4sDKtacxqCdzcgO5DIXJUz1WFDjyva2H5iZv9GIybgptambxrTSscmz3TV3k
ShJURunOOiamghRzvzfCmQo+mocZpCIpFOfZVQq3f6eTbA7Aapm1TU9QxXb9RTFrbJCTuGwabAum
LpYbVxuV7pnKxpYBnNA4fXbdPC+PihFSkwCYpI1OG1HWa6xMtMRVYGvqhIeXkGmWeWLs+srXU6fM
Pwh9oTVqSbQaj3pvFe5+jMYCwCLCSugQl4OiXNGdRTx9CCmMu3t68Lm8oXapv+E04Lh3UauMseX3
NU5WH4EFophnOugTmEU2zeolVWGi380lY9XTMM1dtTV6fQbKz6zEPDrSpDwKEmwOpneA0NM+cu0w
29bYc/K+tCy3/aQu0tE8xnbZPiRqobmbCmcH2uZciXpr+eKQ2DVRYXLJKozQnEpku1HrjFJedI0e
a9auLpm41IE7EraCzVdkaptFkR3Ne1cup9FyBmM3kWmZH8aa58rk57ZMeic6OpFi2s3GTl2RPmAo
XfTvgfWXufebNlXjA4ICJWbpOloxbTPdyGvhdaqa4IsvTcBnhkO9UI/VEA1W4Q1uaC2A41NuVqPX
Yw9sG14/SoveWyjFGLTGDFsZqX0N1wq4G3B/UjJVv3GsmTNL+9cs4oveRlpy4OLG9UaEmkSyFBFO
fNQzk4JUHccp/TzpyLm3JhhUf1XrzMIultnR5kur6MGtwbcUFCCZPjbY0oTqMF3Mla3FOxIJteiS
iNsoeW/nSZT1l0Na1E63wYeokrPP4hDToU5UGTpf8haU7R2Napbo3oIMZoKeZI8SbzFnCt34XTeI
JNlboqvH/lggprMOQ2ZnRrQl5Ee2+nU75wqok1pIu7qtQLSJWsw7g50CgEcT+aeZvhW2i1I4iZcs
iqa+L+xe7U8kV1bTQWkNGV4qYQwSPY1CPM0Ss5C3Hoivn8N0UHBT2WzpXxCSUCeelWdhacaZ4oT2
tpmZqDCw6A5dUTXBZGPpUk/28MYD4ufj6fjBvYQg0Zv9ZK+crv6m/TC72ywc4z3ClW5f2WqFSySb
9LIYb6nxXz8L18+nryW5CiV/ZSCe214qoTWQRuS42zqrHGg/1rSd4mFhdkR+mtM7mlcVoRMolvGW
991ZT/ByaGs1GMRBjaSTnzza+oq6ItcXGrQ+7uJjxlYx+fME7V1V4+YDhIX5kGObYfp125p+lBZj
sU2btMsCqyq1N/SPP9WuFJXwX1BzWviZwfZ4XXBpkaEkjGzCbzHD3GPaa/rBXD1Vf196vL681Fc2
r23CDIBQYjPvPzuKHUepYRKY8q2tilzzsqaL56DKqSt3jZH3zGrDNPwzgtF6UB0aAubpXOK1Dzuj
JFqwlusKNOhbw102+DmYVrZrdTWdtvToI4qvJJOhT6juQn8azvLghBiCfvzTj74yXQl1gGZLeXlu
oT6ZVhM6RrwWPjHTUGNXT1FbMPHIHaO9bOgPo8Ijm8Ro3rilzpc4YcVkU7j2GuDO3XxumKsb0azr
jRB7A4Z36oUxrkE7R++1u5LdMd5VHfQdwNIB2hu4vLH//ed+3TWsy1wVFn2KjT0ZxA7LeL2wFD2y
euz57O2MYGefG3pzjPQxvgpLCqU3ltcvjgWwAxlzxXFgipxd6VyXi5HSpm6psd2LiErLm1CC3dRW
Om3+9GMh0VyXE2vZ0KFHvf5Yea8O42yuwRFxZENFnmCARJXCXFg1ZP1GZs3rtuRlq+ABC+8K0GoN
CTjrvGY9gdFSRtGuS1vnkLYZ8wBByLheE5nHwI7kZFwjjDe2hF8cFZ0EbQlSRU2nP3n9EQkDpvg1
hLLNzVzeVro+HiwLBzl9UvV7cnKQ9CiD2b5xDc9IkHxY5PhEs6GiRxWhY1P++rAOVAYjxJlzVxGP
rhJHMYwU9shBVwFhYTExIrI88rWFWewmz+ui8smutEfPVds0km+8nZ+WFNAIgnDeE6PNlR3/+t1E
/RBGIMHZjlGtMvp1j7by/dA3g2fOTfJWuPhPp/xlo1rTWnEY4Uqv9/IPjX3a4vqFGIPxk9MO0FmR
0zPrhgAs5qwIHMbJX3srcb6nCQEN/zp25vW2zCnHhoYGlF2JZxG92dlhxdBAoG3Cbjdmk3qfGvp4
p5bdiNq+7xUP7MZ664iv4aeXI64RCgAlNNtshmcrWs00xegp/3bRqG30toiuS4byu1KX9QcW9Udd
pOVdIaPpIqKcu/39vXu+I3IZAb24nYDk2JzOfdLhVxOLa4VyN1c0nWTgAhclVfeQCx3lQwlDYFRq
O5jSbHrjljoL0lg/t468g76biKG1AV+X2w8XGK6pEsXDNOyGPlp2iSPhY0yF+9QuA3EZiSj8ZZSk
fWp1ssmHftxbEKd2GQw5ONMOhLMeulMf6oj5f39OflrnLCOSFriUuMez1Zyt86q2eDjIdt4pzYT/
t9nXO6VbHodieGvn/OnscySsCXCMBLzHM+js/jaTpsCedJl3edLq/lTqKnShjhTT1FQ+SSXuLjQL
AbZiR7L7002bQ1sYawDNc3Dmeq/PfiWishWLO+9A1ajxzAHKk5FHjy7n9uvvz+fLPfMP0MGVdhwb
rxr0RBgG4cRwdqWFguEvozdtxxlAlpxrjLtkW+3wB8wOTQ4lpNIZUOlOE11NLtmEsiNy2lFb9b5e
Zmu75M0HUei1H9GowXnTChgWWfxMdtlbu87rK0K1jVaDEhT1EegXz80zNFwWRcOBnDQwEyRqx1yZ
xPKZaEvoh30UZtd2bXd3BdO/Co4Tg+Y3rsr54dla0b7h9LU+TgmAODtTGdGqQ26bC/FU9nAolbq8
NZvhEa3XsANByP0uHt1jqSRy+/tr9Hq35RmzHhhhnUBuiy3qT/bTkPoyC37Ultjm8muuZGMRxHar
kqxl2DXMPvHfnJ1Xb9zImoZ/EQHmcNtRLcm2LCfJN4QlS8yZLIZfv0/JB7tqdm8TOoMZYDCDmeoK
rPrCG2zxM6Jd9OPyuMfXrRxXJlRSMBWBJ47GDIKq6UkROPWI71Lk6nuK7vomLwZ9n4YFOw2z4fBf
jMce82GTXFH1Oz725WgMFHsopVs+LAIH1dJPYJLMfT3FT6E2qAvX67np6bIK7mm0vgiTjodTjBIk
mlupwGcL70tu1WRt4M8suvVFSdkN4bqFR/rsiJRrNdwZOb5zWYqiNbxII3rfYUYOhtOr9P1I2XAL
gS1eZYNZLAhPyxP5f9/2vw1k3zSJIOYal6pC72/x1MRXcSh1FtQEwRaEo7jv+ScbYY/ufzEU+Bad
wQiFwEgfDyWF4ztT96cdQhq0w8dRAeaPLN428Qdf+dAj8G9e3I4IVnF9ScnG48GgDwWj6UbaLu4H
67axQvfWrupylVOtu798Jk+XUBJh+fSIa3kIndmZzHrbnvrYUnc6crpbL/SSlYrA6I+kqZacKE8/
c7CQ0jEARVZSsHms0XrgS2Oor7vEbsqtZXbmpg5iDJR6sn30QsA29V6y+/j8JHmXnWOLMKY6XsrO
DntVuK26Qzff8cAmm8X3wYQzdCAuypYettMr1IbBgraAbApxIc0+Od3rEhGKSN9FjtJVX7TCqcZV
lLcuuq1D3RjVJg11vACBuVr+twp+bfofTYn/N4Y8s8pcp1Q0ma90S5pN2Ep0LDFFB9F8Uhrac0BI
8jItdxWFgHUZg942pzj9UGIkDyzq028tN0gguPTMXi5nwhja6hm0sp0I+IrmHAJeu5sxcgAEGaO1
ybqx/vAnKRV1dCSQ5asJZeF4a1ncDk7ZYOyi2H4QatrvtFFquWVu849f/6E1lYESx5d+CVYJxyMp
TTR0AIaNnWoQjOvwaQ7kTcSIaTLthSKRU0ppLTQXz3yZSGFikonLGV/FPLONwA/E1tQYvE5juGlt
wNpdNSVXjYRhXv5ITu9ttgwKJcKwsqE5PzORQSFXsUdth3K2vg4jxfjcO1F/6w9KeJ/qoPouj3dm
apxQ4j4pEYJW7Ww9M7sQSh8znl4AjNWmdrgzw+xvUg3t1eWRjstpbweT4wGJm8mhLzcPLegd9UnS
jdMO26D2Qe1yYHtqmscLL/vpMFQeqNrRSYOICoH9+IB4U5MBNgu0XaOG5kjXhBLTWi9049fl6Zze
L9RVQNQQJFFE4m04HscF+66AbNV2aupyJriIdhNl4L9qCFJb+FjqUN8SuxjY7sKTdHpEJFQHPT2d
pjNFpFmiOLlKiyvKhISHicBoXhmvLr2BW0Xoj9QR7YWzf240KpM0KG2SbyS8j+eZkzdoyGpqu8HI
KzIupwu20FrqtZGmznUVjU7zwRFldd3E84yiDhU6AsLjEX2lwtcumFrp8Reuhae9dLpzPdiIq9CG
7hdWc/4BMBrPOoUxQC/AouY6D7mWCa9QPSzPFKEeKmLCvZIVfrrKQBDmH4zK3gYj0oXYj+0pB/R4
ahapahG2DFZ2erjXofEgD9hV15NAH0wtC3vhmzuuKcjKMpPjXkaCkdzuzQ7zfVTmRog5CWG220Fr
LeRzy/Fr56Wwjccui28Yr0GDs/YPemNbD/xd9cHbRY4Pv83l/GC+cnJUm4TQCf3ldtsG6bCmnhrv
Rvq7WMzW08KpOdlHIBgofEnsB3gMYBnHSzt4wgf/YJTbvrHHRxGnZXhXVl0TX6Pul9xd/vjPDYYw
BQ8eFTC+xNnHb4BYM7TIJEwq8/jGdxOUggo6pK3XlB+fF+VGWYqwOJyIQszmhY+FWdlmuZ20EHUR
qPUCqLxfIJKAD0f++8MT46Hm4+PtYTSsm4/C+KSzfYBgfHsBLfUdWZL7M6m8eNOG4PcvDzWPjiiq
8BoAnuFckGzPwYBYxmFR4DtAT/22vbYbG4isbm6l5xweHUa8LsupWDiPM6tHPgiqObIaTjFRarLP
75bA1WOfFn2Do1E13ikWxwSeR91eTT39XfxItBtH7/wdCDjVX1Oqg6ChaKB+RTvk3wBVNwfYkqDn
P7wWyHlTOCcP5mk8Kb95SYv8G7183USOMh8mL11XJlbsAficKxsZ411dmpj6fXBY/nfYhxEeQ2HW
KWQc73Ybm4EBUgTtZoG+Ciau3cqsIVGB2ZoOaltTdNDahff55NORY0qYITtBJqDOb/dgUIYwKfqt
OabJa2R02CwTLxyKUm0+epjlUIiNocwsG6jziMOIcWKwxqhH0sBSVmkm6WcirQ5wqZOFsNRkpd6n
vxwm4jbKt5iWIgw/7xVG01RNlY0KdmMq5ufYqcu1qvr9widzbu3I2gihZIp4opQYGmOr653Tbx2j
EteDnlQ7GDJKirFNtZStnXyeckay08GnCTDpTdPiXVnWsNrOqOCQb/VKNzaeNVWrCrDO1xBZyxXS
5vABui7/6GUnr2+JppPTI02UQde7QSOMYzQt7oZth1PUBlPl9JrrZ9xqelbtPnz2aeJwFXD2JZN/
dvZ1BPoRF6KU2+uj8RfxgCFbxxgYAc6P2u+FqQ57n7T06fKoZ3bwDQYJ3kyW1046jyGWzEaNQFRk
iVejKzRc1nKX4po5fv1vRpLqXs6bSfXsOzOznLK2ZfCdRWpwNdkKN4rXwOuhf75wjcxDYQ6/ZKL/
71CzpXT8UPFR0eu3rpuU6N4lebkSMCHWdmK0wMH88E4RQbxW6qJfCHBm4DkudDk20HSQkdTqOTbH
J6aOXQQXuqnfthgiS35Rf/Dwo7hLnWEAVJwlokAjqsHs1bYhMtju6N2pwh++qHjO3PBQxIfR88tN
gm0TneCSDjiprKosLNGZ+4FWO+8cDzg6tvN990kePZMq4xbKxauWpyNcMMdduB7mobpcC55ToBsA
NknIZyHQZKcwrD22vBFOcl1y++7c2jduXREaW20YtYVSw0l0KcdDpNN9Sw6MuawNkKqSS1UwXgUZ
r2npaBudGe2o/Gsb1+0a2HxDsG56AP9pOSx5Tp25oRie7FVKhLHzcs3fXRadOSWdHwFkq+wh/aRV
mlD3jQ0fzikQuF25Rdp9aa3WMj9d/rLOLjOJJdAJ2S6bIzYmLe0HoXLkMCbqNmS07k0D+2djZym8
oMRdagacOeMYfiCXL59pBDTnLqaiAdE42ZrYllACfTx97fiFSqf1HTbE0K5EWpu7EQzuXxH3YlPW
UYCYo2pWL8WoJQ2+2WULtQJ/gq1Qh6hYgY8uNoE7uH8uL8zp5cZhIElE85b9ADZzvCFNITJq0QLq
lCApLaek1LZWjV35GlUkw1+IwU+3QcYR9A4pBOG3+Ca79W77+dgMuwTetjUSyK3AVqZH+BncMn4b
MltFW7hQz41n0qPEkZtPmHj8eHZaiYqMmNAFEEEioJJhY5j+KLDPzVdNF3sAstinYmHQM0sq1Qfl
gESHwLGOB21NWuqdGndbaMrJfqK99ksNAFv7ehDH68vbd3pHuZpOVYFskWly1o7HAkE3uqOajjja
dM2LLkwDvLDT/7o8iib/N8eh0vEws3VszL7u7Wgat7BMcVt32vBBq9W4IrXR9dfKaBzlk2YUiIjS
U+h+AQ81NjkAXDRXG2PPQtMUv/yTThaZSAddNrnMlMMpiR5PHA4eWDbihB2CpyGC76QDRYjJ60im
ub081MkhoqyPoDGJKmVpzDJnd1aAuSuGqrW1KyLR3YEpM7dBBklWHStUSsekGxYeyDMDSnFyWq/I
FaJ6Juf+7isJ+6RrQwQld25j5bcq+/7TcOH0uF5ofQo7RxkWXrqTR4EIThoEE27TymBljwckc0vb
fIz1HYaGxRc9Cux71UiM18CEhbLKwIVSlFNpn1wHnadmV02kLJkkncQjcnRpNUIjSjZwZyeMYM8z
0kTouyAPq8ecJuZnLPm6B7Vpi3GdDDEM8g6Gax3r1cLpPj1KrCXM0DemHd/QLOpywr4zfXvUd7RU
JKfJQtTdMqzuEGSj6S0cppMHkHla1DmlkKpOO2x2bksDJzxzKvUdrOt8EwE+vmdFXzOEalDL7eKr
tNeW3C3PTZCegZQf4tEFrHm8vRbWcz1PEXIS5ajA91SaflOljWM9FIGvugtP7ZnDBAwUf/S3zulJ
4X0wPAX1q9bYkb1GG1Mf0UisXAxjNKP8ZpR9vVODJP0kIK6hfKAXL5e/1pMbkYMCFhUKFj0Noja5
GO8+niCe/KkrU2032Ul27XeOf5i8uF3Yxhm8i2UkhuCwso30iQC0zS4FFaxmVucCgZtB9X9VQ94f
msj0H5osDexN26G5BvGrScNtOllDuS4wOPlN1dkxF37JmfliaCT1qLgIyRpmPwRRXasp6Y3thiSw
flagzQ4ibaqFXPn0SpJAI24HqCsEC/OH264Ht83JzHZpHb2aOuSileqxsyDGs1vfBRn/4V3k+UR4
SyrbEXrOPhMjsQNBdmLuiBaeQ0TIN5biLvVt5FE4etXYOGICFPO4/AhGZ9deo/BiTG1j7szRCjAh
L5AJzPLmytPbZOG5Olk/KgwwcpkLEEcCQnktvDuVbV6T2sFT3EU9WG3Es4AG2Ugm3GlN8dWPE7G5
vH4nU2M8DiWW4QbPCE2i2XiOHrXO1Gocz9D/oUphSWD/mE6ZdY361uXBTu40BnPQO0NCXvLd5q02
xcnMooljbTfq+fgNpn/zI0snYMnGFF6TndGIR3Z5IfI5M6isHaPpR4CnQoA9nmHWKTVMBmYIuLO8
LYWn3tiFY+25Xu2t7TUj4ixQYj80Uwpv0Dw5kpSm2ESKHseDNqWiKtOg2o9lFL3GPYgM1QR8t84g
422cQbQ/U0reHwua/w2KMpuJaRsiWvOiq9DG1FSzzn4UQ69emWqoJ6t+moZ7qurmyrUSRAMvT3N2
hf8bkQocJ5Xvgr7V8TS9oAhSFLStRxjUU73Nx3q6oVDmoK7kaP5nkC+A+4zYIqQuHadYq7BeFiyQ
Z/HA209gquB2aahSSZ89ytSxWjVtmLSat+m+TUWDzT1DDU4l5c0SbZVFRo7ggZUvRF9vJ+fdtfA2
NLkCxR5Ol3S8P559Z4zCTfzAfYwGP+k/oWmiGvdhalrTyk0svdsOOVJhnxvNN9aj3bnGVpRj2OMV
o4WfsU3WwwNsJ+VK2H43vdZBrqOlorZ2Hu2axtGGZwAUbYcZTBtq9xPyce667FXnts9igB2Xd3J2
7zAXomPToMXPc6jTnT6eS4XSk+IUKctY6t0qtro2hn9nps2q85Lks9bha3N5xNOzw4h8k8Stkvky
b/bDBYfPpFjWI9pf3XoylfZhUNpx16KzdQ0bVrtqDNSDaKPxrbZ1+DFUw9uE4fiQdpFf8r3MYh21
UFqzT337Ed2Nbq+7RbsJQm/YBeEw7S7PdEZ9ceRYmrx5bAxq6JjNazdhaULFHkr70e7rFFtKqxvo
JmmwfQu6P+1GuF26btVO++Sgp+xdtXxuW703em+FoUcR7C//ntmN+O/n0LRD6U6GP/NzC/nDFOmo
2Y8VscZXeOQVra4x3Tlhqa0mJ1L3Tgrj8vKgs4fm36AsOAwrSY6Y1w8GV0EcoWztR58i994u1P4p
RkJPWzd+YX6sN/CfsVDKIHSGU423yNEjOvq20dRxYj9iJBr/7KUyda6P8aEpio8ZdP7bWlnUZl4o
aDC546Eqz8rRYGItU1tgCqsiD4nWATpTCeq5VqCsg6nLdroVRAvn9/Tek4fKpDJG/5WmxGyOoVEL
3RSW/aj0FH6HSORXjpc5K2gmw6rsiq3o6z++pWUL9+0M0i1nTMDOoHAz6N/TazuesSW6yDLDKv1t
DpZTfhdZ6Gkrww20H4baqemqsGIMXsfMICirMrNyNpytRIMpWvbZjQninwPfl1q2b4QRbw2lFcbC
1XLmg6NejLMA0D56/+S9x78xKtqCmu9g/KY69tv302RnofMpUQ36hugXjfUEK0+zmcpVFQwgbofA
28cl0g8fPfQUUWFTEHfQqrff1CDeR3OR2nRhKNxHatXhtdaK4a6phPJn7C0lW5j06VcNqFcCXjnx
Ehgwu9BIzUsAP5H/mORpe+NrRn3wQ8SB/VFVfiLgl6zQ9Fz6qk+fDYIqaiuk3XTHCAKOFzqeAied
bBH9rnX8yZo48R4736Eu6YdmR7WyG/5eXtFzA1ITlC0WlA1PQBZuVkBAMtX4t2is8Zfu6w02Pjqw
DiQhHrpWfbo83MyZUp52oPOU9E1gabpDleV4gmUa04FwnOB3FQHE+VZkCRB1DSiAeoOmLAJsJRZC
Sqr/bYifbzCuDNvV6LTavgxdfyvsJolh2kZdurP6NhYPZd5MC0tyZuPJ5kjrcL2jRjuPgEZkH43I
b9xHvzbJni0Cr3hoYcmXSf9sZp27qsOYB+byypze5+R3xAsS9k/eMNdPV4DHTQbapo9oikWHrEj0
28kbrAdViem1XB7r9K7jbBHbAYkiU6ELe7wJSkorPzSm+LfqRPG6oha9z2rkVPPKCW7wre7uR62D
OZA0w8LTfTpL2fPFUpIagYEZ4Hz72xDl/S5Mf09TAYFbi5N83Td5qK6SzAwXboszh43RKK0DV6Ji
QE9gNs88djokcJLfheRYrPO2oiBQmnlW3cEWytstTVNr3ASpH2jbFCKB8wdJ3uFLiW6zv7J0H+H8
rnadm7EUFaXe1HPj70nbcE4vb8jJstCaoWDruJRWwWrO05uIDhUE0zZ8AiHmZeuiQ0iBKHn0ty54
j++XBzvZfRmp0HeQeGb6X3NO9pRktdWjgPiU6X5yK+wk3btZZu0VlmclCsX4gTH0rdGIJeDryV0D
AhC0JuLZYO0NWg7H2xHmA7p7SIv8iXkf/uR6Ot0IUQ5fy7Qa/sR2skTcPT8e6EbicCpTc1pamztU
qodE/+M3WX6lp57ySwx5us27Dqm/QFPTBXrWuQE9NpHWJTnRSU/R8dM+ivzB/DOqpftnEoN9l6cI
gqqoBm4MYS4hAObtAbguuAXjpk0nAhwglevjFZ00OuSdpSvomtYd4kd91ZLxIDl3qH0PUVcD3yHx
lKLuYykoUpRtcR81dtt+Q4YZzzZ4ewVXa54A9FnInYnHGfsom5MMtTeSKwayp3FNowILaodMPCMl
FCqIQHmIK67KJm0iZ90PuWv5t25LwSdQ3HT6YiKphww2uonGWomt0PtcBnpG2QRC52bQrKz/3JYd
Uga5Y6rNFdKbfX4YYMMB88qHXL0mQ9asq4liYHRVj5pUZVfRgn1AxnDAYacrjXTrUt9/NogVkFgq
W6LzXmhRfp+kWWOHa8xGKMZv7dKoq2oFsTr+4aJiMT6gbe08AvJQ6ZyakflIfhIjs2WKoNvGyKKH
6yYb06ewbZ1oVeaO+wvr7rCRMmcBJQOkO8K7Sq8pVbSlwX+6tlSSEWTOG0RWDkVgW9E9BvHdvd/W
/nCFDHL2DbRRiNfeZJvRZoyRYca3aihvRr3VvyPw1Wq/x2xCULNIkiz+IkQ83NhOMEZQsW0z3dqA
TrIfjTmo6gFpiMLtVxPNon5D1Sa+9coBxVszcI1uhYI5CrG0YxMIsnj7Ql+38Kx6aTJfJZuotHrY
IFNf3MdJj/RYr0VJeuvKdg/b5/k/LKdr8l2jFaONHndi/hpdpF02GLUmzd4fA+XWRw/SW0c9rebv
djWGar8FpleCA0TJ03HCqwKFZHc3QJF9mJRYNZ+TkO4sqG605nZepRivZoSnJbLymJ93xcbux8ha
wraeXIt0xwECyGBPqvu/PSbvYkvNC9QoK9XxmSui3Ydp3+0isw12MqtG5cVwNrCzq40a9clCCnAy
MiqD4AJg2QMrR1Ju9igWNnYCiGiaf+1ezeqd3jVKsEEDQPvaeqL4UQuKerg8AWT29m2IsMgS0vak
dEDgQUEd8BfdKNQVZtfIiOSXlWV58NqOgx18NdzWfVB6bSIQy+ovPWLsMa0EtNdj7Id+8DqNCy/1
SciFfAa1gzeUNinYfO3TqdJyEpfkifBeg9aamcGmzBFnXwkFr658Kt211XiltxB0zS9sCbSXcR6+
6/xhzit8qVu1Q1mr9tOoKPaumsbqUOpuuUfjYbj3rAq9g8tvrzm7FOkX4I9jQ/miwKVhH3N8YXcp
eje+M3hPQRk5040zovWjyDd6AW0yDygoAtHloo3pWDKznHf1VEUpJ15Z74lKEVLJQyO+W0WQvehl
Zy35zp0uIsRvGU8SvYCO1OW/f/fh6KPp49Dc+09qgUVL3EztdRNV6prwaVxXoi4WNm3eAsI1iwEl
6xv6DLiSORotdSNEfr3Ce/JSK/zqCE988d1y3Ai1bw+4BTgB2CRqBhkw0AO4vD+wwpWryxt5khK/
/QiUQYijOLnwso9nXQutBPOcek9Z1en1BnUiaW/guD/CVuC5NrrmNrTj5LkfAv9FR/36S2rlKmLh
GeJCl3/L/P7491PopiAMQs3YnVUQ8NRRh6kV3lPpuZ198IRA20F0k4uGci907hKtmq6LrIi/at0Y
fL08+umRlmok/zf6bCEsFOWtbtL8p6rP0ext3BE/s9Bd3PazxwzcATekrEHMuVqjoQ89HQ4WHGW/
b6ZXazt7aq09T2N/Y0cozV+e17nxbJmGS9ERkESzJKkQrj163ug+Db1lfEeeDLvAcezX8KbM321V
RwvH+twnC8iXyJiPljRZrvO7z0gAzAJWGWALEtTWnT7UwWMe4hqD0QI2FB+fG713Sg3wtOiMzU5M
UhMR1nrEWKFwhn3R2elNYUTutIK17eX7PLX+43T0/3LRzhwTXUU/Bk4YoElgaMfTgyHdu0pc+E+K
r3Xg3GwmuFMTnvKFuZ35GhhIbhpgOzgHs6SvzChkmOXkPzVqWSA55Xt/JqNUtnbU+Vc6qlnrqvDr
7xhvNPvLq3pmB2WWYQGVpUVF9eZ4ikiCTpFZ4Q6ioRfq7VGXxl8F/ahpqw4imxaihvmbyVcPFpcE
3qImS8YxixrsSG+VVAuUJ+jEeAZQkMXRoNHt8NkvkdDXpZh0YHj+w+VJnvksuOSh/1AZ45Se1J1D
06bCbLG82BU8J20hrkgV0RMbImWLD161sJ3nxoMGDrCLFI4xZ71imoF1qqmj8qTYNXL5g9CkFcqY
bhU3im9NVkFdGPHcNqIxSV+BPJUO92wbaTvFnu9rylNQTQCrXTvx14jFxjhBhthoXF7Oc58FZBVQ
MORKJHGzXcSyKGzKUPhPuQnNaYsAX/WgaQOuKpfHOXdaiDvI9yETcFxmX7wnanyGJsd/crKgO0x6
P24TaTEBYM6/daopPdTj5C88kucGBeIokz+gXCckZuiEhZc0XfCskCmszbQGBurn9lUYahWOKp35
qdSjeP/RmcKZlJ1pGqjI6c5RgL0v1MhX7eC5w0bTWGcWWjsdCJ8W4bygusUyAWdM2Mzm5vK4pzsp
uZpEQNS1oOrMsVxUrOshCB2+iaQ16lXFRhCSUDJ6vTzO6fHkAqXdz3LiHEqf9viWsbvYzlAkD5+H
3vFujTEbV3Hv2Pemrixhps4NhaAseHVIlPSa9OOhsiBKYhWHF4bqs9tR0ePvYSYq4ski/fC1YvOV
c7EAOiGEmQfGAUpuDQAHZuUZ+adMaZQDGGw+BYHxZ4jy5eVFPD2ZDAc6WN6h3GVzwobp4/mBv330
jEaVhQ3h0D54CuT6zIujm14xdAy5iiVxwnmaxSLSQYHKQ+uCMt98jhb+F7mZF9GzChJ3b1B02Rhm
ZmB6kxifqTC320IZ9J8hhbKtlyDKdXnO53aT0EKWwjg2FOGOd9OPqtGpkOl7pjonDjyT8dp08vTe
mUR0uDzU6aVNkE4lG9wb3wKn9Xgoq3CFNdlV9twMqVFt1SwqkjuATIr+gwpV+zUodRsbkY8PSi2M
D41kktBm9lJkZZJg01EUz1pfB3s1wPaVupBxO+IEcwVT7oNoUWYI5IY/OUNEUfAIjieZe/ZUm6Q3
z0btWCtL1aN+VfYN9szgp15jysQLL/7pBspXkIYUhT6p1CAjn3cRImC0OA+6IX1WR31CGCJwfogI
cZRGE5O+sJhnxiKnQ8cDRIF87WdjEUYgbdiXyTMKocb0fUxq0n/f8zPlgDlA8f3y1p2MJvM4DS7l
W/H7ZCndWg/K3oja5wG1TmwN4dZpBKg8vooh/ouxyMxASMhSB8Ww41XEsqC0VXxYnw0VPaJWtVN/
y5tobPpGiZZaECf3DEk4tVmZmVFbIU88HgwN17GufH149oamuTV8fAmg9ltfBhEfhBdvMcRLFr49
+fvf112ReaB9BZyYAoBKr202v6J0/TwNYv1ZTVTCl9bJK3WrUytcyPtO94xyPk0kLms4JZBLjqfm
JQLmDNoFzy09in414BV0HQ6+aNcpCjoLx1Gu0/GkZIqNOAnUDl6jOdxeaywl1GBj/02tDqR9mFs/
YB7Ea/SAUYZUMPUyRvyWg0TP/14+mifVBjQEbRQa+dwxyoAsJLf43VdnDDbSxajpvVIytf9EdVbe
kFmN91Vs+tfI+PZ/S7VTvqNuMFzDkHJ/6tnYL6z1nIpLhcqS8rLA4MF6ghSYPfpRrgx+MVntCxTh
GgVmO5aGU1EXVNTFMKW7TiNVe1A8YzJ/KGYWAoobDe0q6606oWac6X9QbffjQ6pqhbrwlp4gGIi2
yOuAqHLn8qzMf5wRAfZsU0t/qTAru8fJzvijgLR6oOJdZ3gEov43UD2CeqRbNxVeSg4CcYp2N2lB
IYMJU/ysp2T4pdoqbMaF7dNnJ0f+OD4JmJkyrADhcbx9Wu2mrdAm/UWtW+8TThjBg4a/PI4QjWt8
6eNJQfmxrTxn1VOuzzB4csJwI+qyv2rNsMcMCdlxa2E/5++j/FEkwkQCZDVSNe/4RzmCOFGglP4y
jenwYlVa8WqlVFVNdu1ex0NraRXk+Xj//VDfJBx+g2VjmAHb4HjAwbUiHNAG5yUuahU/wD5vkQR2
UBWpwib4UjRlrt464aiuzDTu3E3BU32PDZ1YFYaW/c1H4pldqLfZx6woJNaB0q9M1kmALEAWs5Vw
00Ii/jX/b9JZf5QEVcUVJg1IuDh5eZXF9cvl4zC/jxmO3jrGhxw1EpJ5rdL3uqbqCj14CXgEsBbE
sBA6sHJTlygI9ga2z2bvhgurP7+83gaFvE+F34FRPw82vbENS4GQ7Qtg3GTdGqG5p+XlrQOr0O46
r9T2g9VohwZH1IWs7/ScAWOA2yFhs0Cl5niZfgory+qU4GXU4v6xlLY/YRwZN2Y3JJvBDa8+uLrA
rLF+55bmtYObP4vAiJTUKIrjGH19rMJWhijy58Ho8Hn1RNavqGsZwwrS21Keac1Pt4SqE/6wswaw
5HlBWNMmXITcKHmpUz6dKpeMPa/2sWmxefc2lyd5sqYMRmtTBb3CdhJCHH9KZe3o2CF0yQvQigiv
zLQtFNiNVD/yqFW2vT2ieHZ5yDPzo44vxcfABRFLzO4wbGBiGuUie7Gw3Lmqfde9yaYcfkUEhPW/
GQoArlS0kBfG8ewm/LjLRC2zlzDFzDHzNAVBc13HbDShQLAwrzNLiYgSUR8ZJvqCcy9tqpCI4ip1
/gJ6MVxjJ21cdTSj9uMolLusmJaKLWfHg5sG8oUayImmJozHRIu1qHiJYitoVk5ZVO1B1QfrJqjz
QlmVpWksQCdPvn2wLvJrkNcN+ND51iUhPXklcbIXO44HCAdVua2L2F7VXQLgRm309rYyrWQnFZ+W
gqYzx4bnxYA0IsMWNLKO93KEnRnDM8pfwm4o8hUYluKqqfo4otOd2QsN/zNry2CkJdzjxPJzKakc
72w0I5riZcoTY1uYdrcFUjjshW8E637EfefyQT07Hi+nJKtQ/JwvbKbrXVhmQ/HS1bF9RUEi2UxT
nd3xcOVXDc/8QjvgdDExfMPFgD9J5bS5ymg1SPeqTEteJqdX76ugqzYUmMc7CvlL2PHTkJMgCr8v
EmeIpZSyZvco7NlEI1hKXwK3Kt1VPunpDo9G+5fXIGbsjlOxqWK1AjkljC92j41GI6ZqoYV4usD8
CBoEvB6mysbOQk6qkqMajwUfpzPFeysp8EM1c+OvM5SIuXnFR9E6jISQFQBBSZZDO2t2r/pGJ8pW
mfKXZjT/NF3VXgUGD1c5OZuIVGl3+ficbifQMDqxlCUxwFPnSladLrrE8JXuxUhM/3OkTsouib3o
YBri5eMjgSQk7KC5D7B4FuFEaPOOrVKLF7/Xy9tJ98JtL4Jol6FQtL88lDwX76I8YF3IJYCOBcKg
wUDy5GX0LlUZpyZ1YiXTX4O8MPel1ujbRnN7XCwVHz9lVIMy1wo2YR/FP1QX1N/l4edwpH/jS3AZ
N54hwdTH4/dANvs2bLVXqA+muW3dSv/Zmm23z4Me9vJYqrdq4D+qvu5egeAGhGNP087Em/2L2mZL
19/s6pW/hmoJPSCyfeKDeYJK6xbINHror7oinE0T+FAw7Nw37hPfcPeNb0rj98bHPDepl2hg8kWe
7QTq1HzCdMa5LuaVU3swnFwPcuMVt4QU18Zi+qnHjrJQEJqnhf+mKCdIPIKKwBzKl7UUMfNcM15b
MD8HLVWwSWy8DD/Fug536mjpqzzGzGkch+lT3CifjSHBp9xpDynes9/AT9fBQng0b4zzm95K/bx3
5KsE77NXxx26AUMm03i19eIPBvP+VQjCfccb+djhBlWjh2OH08bDJeseb1xoIlEHEGsiqLl8HGef
+L8fwgsBP4JKJPnz8Wksqxw4sp6ar8Aco22DdfMhCjuxU4SpbC8PNb+x5ViAvpgtBQpYEvPSbtd7
EZRyMwxWiuGineq5ODb1bfB7SIPmMDUTJOMGqzv08zC/UXwK2qB+ni7/CnlDHh86R6qLqLyHQEb4
63jCWuAWvQViBxu4uPGuO9f7Wta9K9Ai6qpvcY24MUC1LlnacbmQ83E5gvQjQCKeaouMflwoiSmg
pg5G9Ll08IH71EGFWeuVMr42KWrDlhIFfxBFzOEzpKhKWQNmCB1+BBhzCbW87huabQvR5ZnrSBpA
ACwiw0aoYA5z9hIrtD38FoIVmFT1UzB04cEaFXfVJc6AI7Y/XA9D1awd5NR3Qh8cWHaNeTNOub41
aFf/vLw9p+fRBYhKPMZZhEIxD61b3RN2qxb45iUw0a/wxfK/sCm415vFEpvl5P550/OFRMM4lOiM
2UdY5kWvKI0jAnpDY7YGXY7xmiizYElx7+TMMRCEIM4clC8+d/nv3z05Tl8NY41SCrRkP5uSLTaH
pr5J22gqcbLjuV+B/muD607vy2Lh+nsDDB8dPAYn5pRVTnoqXLTHg6PfGfblZHDwfKhW4w6/j1C/
CdMyuIsywxpWqeu0Kjh2gJEbDKhU71rz/egBxtRUrKs4sHGyxjK1Xelot5OxDhpxFaauMBHMO3xv
o2KNY1JrrkD12sW27j0/+mMhlaZ8tesyzK+tGCHMVdFFICPxZxyJ4bUhr6ty5cNjjYa1aQTuk4j6
/CHMQhPrpcmpjW6LfKSLJRQFqwluU42B+cPlw3ZmX9ACoGkHawc29/zyo/qNIdJgaMHK5j045Lh9
fjLMKluHqDD+JmkdHhpMQpZYDCdvLpEOTBIJgqAUQMpzvCPCKlLfbDIde0/oTs2hr4qxXveiMbSb
tBROeg2vq7/BjKrMthUNm6VHfxa1Ir6KOhlNJ9lFhEc7RwnZUNKgIvVGuGpBx2GFZgppcArvQF0X
Xt492WawRGc/mTRjIiWF8B5RnixRH08aVPugNUJhTNMq/haixo1EejuGOr4DOtJaewsmws4eJnvh
CzgzWzIElJV4+iV1RF4D774+UrnE8hKdVtpYR1dOG1TJVaDrU3DfonBh3hZE7NlCXnBysujnUzij
EM8yc5HNgjztfzg7ryY5kawN/yIi8OYWynRXtW9ppNENITODTTwkya//HnpvVLSiK+abi52NVayo
hDQnz+sSe8xHmpo5bGHbDgevcIfI6BxDhEImTaSR+XzfQbaJr5wzb73Ai+XO7Qu+5qpChPWCPPly
tMqb6kBYFnKYQZ+G6jRz9e27qMFetPwytCWoe22PxnDjz4WdDZHnQzW6m92sGu+9SlIKHLj9L+ah
K/zicSQ4OA2NzoQyLzQxNjs/GOxjSmGN5rDpl5XbnYkkD5EdJ96vtCjdcWdTyuu3nsXFOo0c8MX4
HAysZpOMR4805GIg9mRvC6FnD25BQ2hXOn3X7AiOh8P78RrfHihQt4BWmXX8B4TlLW+4oNbXuaOZ
X2Qw7hzzc1DiGaNeP37ItrQBuULWihAOnQEQnbe9KQ1Q2b2lwmTAKLrkyTC1LrIzq9txReboSjV9
X4sF4Yhh14cRSO3UVfDIPv4Rm5G+/QbMKKjhocisEs3LL69XMoGg2+CqIFJn3+rTRLrAUgIExdc8
vjcn59uj1vvC2sCkhN0GNjWjZsYdKZEHMw6Kezmr5LzkhKd+PKDNIvrfU6jaV4tVFNtbnZ82B5Xv
9piltHVqH9IszqOC9KaDxsFzTlxhn4lOvGax/6e3+OYTTSwXrNUtscnl1Ms8ny8586WjsazKE8kQ
GUlU5Gd+PL7NxvQ2Ps4ATgMIOD4EtcsP5sdCD3rWJS5Rub6Dwa9Fhpf3u6xpszstMa+Zzv/pfeLD
st62IPGz+1w+z4rJdlzDaQ4dwrlHc6hXVYgR72WB8sCK6zkc3eI/9hD+N0hWHxdu1gW2KZcPFaZy
85ZYuoP0KRraoejY8iHh6OTGHv7z+7RXhj49C/AbdDWXjyIqbDanLjUPTqmpOqRBpAhzghz4NyHH
9i5xvO5Kv+sPb5Qn8jjC2zBi3HpFCjdfZAuN+iCTZN4lXb4QKmZ6R6J7uztTpd8UG/XNx6P8wwRl
WvIstvkV7dws8xQemjvylTFPKZPInez8ID0ONzcX17iamzN7/XaMC7xp1WqtyubLF9ros20WQawf
LBKUD4XV1Dt2+XpnNWW3puYuh95fmn0cy2sV858GyT66NvLhjYDMXD4ZQZOqslEQJ5LFYkeMzxD2
do21WeBfM0r4wypcReWradKqMNn214PRH1yrICQlbxKSRNp5ifJxEo9m2oN/asM1g9E/DQ1W/lod
kP3AMy+HtqJ3yUhP/5CsE8dVwIuxHYsbsgV+/feZsrLsQPM4mODcXT4px8LX04uKQaWqMn9xxxnd
Z4O63QiVmSxfP37a+/eICR3HDwcQnTWciy+fRl/ZtIqAjbqB5njQ7KCAuJERp6iy8qSXOIB//Lz3
75E7FXsZhzp7C5TNy+cN2PcvtLHtw5jqzo1dEiiQmkv7zfXj9OXjR23bNSyE9VnwfJiL8Cu2umN0
XOQ0Z6NNuBNssIfGjtPupyu9EquSJPO69jjNfZ4cnIHg6Ae3A50W0TyaYvrU+CSV35jSc/6zWymv
+o0TS4cG++stlavBVL2lp4AlaxLHThtyKhbJj9m1F7Fz1JSIPU62RCd5U1YYV/gzf/jYQEPQdnDB
WePE1j//raYGS20MaCzOISm4uHKM+OapSk3/QP52G3kEfkUff4L3W9HbLguHAuAEuc7ma5fZIilD
quAw9nVxGNWUfY39qbpFD6zv81br74UVxyHE1vrKHr/tH/LxKQWgJIKIsQ1iXXI51tQbLFGNMylK
aaOjeE6cIZpaondy6mEErNZ8FhWh0JlTuXf6POvP7dTUx3qZ5Sfba2cAwsW8MiPfv39EHkBTq+cZ
ao8td3Aicx1GSU1pZNfp2TH7cV+orjqnqIseGsd//vjt/+lx0PfoEa12R2j/Ll8BsjyOuhFLXg0T
3tfWLAszyv2paGCgTcu+Le2gPH78yPfLeyWe4vkB1kE9vfU95GP6dCsS62AVadWHsHlJNu9h1R0m
VIjXsh62bTA+MlTTFbHm0s+2vOUpIhKmPks4Vfs+63a238yh24/myzwsFXqdadg5C9pr4Dvxgx30
Ky0cLxIzbuZO7dZXxv6+vF6vKrTeYfqtJqKbQk0UvjGPXLpwOxYDPkSBKiJSV9NrIrH3n5XnMKsx
mANJo/F2+VkBVqepTPGWzCqVfhIYHZzd0hBnWL1a6JT+j48/6R+GhS/Jm3hyzeTeZlz0hVslqU2m
UzHzjlMs8x78tNafPn7KHyYOo+FYWL3sSPLdzNXGH5JmqXT8JMvc/jTMaSnCoJDyPFaI0MKPH/a+
AIQCwMnKSuSiz8u8fIOqLRQ9/hh3zj5Nv6da4Hynz5ost5ixav2+cYZZO2adXTRX9sM/jBIvULZD
zvU1+si8fPBgeMNasa3XomU8O6ndYQsCIEhMr6Z//niQf5gmPOsNsV6JvFvQ0Tcw6IN/xumnUnFK
2Sx3udVg7mYA06Vecc0l64/PWw3Y+Yws/u3J3vvu7I8INg9ugdqizP3y5FGw3PptYe9MeMP7/8f4
uLuv1kKrunfzESlrO7cblH2wRO7uA5PsqrqIvYjeQb/D12m4dqKsH+e3Hg0bDQzEVZwJWxIGib2B
rq1CpQAgPlZFHZ3OQ1MN3quWzejp0Q/3e93vPQA3r7NBShrUvjuv7JFKKYzY9cogKKm5uuW8m0/8
JLAZNlxm1dqVvJxPC6FPnUPO2aHiCoiLvan21UxEQumpa1DIu8/Loxg1DHQsGVbvkctHpXkHJQeA
5oDvefOQNON8TJc53Q+rwdxE1/QKxPVu2+F5q8gN9hMcVXjvl89zsjjWavIQDoPZke7bC1zmw0UZ
w3/UDrztAtyT0C8AmUPs2gyssMXsNVNhHlma+WGY7fyo8Anas5N/+XjGvhsSdMCVeLAyuqi4txHW
+Jr1boLx0tEiTfKVSeOcyAZMrzh1vH8KfzV903WD0dcg1csXly2eSaRa7xwN/E7EHp2LSc86nsu5
96/so++mH+gjUCjLb8WjsTy6fNRilfYw14O/eiEUP3F3dm/iSjU7o9DlNSH/u/m3sqShwa3qh5XC
tRlW6dGHra3WP2aFjXkzlFeEyZp1F1vDudS1+Er7+f1bXCUebNSrmgT4bzMrpmKEqto1/tF21bzH
dXQ5x619TWr9Fujz+55CkPuaJrhm3dIxw7Xm8g1OrkcCFxZkO4kpgRtaRldW3S354lieBHljJhNq
Z8eT96wQXqlJnGJ8xKU8tU5EArplONAjDzhDeq8MZYe9Q1QWqLjCZO5VdzAIwPvWjg6ctybpXkGU
/EdoTtaTExd2ST1cqs8kV43nuHDNVznjihUmY+UbEURtMwtlnjg/cYhqxoiwbf1+9vX5eypNX+xa
fFnPA4Ite+eZqqA925nBcqKPxf5X2M0APu+p2Apdr9OfE2kSlhiYBCc/6PU0THfIlKx5D7fJ/RXQ
zxeRmdrpp7gr5XdhLilBBR4Nkrukt+M2ZPOBNBM7Q/JQ94DPh1F42nRwnTZbdsDkoj54dgLNIin0
3Nu70kyMJx/m6y851qI64q/uA0zFhhFOzrzIX1ZCjvEumVmNe2lbmRyBqhyMmqKupBu+K+18Fs1p
BCqliHMhsRY3BuiYZQG+JF1c4flSjOKx6ssk3Sdd4sT/WDY2H3tKjs6OMj2zxO3QzIsf+alojT7K
bK1reXn2SO+AQjRrDxjfBSII4auksXbARCafb+tqmOd/RNM6Lc03K5jYiEalvkyxh8oxRD7TBcce
R/xrIr91AV1MRbobrLEVVwX3pMN5ORWxE14M5JrJPkvyGoc7zCYFmQ1liInacoCE6odJjX9XpVXA
hSgjdh/vjtsFTilP6ceCYDOhv7JN2J2WvlYQivJ97M71afD67/E0VgfX19qDZ9bXrKLeLT1M99mz
OM7W6HnsvTfjxQIrLZfUy0+JJZr4IAMTg5Jl7kxnX1eOZe+WVGTy1jYb07n1+tYf9j386jMC1jFA
mg9b4ujZebYcprjV433bdrofumZusE77qp+/1n3qpSGMhlm/r0e9iF8hNJNWalUUtQ9qTvSTHCyr
DQUU0pZFbItnQQE+fRkSz6j3ZivNYed6Bf0KxyoA8TscjnTiVKURP4qprvsdDpIVPjxeQg0EiFF1
f/fkgHiHrNBSvNDJvv3UmHIoHgvy4+4MrWnrcD1uf+hTNtn7rs3z6iHoUsM6ykFPjRszN4t/DTsv
nCrUWy5XIftFHjxJz2xw7ZuSv/lSwo0QZsG7MfpsuseBadlLifztFW50oZ/5rXP2o3DwTf4rybVk
uRsWRWhDbLVefYRr6JF1VBWkfd+4BdQtMMZePmVzVflHpQV1Saj7bN0HtaGyX9aCap+bbDzuCjCY
wN47GFFrYT5iA59GrkN2cegaeYfIoEDDYn5tAQvn5kZmAMI3flsu2RELosQgJyUJvCHMpLs4J5Nb
qYYaImiTJ0vl+vzqWovxa6CgM860zIzk2MxNAPrvm6VAINbC9rQ715++fjzxubRtlh44CSjU2hBA
Xb+SKC6XXp9mklaTX58Ajw1YGy1dHO9AdjcLPtXqOhlCBJZBd/A94X4q53j+N0jYFp6aCjO/sKjJ
6Ap7XA/qcKCxM94sXpX90P0qfUhqjvC9QLkyRXiDNvY+Y0EkVogTIiHZQz4rE9vj1KwemeMyjyqh
m13YKGwg+V5oDp8mLZHNM8Fmmjg4vojrPSJPJ4uqtrI6KAhS17O7qfOMIhyUvtRjpGOrMx9qPImL
e03kWbavWuFPGbaSdep/sVVvL3+72uI7X82urH/4fWp50WgbY3/rZwmsljHXLeVH7Adm+RCoePL/
yVBBNWxEbp+rh8Eta+OkxmLcCzik+SHAwQ7LSsh7VhZ5JPL030D2vEiVTSzCKcX86ZQvqdMI9jNH
xaGK2zbbZctUL6GRgnkechqAD7ZZB/0DzLMq/tt1xeSGWDXjnZONXq0OeWIrdR+XSPr2q8ZuiOLM
yk9x32kjJ6dAsPQssWEaQxPfEu/gwACCEkMP5rmTsrpRQToXEU4no36rKs2Pz7gaB8+aI1K/CP1u
lugJTLNTWpR23pB/LkzP/Ar3Nx5VJDtWXx0h6ki7nSgHoe90uPlqF5dN4ey82ne0CFwjrd2oNznl
wgqTOJ9AGpTUC3aP8OxliPox0x/1Ko29n95iabB1lFWL/YDdmtRDUpby8pmSxflrbqu++ETfedlp
lZH7MEL85GdXlsZLMyaTccvr19Wu9eb868D6SW4sBBAr58fzWm0XO4t5tPQ8R37k1mg5mzmxvsa9
lTlhGo/ZjqPTao9ZXy3qewUP1njssS5U35ugt/hMhjmXD3OR4oJMPuT8KRkB5iNTH+SOIC9g2WEq
q5ukNut0p2STMI/jLHUIS/fj3AxL6VTl50pT8TdbawbrMRsMqGpZLvX04PaNuHGkpsxPMIBVdtdL
P6Bj1Ex19im2epGbR1kScnsbdMz+MewyhO/tjs5PIfaLLSv1aTFm5x+bPySVwV4wAAutzODADYMc
H0V4oRxzN0lrpLG7V3bX21Ge41z03VtAb77IOLY1ynIE7/M5xT7EPqVL6nuHyiisu07zenmjGjy4
79Og9azzEmvCgHyUNxOgdFrAQln8Odib9WiWv4DPpuDM3+VQpkI3bva613rH0VVJ2cBCTGcMxRMt
W6J6JSCEVtH3zbfJgEiz73uEjnoMDvBzapqs36ViGZJnbbS6v2yjxQG3gvOpjkqadh0FTZqdRzQ2
6r6DE4wzW8npsi8HQ7ulm6FR9k0T1XM4tkGAIbnSq/GgrwGCc+RKkX6FB1HW97kU4+e2CkztX6ov
qwotwn6bExJuaYRzrhu/Ej3NtSvtl22JgRPZCveDfpOvsfKHLvfZ3IYbrbW9fsJvriyPxhKj+yg8
kLkZH/PeMKJh7DTt9dr+vt3eeSxdEUoa+Nh4gG2usomCYpDOjXMqKBerZ79bukBFtES6n5aZpu6D
000IQooMysFewzBtxhJWsJvZs+YsT8E8sGR8LOr+dZRaEEXX1TSMYeysRnwLjMsfErp8IcNB4vlO
uL3h39mB15pwMsdxKq60ld/A9N8rxZWAtwLgdF/XO7O+uRvZ3MWKGXj95Bt9QmCyVY/lrTkaQbfD
3L+gYK777HtZ1f5nu3Ja2FDCa7wn31YWdwBMo+I7rUoyfb3UGHYb1uDP8QvXqzxdiLEwrZCaXVh7
TWOT/9IXQ36y68ZwXisbDz7fGYwhNLKAyHe3GcW1rJk3GsTl8OBPrx16mK/wzLbhk8EACSxOrOkk
SSNpDmWl6/ejyx26GbrqMVd6EewHmEJZGCRzjHmh3v/dqaq2dqpKh5Pmq79tUJ1/yKFBi4mJxfTZ
HqdfPiT5a7nO7woH+jEwwUx4oJzatDQvJ7QN3tp5vZInpFmqQanc9HkdJnkDFB3OTKg+wkpGf/B0
OdeHNXymvP14cr9fUhixUTBSlr71AtY//w1SsscUFDR29dNAt/Mz8NWwb8l/szjBOXLmRFC7fvxE
Y3tRwZeAzD28HhD/QIjbdh0Y6tD4WuWeoHnkOuSLpoZuOHG5OHuNlfsPZKIJPUKI4J80kyaICjtl
ektkjF4RmyGWhIH3jMZ7ESFKpXLCMMn1c1KiHMzFZjlmZkQFWz64/LfmoStBp66MYduAJlEVZwUa
3W/Nbu7/l28NrzyvQDDon5Lel7cNBdEjHfjgrmvRsY6dxAue9MxrLZT3T6X9+ub7s7Zn/e26DawR
vf5I47dBS+Ecu7wL5E0tvcl/SkpVpp+KwBr8O9/IzGsw89tMvFhU4F2rpT/D4GqJSPVyxAinNLpC
jTj3hR7c+dKHJj4QC5o8ZwCiT1rbyibMWwu7J6NvHPMxLdreOdiJiqsQhwZ9uuHjZQ8qz6euClXb
OeVxFmb5dU5M4hetvCHzj/tN9W/PGK1DU8RNcEXx9m7mIQKHCwmxgZm3CrQuB5H0fTqaeqWdPHc8
qADet3QG9Q9nifPEWZjslZGOKI4d5x/lLPGVxp71brUHaNDg5HBb4Dx5Z49jTllTLfNSnKfFao1d
GiTyrhxalz4NpYfA2b8oSHVEhNu+ejRKW05+p38yp8WZo7gpBE6vCHOTvelR4MbRtIhY/PARWtwr
L/brQ7Fw5YxqnCr6OUyhpqH+ZI/uVGiPvjk8ScLi7hTcyDmcbTvW9vDbiVkJK2IrftmOZnMTnZVL
MsZguMM+a600OYNVBeYZ0rz0Q9UXjYZYl6tyjh5Jun5EsypAtu0gsyf+Dg9t/Xhlv1gX0+XU47NB
1qLHC7eSf11+tUouAS0xPT9LN5mX0EK0fDL6RT7QO6+P9AHycwAqHupG8quZfeNEnOfw/eMfsZ05
qxaLSzz6IXxOIC9tfkNQN1kSu+N0rjowoNsyphYJWeNGfgLNo6tpWbmr72yjk9ZBc2o9O9tZrZeH
//wzwMJRS9tsBD4EhMtXMS+LNPwyHc6FBzMbQS9igbHRjTlyzFQYYepnw95JCu1+mkUZYuFZX5nE
b22V378GbwLfFXjtHFwr5XHzJrogpRmXpe1ZxkviH9MhGJawn/zOv12GEZopfPSpveOK1f2wW5jO
e+Ha9UMxzGOHh9/Ueqe2TBJSgib4qIexy6Zu16EpLAa4s6aCIjvpY34g4bu/qxe9mom2gPB4mmTt
nys7judQ88rm1AdJJ7kcwWh3D9g8akcS4cfqCkq1bZEzXPD3daAcrnA8N1d7aZjWkqAZO2u++3PW
fW3a5WnxJW2Hxr5S3b5Dw9dn0T+AWsD3BfHbPCvPB7/MuN8hz9F+zkS+2mFciszZ4/CeHZuRrmiY
dZZXH7pqEJ9ljBvEkonxbzpyE3z262tvWx2s2nxwFaY+fBNKlE2lqGhoyk7l3VmD+JpFw4Bqo6qK
doh0hxZmZPbZElw5W984BpczbHWBoiphfrN5bMttthNXn9thPGcraeDsOmVj3WCs1083shjMKbTr
VkzZude1RHtVxPU2j62tL7tClUP5FWM8Kb4GNDoeszTQkn2F0ObMzc70aI12xvjLrkw5Hzx3KeNj
Tt9+CBc38bJdVRQ5iVqYgnNmWVUmnQeiJQv5jGCGQ5d77fBVQxCj5aSdCLOOpomtOixLDLGuEajf
9ZR49TCscE5HsbASODeToZGxZlfJVJ+BNYcHlTp6Atmkb8obA1jSD4e4MJJd5/SIk6pxaH4uLUnA
ByNHVRP5PfPzhPpC32WwPLKoyd30L8QntbqZF0PLd40yrdvJicdrMSHvWFv8cJyFuGHg/rjicZvb
0lCB+qey7s6ex+R97GsO9fsspTFsGKouz21hOA/60jnxUTNxyX1E9Fb00Wi5xXyYqyLzvny8af5h
XUFkoVEMdwe4mV7x5a5pdrryCygQ7JpWc57dCfIkxutPhlE/jq2fPknEM0+U9+Zt5zhtHurNbDUr
h3X+knSwJa/M8D+sKjSomCVAJF1pe5tPO6cilnIsrXNPD5lWz+LK0DOq5Wi3gPyLDvZ85YnvmPLw
LFfCLADpystnQV++gnqcSiPW9OFsIfBF9dJ41RxZg8j0HR9TNFXY2dLsXwx4+wNWj3RYdxrtIog2
RWk5V77I+xfA8PkRLh+FK/X210jPjhO9cbuz03tudlsuIF87PbEn9wdK9qzZoc20tduPp8H6Vn/b
VqgQYBlBF15XFEKYbcQDOe0zm6ULOuAq/PMMNS6fNNUODhVF1l0T+/zhaaAwHrg5V2xqlk2pSRZx
Zc9AlCgCjKXaLyWWq5Eyg/FkiTL/9+OhbcBOhmaghIBaDpDLontbAL9d4grlTk5TLPZ+GZaOtiGw
CFikZl1pdL8fE1MH5gt3EBQ2MKovJ1ETOLMXw6vfZxhgyPvJIJngixxBsm+U7cfxlb7L9iK/wjtc
OtCNrrd4NKprPf3bsJROXFvs5C5qPXQmaPwJFyi4HY4xUl0gvVYepZZMya0wqMG6CJ/ZcdoFY1z+
0Faeyx6QJy3CWDKzpr2w0bq2u65KFpBTuyGSFeOLtslDf9Jq0zh+/E22+yC/HhT/zTPAXn3q3qyp
fv/1E+1rz17c5z5w8X5gI8jpI9qBQAKb3i+1K75pI8KbJc599wZZZPkimkZ+bWwz769UbeuX+W3u
r79ltcqDTwCzD0B8UzeOSnequrLTlyrxeiNM7MSN0nI2vsku9V7TefZoOAblFQrIZpnz1FXMwT+s
OICRLSxS5QM1gpymZ19W8a94TMWnWPOX5YdWEeyzKydbqisKsD+8dZ7p49dpYE/BIbTZ6CoBpYbu
vP6s+DbBbTNDwj43dl35Iqzi0vRp/IvCPcZ9ImoCpWa3bP7WOOSXnQpk0pE2MejTNXeXzfVhfROr
D9m62SHIcLdq0Gax43Ke+vlZL5b94JXKjZgct9LMbSeaif05Ec3CTkQDvLJuUthP3bXicv3Ev00B
dj9MejiXsQhajZm3NnWFh7lloWLjuWqNJAvNZsrcY9doi/aVvA/9aRkqWe2zbuqmqE9Vn36OYYGI
U4UWQS9OVlrURgir3BG7BFmvfg2+fsOnL38gGwWdXcBjruj80MvV3tUdaWL64MI1aI0lPyG3CJDP
ipbAwlCmutDu7E5h50ybPUir0BgXz4jyjl7Ns+7LYDp0MADAnGBQ2RxxlVVWr2ZlJf05JtPldqk5
df/toIKga241Ov+w9pDWHkSeyDjsRjI+aPdVsRnPkWF3w6uYifgCxVdN5u/KpsEqeGcmmnFjCOXI
w2yoQDzGQdUUBy1IMNQeG39Sz37buTRDNOwm9t1ELbTPy8TRTnWcOV2Etk9+ciZEkPtyIgDGjFKh
8uEBgN60n5vCTJQKSy2XBPT0s3J2lWrpfblp3Iw35kxio4aWWHvhV5Vf6TkB60s+KMEtJPxQIeuF
EqexnR+g6dviKa4rhKfXyol1FW2+Fc4rXINxHqQbv72pNFoNI84ejGfZyumuwnuTfoNS2FDnpP1F
2FSv6XuYOEtCNsd4Z84S5wEsiEHUyIj+9PFWu+mrMLURxQG6UNlhN25sFV1DLW1sLOz2ZVjiR0k6
201A5zmSZU+jo4qLf327im+MKa6v7DZ/fDAtQHpiLHH2k8spq0m7MYuq6V7mwE5vgMpE6FXQ6fif
xVPuK+1rz2VBhB2x4zcfj3lb0a2DZnPlkgQVDW+FLTU/bUrmAuk9L4300mDXt1Me0D+GGxshrSki
d4hL61M2GV606E32Iskq/VIG+bUswvfvAFohP8aExkhzbcvT1wBKO0wWxpfRY6YT9GqGRinUnZhU
d9TtNvue6wQYlYOr/fXxK9gcarwBuiBvzDV65zCbNxeNsjEBVgV6d9+I5/xQOlOq7rK8y+0dKbAK
FSjuimHd1MHVzfRtVJcLgLHifoQMEzcZaHqXX17PYON1QV++yBWooVltteV6e1G6UdKWWbmONT56
IiQoT8fTO7Cr5XWeHa5bgwqsPN1l2pzLO6lNgApchmT8TApVMv87Q2BS+T8KlaK8V1BTQDJzIdPj
kJgBWceBjMu7uRnTNvTTwlSh28xzCprYGYDURdWda5kQ7FX2rML9MAHTCD83VSR0fUbqCMAPvyUz
sFswvXjq7uMF8f+Bbm09HWipaHkexm0x9p8ozOon11LLt5gdMH526rZ1jzNkj2oPz3oJkEHoeX/s
vcxuo2VwyZ1M3VH3fi4D0gXiUI0mPmH3XLI5DJ3k/2ulufsU+4m4q3KA16MSgdNHtamZI6+KFzac
uqHtyRGlWTruvAmZdyR604UZAGzVvkJfz/unKvYHcZazk1uRCbMYNLV2ptiocM4QGWjwLObi4HWz
/4IyxKtDL427LwWkBi6hfb7MfzuucL6tV3kfstnYP0G5qdzjmE0iB+bsUswI5CQ7yKu6vPFFpcm/
pK26myKbc3hUrtVpd1JS4oV+I1W6d3NgX46paoLGEQVGb+e/OgmqupsKEv6qY6Jau/3my8Rzn1ah
0vIEzVkzbqECOn0aqcBL9j0VkRVRxVlLe0NkiX6fswPn7WGRS2fvOvxR/GjxFEt6rhtr+LtzDVnf
of8s6W9AAfwHsZn/VEkh/zJrNfuhCYGh2mG51AQ7U0B60KfSLHdLmQQ38JG4JEW6AIWMgjSFs4Be
zD+lbRaroyP9+lsd1ODB0l/yL1wrywCjipXG45ZW1UZI+SE6HOHq6fnXGul7cGyWplGkkLRw6rra
7wPkKk4aR52SMh/3jt0F5a2y5pLgL6OafrSlSIodvgl1o9g0J/9zz8XTuhsTMXroylKtDWtCazxx
05a5iSm4a09nwxOe/TogD4MroOjZZTtbBK56ZCKU4ntvUuY8xLNZy1vNCRb8rzUtb47eqA0CsqEs
xJkuw+B8QnqSTHdLqzt9OGEl+HNZFAFis2wIjpcmhlQFWG3Wpnh4EHS1J06mOQpP2sYnDTbNkhxc
fPxvITxVg3lYixoqKuHpn2et8cEVDbeJUc/ETn3IfRgd4kHUQpL34aR0byMiOPrnya7z8slcRuXg
/YIZ1hXW+/tNEkkLmDlFOP07unmXGxXsXlggbja8QHoxdxDg/H3epPqd0uuUuKyxODVgFv/1QGbR
rfd6tKtr93QbWExzGvYGqi3S6wBahCizT37u1z8Dr6dJXbOejTOd7PixGvDCvMJDfH8gOQ4iVm4c
4It0ezYNauHrvbWklvPMZF4MIxyxfbLIZ2OBIvnMXHwUYiWmB1iDqLh2fVZk18xG/3A4Y+xlwIUk
XmIVgq6/8be7n9uLBdJplr1Us05phM9P8diDS93aoo1frUm3bxxLZTfusHjPeFL1e23ItCs30M31
i/ORRUmczUpX52zextrMeTeXgVGLl9LBHDCJiiFTyZH1helRAo1Vv3WMzv2PXnlvT8XRbA0ooYv9
P67cb0MvBb1bu1yaF0/X0+fa8NJ/hrhabmDVl496D87y34tRwtZx+l5FsFxut3aLWPOtOoqqfum9
pKqIKJyLeQ/dyw47QiS9HeHrvv+gWvlXlWj5EVwZe8uUau6+Q8Hz9HFR8n72uTrADL0fJh9NmXU9
/jb8Bkd6XHON5kV2dfmtH5r2TijsXnFzbs4FAM4ciYRdQc7aeGXV/WGpU5Mg+qetQHztu3rI45Qu
57Z+scY+f5hGS9+RDzV+n2kuh6p0uNvmQ/7y8XjfTzKHAohXT5fLsLDVuRxvabRaV6smf5lGeJhN
lnMKapLs5HDOmgNQEQzDj5/4No5N7WVh5WkghGV7ebfApdtRLfS1/VxkC/TWSqstuhmENkwYzBSF
gfbZKQ8EKwHFDa1dYaUSx2kwfGE30Jq7xm/X83jA4Ps02qWVP9Cj4FCOY3N55ZdDm2dzEUsaarWy
gl+KOA4ouoWasVwyYqGsPhyzjlruv25ceAtAjGCTtvl+cEkvXyXiEtxX/Sl/FV5e4kLXO+2NBuXx
aDSTfuMFWY0vLC0iaIOV1155q5sOBZN17emxa1FRgO9tHQmLfJCWmJvy1XZSeeg1nSlDpYSytmyj
qpuKm0orrEcLRuJJy3Lj9eOPuu3Rr8/n5sYtguWzqmzWefbbuvHQgsNW7vQXVotcY1bLoKaEnpx/
5mDKnulb2WG7YKpzzFu3+jQ2aVmGmNB4n/+PsvPojRvp1vAvIsActmQnSS3JLVmy7A1ha2yyijmH
X38f6m6+ZhtqeICZhQcw2cWqUye8AYBBxuQws/61vCB2Odx9dCMW6pS53tmM2yslhUMsE5E+GRAW
DrhHzyGwbtM6yKQPj/2MfM7nC3FxnpAb5uiiHQa1XKf/eb4OM0DykE64+VSFSujeTb2RHcMqA0xe
VF5yGACqvn/+xFVXl5Vf1JRZXkaPkIHWE85YISfoxmh66kYl+9pUSvHkCE1iM0p2/fmjLiIUCSVC
BZTqyxiG+cn5j4uwUkVvzIuey7isvxWD/n0Qrn2XU95nfhd2ydbGZP1fi3QeCjWVIhUSObo5q+9Y
M98D5VaF2Asb0R01mxuoWlWQ5oXWg105zl2Vk/YhBjf1Vxqgl0vLk6HpM9ilIcbuPv+9sz4WY5J2
8XNBb+YAyQosrLZocIU17LQr9yADHf66s8CIbhvbFXQV4+Nl754/rmAzU0MJ54n0o6pPACfQfCsa
XLUH+JWZ2fxWHaj6X2c4tfgIRFpG25EUHO3RohtBOi+XbOw3bavB29BL5T+3qhKxa4TIvgyul4U7
AxxI7eOEKwD40mWKbzFWaIzU11Sndf0GE+OGSX0cVrh7WL1AkAlaxs0waEX3hWxc69414XrpQ2K5
lUqVleBN8dguk2+/VaC3Hjo81wUjGad6LTORvVT4waeg4AQj1jnso3kbdWr1rhEQkk1hyzoKJtkY
vW8TpR+auoPYQmKtAiaK8/q325hT5k9dU7b3Vtso3yUY5+4BAGTzGteF8oZeevOezpoht3Cu5i+2
lYVmEPWx1R5Vo7OezDGb3wEMU3xmda75SU9rOYDkU6S4auph56dTFN8Phi5QQlDTSd7iRVA8dSh8
tTd53szWBle4Lig9AaItYviU+zjg4aNmeu6QbVXU16KDM01qgHHcWL1Wo6Z4+y5qyj+DdBNORQpB
dZ+66hA/51Tuyu9aRzH7CwBuuSGtxIrY8mSh3oW0WY6RNFIFe2al/cO/QNdJMod3z+4HA1d5VFl9
mjb9izJMlf6tqMv8tm64F26hZxnuVgxhJzdTrHXfDe70Ygt3CyUAGnhND9wZbLdfgrgmcebPsc7u
aguYsJ4Uhf0w4SHL9FRlzvXFpVoad66KyN4Rr2JdvFiNzKpNSLU34gsUGelhRL6MnkG82G5YZmEd
6iLPNPD10Bb8rugk8nQiy7r7aqJ3EuCpqfWvjlUl4S1aUb3eb2c9FBgXUG955Q+Et/vet6oof+2g
riWbKeq7fT+5sfE8FgucwtDTGmgJqWjsk59Ohh8jerx46IXziC904b7RvPfs96oGIbtBVqR9qSLT
k0GLRq68w/ssLzZTq03mMXNh/t2Awxc/u8jAo7eIhEIp36MWXSBoOcj3iGvqWwRs70eW5lntK2qZ
7wBhedaDFJF739YQPbZVOITOG+3vAp231p4cfLJLGGoO+x8dYkhVAvZYZ/1H8G+bU2cN40OnAA7d
gDJmaNAR3Do/s1umYgJPjLdUwjL6krSzHU6+I2z7yQ1p+oM1y+g41b2nHigGiSL0BJKh6nzZxtW0
bRJRCczOjRFna8ycnZeiH00PBUoH0wSfV0XRbWNnjJACK1ZyYzf2Q1r4YQMw6lAKNhvnJsnGreM0
vBHYEMO6l3HdvtX50L0voLf/Uo3NHQx82vHY9F7zI0cBSxzzsJcFtmp5ieLDZNu+KeTo3CRNZmU3
6hgqPdlYLt6sLm+y/8LabU1aAp1uB3on9fcKHmt4SMrOy31UZot0M5QTiA4tZi6IFTtMJpobQ2ae
QOOXdpAY9dC+h83UJ7d9W0Xzs+ysVDvk1YRkFfMsJdlXyZhZvt6WMCnYj/AfXG6LA+pWI+PFok6Q
x4j7BAEjIcpABSHfb4BOGSOxwYnijdq7oXmjxJ2Mbh0HwxJWUJeT78pMD+ngpULbtGFtPjjz6Exy
IwtLiB3pqk2j0EzLNzjC2HZ1Vgib1IcPYMwoapnGtFWkHu9yEgjrpTXCrrvvQ9ppQaa5eQ2m0u4K
34x0+3UIK0hgoVnX9x2r2lmbagL5f2eUsTbv9J4mhW8qmsx2o2WVW9nojBESZBnbAIy7tJ88G3hE
CiEiNu1grBIEpzQ0LHH0hOq35S/Qq70N+/V3Monh9yzL/MXQtKY79B4f6CFsJ2eEQqHODTI5GMjB
KLWan2Vv6CBADOH05FJ1qgeTURrx7dSqSPHSKkxHZwMBrND3CgQy9xSXY/2nGDyp+E5aKL8VKPo9
JAZcsLeVETrXVG/WCGVSItdx0G4iAVy465ZxfpE6ZdkCmOmrZzeK4/GmGXL3Jq4QFtgkyJG0qW+V
jf0nSjzxSLNLUaAgchq1XK0ZP3XA/7bQ+RMrSAU7aWtVZvZbc2q8N+IhLNvAwitY3UtRD0dnEtk1
5/DLLGsRcyd9JNkB6rBG6EW2A0pIi+vnDIWxkvuq87Zjqrm+Yqu9sjXtuN8InHzTKwnIZQlBwgqa
nKY8Q8aLoZBXqwoL15bPBqxCrnavLrJ927mA6OexjYm4bTvoiCpPw9uAG+uAsnYSjVfe4jKBJnXW
FwwdHD8mBKtvV9GITYdCK55n+CC/UFeNQT/FA/S0uFACaFXqzb8mtVCpqfYXtX7gxWswi2kMJquJ
ORJogOjYxJYsN6rp5l9Ga2qeekCJ0JqLbvjn38ljgc/YtNqg/aqrgmmukbJtosF4ws+X1G2O4x1X
ivuQpHP2YNvF87//SmohWsKoT10W3cBbsbzXG+MJHGTzY5yk5ePg0QUj4KEp6Ky8OVSVmv5rN4UZ
PjKuHo20ReVsLUhXlMCWZB+nz1ZHOeJHXoVcSJH1j43AttVXplLxW6Zr8AYb95pOz+V+BsUGcgyM
Fq2GC/iJyFS8prPefeqGEhYVKFYg2rongtqw4mbTIeR6aGaai0EJE+nbMKCrfOUj/+UVQEGiBUFR
uOhoLBn//1TFQAbqETeI/LkdE8WfhgSBxUHLDcePKq9kRD7nfqQOzlvuKV6PdIDVX9FRuDxOhMLF
hxTxBngb6+qJTq7aJ5XTPFPmGHuGikOLRJNm3pqRzJ8avc5fPt9oFw/0FswpXhH4Uni0lVbt20pt
pAKcW3/WOlPcVwMMxUGY1i2TneoWdsg1O4TLXi2NQ/AQFk2dpXm5xh04BaKu8C/DZ6tAHZsJkt1y
UXkAR/xOUaJiNxTCfsEEwPlq2h1Qd90YikcFQOE1yZTLJsjyKvxuggjnGorC+ed2LHiOlezDZzPv
BnRxzPzBdasSNYIcGo6W5mKna7myGSI1/J7qYRoIrTZ+xFOnPZUu/h1Xtt9fXgirLO4SLsMFyuOs
KsrJYAzkEt++aigkHFVGId+7FLXBQFhwpVDHasSmAslEe0yfp9so0ihIEo/TYOml+qvty2sCZRcn
AkEka1Gm/fhWF/4zSeh5Va3FKRMYtR79xlHcn22TDj/MeLaOBIu3yWqMA3R99SYRhXXN72q9PZEh
BDDL6H3ZKvDnVp/Iwy3ISru0PimVKONbKC11+sUpc7c5wPNCsdYpkfa/cgjXNzoP5VRA2YP6yFxl
rY6bR7nIZOq6XxKkNf5rW6rmfcOf6ntd5Q7Y2mNWdztjyKr6Sthft7OJfwhagRkD00uHfh2A1K4G
sqbQyAfG4v0K28y+L4tZM7dS9wZva81S+Z4i8WAGjd1M8ZWrdY3mQuUQmhUyX3AuAQAC7jg/ECD2
6hqGdXQq8mr8OeoKVNx8zsrAaNLkOyysdu+ZkXLyClRuRzPpXsqun32XBPxa7+oiTvAui+IlEpvg
ppdW9/m7KBXq8WAd0pOWiel2kcnbUkXJQ4ic1J2hRbXtd54XhQiRNNk+dOfkta/n0Dh8Hh//8h6L
yrSHthLXEjy61Z0ghWZ0A83i09SrOdboU/Zg1iM2vx0QpXf0w7Wfjjk2z0buKr9pUEbwja0rQfpy
W9j0tUASEzNpzq3xbF4Cy1+mvXXCGCksAjvvZAEvwlRfarU1J4wpu7wLTGhKto/fLe7xny/C5YHg
MoTciYzC4u659rDp0DWVY6WOJ+Q3slOijdludjov0MO82KfGoNywRNfy6mVh/7e9RirtaghSYh2A
dYW67s+HimUsNhXdqWnnzvPtMMetfUgt5YbOzjWr+Is4w2NYW5IfFX0TRFXOd5sANVBXmaadXDXt
cEqghfthCfRHjGq4i3CsCz5f0nVgXX6XCaQDxJjB+GFtkNhkYzNIqLknc569w9jP+b0dj2J6AHbR
37CPk1cm2daWHq7DCZvT2L3yUf/2k4nqJDqg1SHbrA6YWUwaDqCVepoRvAp39Lz66SHq0DsPc6Fp
NykjvPTKePxiI/OrAfCzeuh36JR8q2UGX5I1yaSerKgTKLO0c3OgtdKZger2DgbdYZK90REMs8As
wvi/f17z5S4hpNNsIbFe/WK7rTgzeW2cuNMK/E6NuP5WLjq+SYvI0IHbS+7zmC4VlAEnCCG5XQmw
F1sau9FlcIf2JqcYrPX5z2fYUKqTouunmflPuzFFqZg3iYZeW+2FkbiyxdYuCUs2R01G4NL52Qud
7vxxTZwjOgVB85RL9P42VdVb8AzawhyOQBHaYt81CWofWRi3BmxIG1hmYSWj8gswiWHQse57bBhz
cGaR8ASCtF6fpobfmzHgpaAyyya7a5tJLR30Qa14x6xMWkEhLaqk0ulcv9SbeAujGzUbf7ZBtKYB
pSpo3L6JaYmLsuzR3hhdYW1Ga0n6W89sH0U/yvbKaEAz+K1n0YS1IKdGWXdJaChvVmvRi7ZgmmSf
0mmk5dQXJ4kAFaYVIYpcRReSzscide46URbbZmyHvVna+c/Ojac3xGP6PdhR9dpLLR9g9VILTpkM
AwXrRc/s/KViU++tGNWak5bT7N4LJaq9I7YDWacFqZsrexa8pMuI8oS3LVs9U/YRUUw8Sa3Mr6k9
XAR5SDvo34EHpiDAKmYVAsG+xfU8FvMJj884RR8lDjdiGqc+cLTS2kJzHvBHC43N54fyb4+F6bxY
A5DzuOucA5KUg95LoZ0chFasG8Wu8WxNi5iudVWVvXJsgEXtmqptrwyq/nIYuc+IAsuNRsW5/P//
LfZqOJzg+tQTYLTkj1278yauFb0HPOSp1ZVfueZxLmcR9CIPpL4ls1/fZlx2uTfPvXoK4Yx8j8AI
dUFHXZbT6EvjDUiBWd4B3x82cVc6+raKBgYWWi7rGw2M8dGtnan/gj6O/dbriaH7lTLbjj9Gtbqp
7VZO26FkGvHcAdCOA9RphLNBy6g6CNjMeDcnZe5tzEGkkEfqfsG+40UofDQ6vewa/WkNGQCmzJYG
nrqoo4HCXzsG6DKJqsEo27t8QIjyPgobOuNzL9HXh5ghwi9lYtLWZD6eZUGYzvZ7CUNrOKL+Gz94
yoyMFSbl1WvOuyW+1/XxrrNkqt6qo5cqeyhHYKwLgNzDXWmk/Q+p1zLdiklRduGUGPmVemCdF3/8
HhJAHGeIIrC6VlslkWkx68DRYYqmSfO19SrtUaZ2xZyGGZP0k1DOAgcxs3+s86bLTwadt87HjVzG
rzDI8yv8klXywJ1Njg4N6QMSy6x1OVP/s3VJwb24YtZ5TFjlOoEDPCdzoCZaY2xsh0mg6nOsildd
2PmwGSY4gb5U5sy4cp1fyBTwIh9VGeQPqhaix/mLNFbtzaNly6MMzbHqAszGmuGtsMBgBkyZEiQL
J6dmeCAaZtQ4Eva2s5lzrT1OYMjbu8GtWysG4Yjsj8aNUpB++UrnabUWFEamur9NEY3oc4HhOTpl
PaUIz0RFHtgheOcr6cEqEuHbp7swdoB3U3Bwca5WNUZybmijUD/S3Oqab2qhiRumsoO2oTldyi6A
GRFau7mGu/HyeRD8kFD+n5vg49mLrQ0gNk4OL3C+kGrvoSPZYTmHEJ05AuwHThoiDCYgwiNimA3Z
V1liR8+7IBAGh65J0l4EaTjUTeNXid6OgarJEM3X1o7eIHjDX236yLV2AhQwl7nVJndZp4LR1VHt
A4cKQlylu5Vmyh2Iseq77nbFE5hNpBKSzGvroxIKdZk36VMW+madMNUTbdb4cYdXXqB5ufHYji7S
z2knp+iIAlF968YIv22Rg4zawOiBjDKcYhe+ZU035bssdcd7pC2pGtqkr6JdpGnl+ALJQ7y2PYja
TYt437vigDw5Fo0ZQzhpCvfdFRn6JVlW9/9lIdMLn5ynodQBY5/tC4/6a287SnmHhTyKnW2mU68n
8KYPKKrBjHBCCU7ZR41PuMeSfj005obeMk661uTd0XRSqv1QOdpNUnqF4Aea/bS98oX5gOcfmHbX
YsBG6reIAK1K62yg7al3c3xE+KYcNoxEuoOpMujZoyI+H9pk1L59/sTLwwk2jQfSRl5YmBf7mQmo
w50r42NVCLP7z+sH/Qeq626/Tz0de65EzhpXRRXmuuPTTHcCBJTQcoSPKy0GkHaOLliMsvDMnF1T
o9skEdq0n6PCGjemLHQbWS5PvE5KOYgHC89J59ABKjKuRLsPrtT52sFGBMRCAkfouvAByHAvRQhY
iY96XbbyZmhlXmroTyBp7XtNKW9ifQjFrVd1hQdCXBaxngV17Yy7AV8DmOt9Eh7JAlp9W7htIRtE
JnX1myUq79Gi343ct6mnAB4wBouSBySop69VieTMtvbMdOcZRPlbBF2T52QWWr7nyKiQ2C27npPN
2CTj5I+KRLMx0ESoQw5ozPTjgnXclk6dJxGb/fzbruoowgUEDFq21BKMnAid5+Gi08apilrPu3MA
n/8uXccCaCqQvtPM8Iuq8LX8nkEJTZo49659jlUq/fFwKGewYBjC8GVWD/ecKZrRZXbvBgo1LuJW
DrAKGlvmv5wYU8sXSqrUQZHM037SMrLES4OMgP3LcgeBgQQqTH1gK7r2E/mXtq39XHOmRwOofq/d
ajKZ5AutQOAqeDamfYc9p1UqrxzSGa0mK8yih7DClXGDEKXbDJsZztcORkTivUZa7D26ITaQ7GqC
XE3TAH0jcjqveEB0tsCteqyrX6M2Ap+4Um19rPn5Ll2GQxw3+H5MMtbLMluS01iq1t3YlVmBvAHK
iN6DZlXdFkhL1ewMKvu9lck82ceWkr2ZCrGS2bFrVXOJ/BSQ/t9VHdviVmWKJvy8VWj3eXUFKUDS
BMt3DooJ+kYracXIIKul2j2NtVu1yrZg/kkGksNBg6qXpVy2livNag8HIMo2MPI8+4eVUdg/a9Xo
FvduIqJm4zSy4Qta7oRY5yiFeVMbsEWfGXbmxpcEyef+2EK6BeYRj3MZDJqYrK0JEoNiICt1DUCK
O+f7Gve74RnRTJbVdHrnVGdoRzx4TiKfctCTwBNGe6pLlBLKKvxWYK0ZcWHRYZi2SDma8s0ODcQu
Gk6O8gKKlBZfm48SOecK7kRogs5BLsybUC3MlbL+I0TiImxYUjK9fn60Pqri9Xd0GFBA3cUzAoDz
+dkSqWohntItLpXLXNVOavcn6WqUvs+NnqfvmitzPCW1cN6iCj2J7RQvNNfe4QBsOkeLo9qvw6nR
70m0E+2x/kBmy7o1XiJU+BclugzVvB+FsHrnOYoTrlpLHSqDW32O+7cS6+74vYr7epvDVAq9rVc1
phd4reT2d6N5fPZoVQm4EkAJypjU80qx8pfowjthiW6DqneRMThfAXhEbupm3nRng4lsoBR53RdD
MY3unjOnq3dm3UMm8PpONPeyVWcxXHmBy0zMcOBSMlCnIWRdsCgY/oyMvHvtrrNpuN8nrRrd12bX
IiOQhiotBYlp6B2aynO9+/zrL5n8+ccnAYNDQSrIGBR8+/lPj9OCtnxXyCNylUMCwV/JT6OeYlqn
WqVzJZKuGfdEUhrciBZAaDPZb+t2WGuptdFCr7/ToqyvKYVcjO4PYZqgg0z8zou3rsIGIRiMoUwC
hKQUi0CoKNouU1vdbTZpNzXDXTXJce/i8WX66hzJ/pSXearjNa0PWYrIb95GV5bp8gOxKxaBeYbi
2DuspQJULXFlLHrlDlakq+1RNFThYs7YQD0VsBy4DKz+VeuIl1ce/JfvA7+FpUK+j/+uyQdMiYpR
aaU4urHsRqCV9A5e1C5Coxvs0Gj110bCl2eBKTyCRGRRsC4J6+cbApRRV8VSyGMrvcLckbIN5qYn
hQ6/kE274tFVQ60ExNnEvzr8g5rT5xtyOWurDbmomOlsFESBaOOdP58Ky5FoL3h3VZfL2zFcin7C
qnrqGKDc62k491dyi49WxPkj8atYlBSQROJsrwUDmROnZaZGDtWu5iAwNTJ6OEHVq5s7RS3q6i2N
WtEEyViDSo2RpgNik1ux+0WLpuy7HWlRiFx1j7D2M6xUFF51dcrsa8PSv6S3FiLqYIYYYKOSse7m
qsrglJ5dR8fKC8kd/Unpk/m9H9ruQZlQQvHrTMCDSZbxfZLG5eNi+rTIMLeh9hjnZZtHO7hESnu0
W2gCvq1nsfLg5akN5GCCTndQRsP6pYSaUotNxzfId5GT9dGV7sLlWcKnmKiis3mB0qyF3POuKueG
+faxGDXtVkYSpFCvilg5iDgFTI2PPLfiFrZmXl5jln8oUay+tcU9R9W74A1grp1vr7iIa1dThHM3
SDm+WS5wP4yw7RzUsVMOEdFjblUX4582DO0NXF8XCToVXWYfMaGwCXpwKtPzhLB1ze3d5dnP2QQR
+CKZrs6vOCl0AB0V4RXfq2oyDpad9FGI8Gq8lPJthLzW1nNp2QTjnOUAjB2narbN4CnjsdIggrzX
lVKK+jEe4qapt7HSyzzypzIpmDcNvZ07x9FgBvy1x/HgBrW40tw1GQp6PkF7gU5jGNb4KJPmPzmm
HZUMFEUbH/BR+TEYajSmu9JtDKLX58f2okPDuVl6/QuhAXD4OkA60imB91X0OexZHYLE1THgqHUl
+xZFiHEGAKXQhdppJVCmW1E4+U9ZaKbS3Xz+Gn/ZW6CHljEagx4mHquBQ4Lg9NIPiI4u0TLbKF5D
ZeDGswquujGH/dzY7iapLWSg//nB0ODYz0A9AIity12UMilFIiwvwBd0CSk89g11Hxe8glKDK8wy
eYQYc60uWvvAc6MuuitM1YgKJp52Szj9n86YE2dksX043y3IbscJatnb9W5C8zT1i9Ttf6tjKUO/
Rzjeuw1Nd76v2zxvt2EzmAqYdhNR5UFI907Kyd32ZHnO0tLTwt3sIcwOt9/LkP1W0eb8FiYJYmBN
k03NPYmr5h5CWhHTXexN0r7rJ6tvf6YTtgMPioP+1dNcmcnPfqzomCjVgCSMFaKoPWyZMSCxv2nM
JMz7DepU12RvPy6p81O+KPOS0HKHwWfWV9tgGRw4Rq56AKoLCQmaSX69Mdokn54wvc9fObGkCAhz
eF+pC4rviJ337riBBDw3wKMZUuT7PJfKf8BoUaz9fKv85e0IPwZNTfSmFyrFuonYgzmIQxcmcNrN
cPUQtRjiG1MT1BjenLjOPtKK5n6IOzt80csxI8HGMERUqBJBNvzqwQE2NohcCfNnP5W1MP95M9P7
JdWBqgVXjHN0vqlah87uCH/12FuDvFVdCd2irumvRDdmy0bZY9OMLa0JzDqvr+SIl/f/Uk7awPH0
RfZijQgZpnZOenTs8aJo3D+40ADjdHB4B3jQgVGyS2FeSbEuu902QlAMKxhNL8YJaxqN7shSl6Ge
Ha0Rnv1dl4bCPnjh4O5rkZ9glsx/EvTTfMSDp692PQBrrgavOKkIB5ZXAtgaG/yx5PTxSJLhWl52
mAGsuqWeNu1Rzr0yiQAUtNpvaLW5I+ox1qiZXyy0zR47tHGVAJ16Kz11c9XjqsOkEVaGP0DAjbFu
UAExPlfF0Js22gdhq7w0qWKGJ6KQEt80SIaVh0UDOv4yA0yzr6XM9sWXJAiDF0dHeGFIkcGe76KU
SzMzKtEco9xN5A9pGHH+BDjYRWue+eytCTi5QLKceImkKlKFkBpSMbzW0ZDshK1g28HVpSE4otAO
zxFypvkTEFOd7yEc/fwZxH3+pDKyQ40incMfYdI7kV/Bok83RZm5L8KhsvErbSLcM/0Mnb2Wp7AX
EO2ohJluUNU3h1urSASMwDgcF7kCSXrQblqsn7JD2IWZizqCbkU/bPyU+o2pJKq1ZbBbIIUTxpS2
s97g12NZeZc9RFZqeMybPfNHOEhNuW1H3W6elHS0l7zMhuoAJ8gF1Krp4tBatWAGmgDRuOnYl5Wv
DWbb+qXK9HmrzYxUbmwETcNDPGqoBlqpTlqHrqmDJ3vLcO2nnTB0/zAaLqPSx7sdvkJqJy54uWZw
U+WbjTY8QgGxUaOV/HkUu7hpUXtaSjiyZkAV1nokY6E8buEnEx0VO9e6X7HVw3sLYXneYpakoJIW
k3UsMIxr0fOiQOHBhHaGBg6tZYLE+bZq45JZiAsUepoX2HVhKfGhsQe9+oMXg2huRaWVzqFGm7sI
JkLJL2vI7e9zWiV166tj4k3fI4sKiumgZLJIeBFF3t0kNo4Gt5GpYUrrt8hd/4q5Qq6ZIK4Rjxxv
AMeM1T6g7EwLVxAFfUxmI9NzefQUmh97TU7OxpgsWBpGHR6Z1iDMjrcw9thhOqT7jAZKHJhSM3x6
YQ6eGGipX2k+XMY/3onsDXI1AQdRs1W4RwxDbes0y47s+XbC88U0JZjjonaOTQTpKMCbhXsa/xBj
10RV/St3Qu875DA8OBWjGLrXz7fWRc0LLRVhw8WbcqlA14PqqHXIYgCOHk27LGgDyAyvkrhx3BvV
JnP+/GEf/NOzXIGnUfagmg0UionF6jZOSRbSpCvwHEjcMkYkuMKuCMMPNQELiLFiQNNSwN8szLSO
+2DqBpZg46KxBpoii5Sq/6LBw8jvSLQjBFHxBvDQazZpVQy+W0RzFl85AhcnwGXIzBwSuiSETFLu
8xOA2ChTum6wjs6IsluXFM6zm7ZT7evwLJ+hrkN6y8AWP+Z97FyZgJrLX362XO6ivrDMJ0iskBxZ
LRfG5oh3QyM+smHcPLlRGq18bU21wExncCMcSlrHiBnz5yXcE31riUZaoT9ONW42Dqw6WJx8DliN
TNtUP8YG5FfculNxX6ZDUp8WyZ9pD6ExRVoDIyw9qFFFPg1VP9JiRjLciANX8bo5QWonEdOzqiqm
+55odfLbTHKByZMu+iTQMmOKA50p+lcBV2v0J7TlnC1O39APcRlqvbtcHQsdZ6++8WAQATgXgHlM
vbLkhgijaJtJVfPou94V9XGQMQgFPwWXaHRBhNPDaTQ0uL5XduM6rBIZiAoaghoO0wa05c6/rTGA
ukzVOb/Ftz59blmwL6XezhjvzI66BxXdPcFVxVnLWqyVKLruJqvLdjD8ioNaYlhFuG73k1lrt4Nq
jUfZaQOxw8XF6PM3vXhRU+WfpeogSSOLXYXhGHFoCXm8voU1bx3cNBX/FXS3DxN8pW2pq8Vjmvyj
IhfRb0GuWIwUEVrl+atn0jMohrBRhtu0QrFAjGUfhKqeB7D7h4NGNuILw+mv7Ph1NCI0gKEDj0lS
RnvYWTWkSlnCvXar7pCbc/bVclAR9GOmBa3fqLTwr2yA5fv+7/H6eBqhSP8Q0wEZf/79ndZTGOGp
3aHEkJHGVy5Uv0OxqtxM2hizPz00q/71U/ILl5YIgAY2HW4h58+M9H6oKjxjDmDvrW9oMtXzpnSj
JH8wAaZhdqXU6desJcW68uC/LS0XIfUZEJMFEXb+YJQXPDzute5QtE29cQarmHfQvUXjA6Fwrtlb
XCwt3VdmqYs/wzIcXktA1DYYpJxi9yYzx3gzJrbcehnCSnh+/6pL8vvPD8hHr+HsU/I8yBY8EBzU
YoJ6/uu6zBvgi872oUY0O8VtqZqiDtTyArb/Ao/MHAKnm+350RZTeVsnSmkfUyxLyi9VVlNoV7MW
/cArRRdIcykKqmqtAVpEwgBUNrotre+ulqo/KwLauNUnhJ429lDIr7mEo7blvvO8g3Bz/YSAGEKX
SY5cwDGvPXs4eCLN4hdvmpHP2uVtCFN7y4Yzw3cRZZb2M2YOPLDNh6Kdh6BSuzZ9r+k7QXWvIgv6
cSatKkazsqB3l+cibIOqy7p3HTk5caei3ZbuMH5xom8JdW530wDH2lQ4pUU3GND1VWCYk0U4J8jq
x4EEeJu7wLaCujIASOqD0xcVaAdDo/LJY7jj+RTlwJSdvq+/OtJLit+ff6y/7A36gR49I4/EUl27
xyqaSQ2EEsDNVETa/FWPpQaELFN/D2M9dw/plOhXDvrF3meOvUhG0LghlbHW0vee6EnzrFTcJLWW
PgAe1eodMEX1hyJaUWw//3nrjAFblf+fWxjodJM1rE54VhQtjYMJeA/mnAbNBPqFCOOPGzfEzBQU
ZrnNG4StfE/JrjFa/vJDQRctap7IjlBcr7IVSwxumEF/5pCPIbALXb2NtNK4N2e9f//8Z65zE37m
Qst0QVyTnqAYeX7iUizlKNJq+8A9MviVXkiMSPAzk1e+3V+e4wJoZla3ZI7OWhBU8xqEnQvhHiK0
EsxvvdoP1m1Wm2p3LUJe3LIImSC0AUMPqwJCySpCCqFja4FZzwH0ePjI8HV4UiMXEY0sL2fMalOG
Zd7Qp1eGMKv98gHeZGvSAkLimAp+9ViNWr2r+9E4ldKLtmmCn6dtVNiX1oZRHuDMp7lPHeP8UfLY
PHz+EdcJ+cfDaYUuqFFISdiwnn9FEyHApGlC/aR5SGlBA/eSsAoad+7rmwnlV+O56eWwH53SwHhL
sfJ7D0puiqmwpd5F8exO28hqB4vmOcaJ97Lph8ckyV198/mLrmLGx3t6zI2oQsEE0qw6f08twsIH
k3ftVE+O+qrnoZTB/1F2Zstx40gU/SJGcF9eyVpU2lWSF/ULw/IC7iRIcP36OfS8WFUOVThioueh
3UaBJIBE5s1z827qIzbrotq0fps+fzzi+WshrU3tZz2kV0TVyYjk33SkDq35hEHZIh76au4+JaZW
zJvJGwxFt5huvAIPTsTB8jr788ejr+fVH+cZ86VPlIIg/1wz66dpslkNVkMNwHzqV/Z5NxnOdy92
hkirwM1pGHhuaFYNdl1Blb7T3OXCd3H+uEnkklTmBr3yq4KTyIhZ2qjFF+tJNJjQDHWDIaZTmp8C
MMBG1Pi2Wi7smic71+8J8w+oRVzbAd+cfIgQIfsAk3n7KcacZ4pyzx4+aXVG0sFOpfn48dM9Wen/
H4yyKy1XPGSude+/Joz7dLNrKudJzeSG7ydPab+AQ8A2di19usNVLiEGU//eoQEV2zf4n0f/m386
Rx5pppV8a0/UKfI3TUMGEZHE8a5tAJWXqhV/myMK2pXNZAQrf+r9HE3YE6NC9/ZErYjoNps07ckd
Yv0BpCb6vITerk3d9dOFguN5Sxvf7Nqzv4r8XULrk+PPTFK3NevYfmrEEmCTYCOybvveayIntaZN
VZXdjw6qDC3nGl60iyO2dHuZrx+/4b//DLy5Vt4X+7lx8oq1GvLRpHn202BpBuQzK9+5MJ6hi4lK
uzFU4l672dx8n5PUv0emFNNmml5qPzjN9qwfGuILTkeDZepSS37/EvBEV7XkJOUldL08GDN4nz3M
DIHuRqTwMwckWY9LPrkVXS45ZJZgHJd1Q0mKK7qS5XzhsPnLwgYNx3lNVRiM6GkTvt3aVZG3uf0k
yxwpWJsmO5Db5jbzgvxWxU17Yd8+X9YA4IiCQJczKjWY9w8gyejfwXM3flwknQZh15bNF71A1V6R
omgv7CHnmyaRCOvLBjxPXHJ6kgZxnmiN2eRPxtRU/YNqs8XaT904bCxXS7C+9NPB21SJlK8uhkFf
A30Aa3XhKnK+7igIcRth8ybDd9aCrkgwarUz109135Vv/J4+ysbRaqO8Lv1lH8fCvMljfH0+/uDP
Xiz7NF/7Cs4kY0TP+fsHbXAoDWKE6YByYqp21GJDOqmhgqqm2zUUuy9M83w80BEoZldBOYLW09xq
DcJ/RhQaP9X5lMQHZfXVi90gL4OJJDq1ze1p+bdqFfJ1huSBrjkQdtDTwLoC+g+IyQ+eOkc1/aEO
nHQvCw+v4MappnGvL66dX3ispznk34OuPdPcZfmyzlprEpdiSVGX4lgYpsDbBxOz9is4Jn95mbrJ
zjZtR4h6bcqguCOBQCPxHGAyuxK6y+kglWzldhjdRLuwsM6+dcBFOEBwiVpbWQmN37/vIJmdhm6y
4Kn0VP8pb7HJguzkAxfiSm8/DDLntkpVs3iqhrLi8u2lFxrM/vIF0MCOVEunfZiyxMkvGIxS1tY8
i+OA79a1KVLzNa7BavqqFXmUG4W4VCpd/8Z3QRFzhp2xUngRwsIMfT/nKcYKAMpH8ARJfdFuaqso
D0Xj+6zmCZvv3F8ae5OktPVEpAkoMH28xM72MhtGADwH7jqrBdXp3lkYA0J6sFrHBJVPthtzr9h3
TS6SvUPh6ML6Op8rvrfrPFfhjkOF/f1cB0ulVTzK/Jhpmjo0iK5fFkda/9Gi9zUAELeDqYlCHeIQ
SJ6P53l+dq7vFGwocRiaIft0bKsGvuuBCD1mEHA+A/y197h96Qc1au2rmzg14DrkCirW0OWMVfpr
AlF1YbH/ZeGtJGCyZXSEr/TMk4CwcjHyAcHuPVkdrqItBWGlntNJaM4D9QDAAODSiV5SGuhXo9hJ
i69srcqn0JBjVmHPlJi37Wguy4XP/vcd+v1XCM4DUQENEL+T8ydneqVqsxr8PCCK42jfYrbtyA3o
PW8Ii1afsTXHdTjGNVro/Y3vdqmM8M7ptglyMnHl49IC2Csb4ywC05GBmqun8guuZr51TQ+PZpMc
n+HhZlQEdr0XTL/IQQ+PCp78csQXsBkjylKy2Sa0K7xdePNrfvV0bhBiAuxUSU1ixPH+q8uyfDE8
NbDCXF9rsdizvMiFzEsmyVM0yKcC8L9hw2wAL3NTzCYdG16b33r6cMmL4uwctd01fYhU0LVhNZzm
vHuOHc+lTfoJAZdDebiwxGfhGq237fRRDGHp+4i1hNtmzx8/hL8MzKFGhoreN+4ipwkHFyp+HbMF
PQVOa+DQQtvGV6oA+bAHEI7RWr4ML4lItEtJ/vPthYhMp9RErRfv+tMkFRsBvrnFJI5KOUYJDd+Q
ERJpaeDHOmUXEu3nkenqtwG1lTQHlzz99IbnN0iTBkjix74oxE80OV2+V0NmqYdRGwNnOwMGWi1g
XCSMJfrT+hmMmtZsLCOX1qbTpXZhXf1t1+G6sh5nvyUMpxcHTQhly8FNjulYeZ8aTvP7vtZpxDIs
AKcAz2VI8XA6lKUd0yCjDRN6u0TtP377v5liJ0vgNw9j7aklQXYqAkaQC6lJieBp1PqqOdiptvgh
hgwmlkA0Ki7bMq0HOHpp3oJOHDznq3A6UIeNXWT91VRrVfwptmYVh5pd4EeMvDpBPy29BxPTrEe6
opIyLEhjySiep+p5xk3BifBjd9Q9PK45DXu7FHeLSIqfXk/gQbK7sm7bAKrrTuRWlj77etonEZoN
H0ijAziLCkIOUBrwcexeG0ZbbJ0e+eMuabR0jmKJzmLv1Erb94UPL92J4e3TqavHwQbkTZ1+z4xE
kjrv8djJs9nKom7gu8dapOuwoXSMLglXJSV6nWDM9JD4tnpEGD7Mt4o2uXHT11oir3Vj0a1vllPY
83WnbHPeTnhyYZuR+DXKwFQuD9h9Wv81QWXQq5Nn6aePX97vW93py4N8zckBvI0Og5MoeOjrwjGl
Gz8pu5p/zNUol33ia66LIK1P7ajGs4FukZkGwbDs/LJ/MznKBAbpQVns8k61Q9gOUt3boFlFOPh1
/x0CpUyjPK675kJA8bvmcvJzVwmAwZ2f+wI/+f12m1YTPRwi0J6SpSqHDV2adBfVIp51xnaS5GYw
h0I+CNXp/l5DUtViyjNyk+nKeLDDBiYql6p2tAYZalOv21s+7Z7SUpeJcBkt422Jdb4Dq9Cbb8aY
5c9eqWf2Fr6nPm0MBXNsS/Nx+eA0OLlvNSQuDNyVNLGBCzUlX/mQ2/wfUJZDIXleYZMMs9wqxAuX
1v8a0Zw+DDp+uSMisVzP/vcPQychg7dRED9Rybb0bxx0GI2ENDQmghLV3NhfK4pjmASPc6Xf0/gb
XAeprtXXNEDpoxPFAzapNVmfS3fY80AXxQb+WKjz2Jq5Cbz/Ya7y7NqdreqYU0BvH6w2WV4z2lTS
e3TGzhV9PN2Fc/h8RLKxpN0I7CnA0o3wfsRkshRijKA80kZl6lj4UHedS29oQ9HNlJjqS4ravw0I
A4jtjuokuej13/+hbEUpRbI/7ppj6Y7+FScgdixzT5m5Qehk7PUubrqrj9fq+TFLKh0RLef43zLP
hdDKYDH65ghFvHNCG0P0rrAWI+rLKousvgS12FLcujDs+b2J+GYtO5H1g15+GlaUdHj4TupVxzGQ
sXefAl+uoyyY5A9MiWhCpgS/BICT18rvgi+yixbM7Ns+/Hj2f3ngrHhub5RgIOMFJ9/U4A2p2RLB
HIGAYUzTIXRjP0xeXZsu61rWzYVw+i/j0eRKqQaqJ7W307uLmsSowXFqjzUWQfuyjv8LKmRddCN1
e3wKk+PH0/vLYc7UKMXy2cAZPDPMrEAOjfNsyWOMG4Gxy+aEHhofFnlMkGzNu5Z4I9kS4xjmzUA+
mUNpqIv0SGOUyi9clf82dxp62B5/S51OrU51ICj4RAztUcTxuBfm0txauWEtNHDWD7jmogT+ePa/
q9vvt7K1tY8YklUMV+uUx0HFygZd0KPATG3MMeNEd95IkE3B1dJ45NKztm99PBkEQ+v4CCExpIH0
QQcSWIXEu6NCiCV9KNl6pVkQ3Q2PTnR4lRgR2jlXbGnZGOuKSq8ivV+QR/RsIwktXr31ag11PuyS
VqeRcPQhTiO9rDvnMZi8Sy7nf1nDfL9k+JBm0c52qh8O7EyzJlcVR9n2xYueFO6O9mVaATJrvG6a
JT9w7h0+frh/uRhSDll7SggVXbrbTg7Nkmbqqo0X72gD9TzyOlEzmJP1nxxbc+9qXfaFirLaJUHP
kxbCba6lYWhmFCNkKvEtNOZ/XltUiUzMeTizVnLm+pT+2DznQKVeBwDyKFIjx3x5xpe4xHhrQlfq
m7dNDsbuQuRw/kmv6WR6ayhgoKc+66xJmzHPhtw7FrSsaODVobfyEOZPaQaog27OdroQWp3fThjR
whlxTfitdNz3kxwxTEH3xoh5vCyvSarsqFiW1A1bWQ3bj18xzRT8be8WENhmmIzr+ce2xTzfjxY7
uSTISwJ2aW/pvyW2Au5B8z2C4jfSMN3U7QTtrAPASpWaePWNOURqkfTC/sTKLoKvwOS0Tg9ZUXK+
ATqq4aEQd1lx5dRuof9kvXUuxJts8Dd1jpbumzJjXD+deEGYluHo217R3i6uJx0TQrSiingLmPp0
0CdwCy9CWcK+XyHMedg49KzxIIyst76RoKIP4noym5k4fyB9V2wQWGnzNd4c5p0pys7pI3hNOux9
2+lNbpRzYH7SuKNxEDTJ9MIdd1iwQLRx33RKK97hiYMTNP2cfR5qWex98QZruF8D+vyqRZuyc8Yp
URuZkfndjKzHAu4PwshQaPqUzNGIY6H+iW5PpYc5IWccNWO7PPmaDLxt4QTDW2JjbbnxnVp/KNWo
PxuTY8xu6FT2EB+yrG7iWzcRPnLZ1HCeSj/uKliAhfHFqfJuRgZuxI9ZPdG9WNIg325qS5k/iUcd
63PFMqxvauHg1EoPnXxb8Av51vakz/a9bnQ3rGcNggzQiCXM83pOX9qagquFq/pXPCHlU2oLOUfU
keJjmZOQAq2a51E5kKbb1LLobgCq1lmUysk7uuD7P8diHF5yL4+/D3lgFCHZ96o8DKYQX5ugDH6S
mjTiLQRrKZ5ppF+sqMy5B4QF9AYrwq9HFfeVNcTjfaaP9RvMG25Rs5GR/pVWkMD+L3AegeRh4sE1
ky9sNmnQ6QrMfNW9LXSJ+DeJkWQStzofCyLcw4JkxyVR2Hf+EqvgCR0CdgCaXro3vjmPn0h31tmO
RuzqhjDND6LWxa6DUyGBwzKns3xyl0qpLb1JQoVZ5jZY2hObe0cPwzEv1MHa/Od4Xv2tb8wxv2dS
yWaZB7/fLkjnr9E3l2Zoj3o/Ps8+fXKbZcGwftvGufzZxNAwCff0cYnq2OuLTz3VQxOzhBoAvj10
hveCS3f8Ntpcb5/pxp2GG1/PNRl5TR8n+6TEs5aEzDy0m1jW8xI19HjaipYCR/GZU2371irKIVFH
8bDcZlhErstLYAacpsqYNj3ldoz1psTgLhY0MLDTVaAYZbqENe6ag/F1qHA8eDUaaZsPAmZ1/2zx
+L+SwamHNzvx8NIM8SAw60MiivFWH4y2/k+MqHSfKMUuYKrGFtNEPMY773vfiWz81SWp7d53EDCX
XQnbYA4b11fXtZ4GU7i2bFi8IlilTt4FD40dt85NLlp9omtloM1ubrHdjsZ55Na0iXEMuQd26JTX
/MFiqzDZmNwItiLpyYJYaUU+Eytc+TE3zs+lkyeYBuqNOhSLHIk1lZqXsED9qIeOKBdvMy+29I5Q
9ETN+807f6OVejdEqpXjQ7ssi3Hg+qPt3SFzgj09p2jSlHDxb0n7OR12VaBwRzRlMYMfhmYhDu6C
Cu1lsJugvWe+cf0pozGT22TRQsYzpOk+0hMhjK1dqvKn0jCQuXBUngUMnNrIOFZRA2V3iuDv93WL
dEmDE/WMsMZ0nmLQozn9ITEsuIF2hmt7oTFrHxdxfknQcHZ8UahC7gsxjHAbve/67/84oxGhCX/g
gnd0i0r7kdfiRZGySDcmJmDdhfDv7HB2wJtzTaT6t97fTh0TdRsHJppTfOAUQ72rm6V8S7jayDCe
Hedoqna+EOCeR9sUJBxK7syMdnlEFO9nt5BZAhhmYigD43kLGlS/T6e6+kFfiHFvtN10rbudtTcW
Z5gj+FOxDKfB/vrxqX16s6LIjWSF3CW7OqnxUzV1SpWzpF+ofDZnqzZDq6EKZvR1+qbVRbZr9Yyr
1IJz3YRVygi/sS37fy5J0ceAmxC5azrLgrNeurJG/ImPWPFMN66Md3pmTj+1oqdKkbccvNe4kJoX
7pPniVQHsiABKTPmQst95/2zx4UOsha7xLGz0josHMxeMk+KO9lJYoOgMZr7EVdxfzN3RffW1HEV
ku6eUZXZJHv/NS5kfa2wde46BKO02L3/MYDSyBia1XT0R2CZc2aoCKKBAt3gKO8pUNql/vK/rCtq
gNzv0AqhKjjV+aKY9pait+aj0xT0P8vEuSqtfPw8qzq+1JR/unmsHxgFftIhK0eSrvz3k3MzX4uF
L+rn3mlNsQksFUCPlNhxBl6mbpO+bR8pQJY/P/6uff7aP2NRhrWhBFPOpwOKqshJeJ+MDTS41mye
fZrE4oe4qvieWIjdl8VKxL4RQy02ZcV9687CRujLx6OfPuB19NWKgoWN/I2a7+mknXhogC8+kwSC
EV9WtfcEdmw4uN2ASc3Hg53uXDj2keJCOkpEDiDeOgnyvSXPLJfWp2dzVPqEjROt+OgW8Riljma+
2aJJkgtDnpXTKOVzLccukPZXMPmnOVBUliOcgEC+lJoF8jlcgVwWDkiVB4Uol6W4Qh05Gp9rfSJW
J55fgg2CGeutFialz9YXxhzByfIg5iS6PoRiyvxsh9bWvHWs2OWAtYTWRUkJHo4b9hDs4F4B4q8t
TJ9/6JqYvswoy18LyHPu88cP9PyTZXJgbrg4rbrj036GPovTkbuMelFiKo+rVvG25X7wkqtpjrSp
c2+mNE9+fTzomaiTAakgrZ3qZHuAUaxf9B+HXdkLv1n8qn7BdxwsUtnCtYp6LxU3wuk955Dg4r3B
nLKkLXtuHe/aNxpMnzqttfbwtoeG1t9+bvZcZ6erYCbKuTJnTU3Hj3/neti/X1grGZWNiugWKOJp
sj51EMTksjOf57Zq4CSTK1F7ix6xC5vi+RJinIDHyh2cVOMpCNdQtSDfbJnPg+yyeVct3g8HxVka
GYNOkePfJ8VmyHy4wrJ4T9drmTd2B1PtWas0PKtyUSUHD7es+cK587dJ/TnOyQ0ZCXtWjDrWGtwF
pE+rCjqEEC7KHG+o+iAk+3hafxsOsrVuISmkM+e0OIdpk9dM/mI9p1S/Cdma9MZx0uK7nuTVpdzo
+XdB4htl+brvMuSp/CDNKuUlqclNI87H11FrYjccyGp++tcpkdVfm3DW9UkvwslxIqUO2JUa8ouY
pIEbbK8Wjk1qbVGatebbx4OdHSIrgGWl/FDY1QlRTnZWFyCp4eO/+GLVed9ukrIK3rj4wSP3e3u+
RSWWvjhp1vxaaMYaLyyAs11oHRwBIh3EVH05r9/vB4gFrCUnH/HCrQnHwIAuaov2Pj8Is1gU8V41
eXUwYnc5/PukwQoQASOGW5td349LPwwNifSXviSqjSnl4PizrbxevCwYKL/UcHzJTfS6m4a2I91/
PswQMJBGQTEG5A7N7cnoHh53mtVIuqkykqXWmNO7NlXaN7uTzaFPuks5ubMlso5HaM1Hi7gXvtH7
2aLtjJMSWeELYGVfu05Go2x2Ux8XqGeAYQSbjx/u2SoBJbZKr1ZiFb4ap3gv0wXASeiFA2grVEnm
pLR/BEtzyYLrjC1NMX5V262BJS2S1mlIadtJwTlbzi9+SnrkPyzBLSi70he43LVDf+cWZNKuzN4N
4q1F4Yoc6+hKKfeVE8zXhZc6RVi4Y7dcxamjgLA6DfATHHe7MeHWO7fLtXRl0b74ftJc1breGpiL
aX0Z5cOCxypcG271oaq40as9XfnwAzCnczG8b7NvSdpBZvj4yZ69SBiqnBgeEf0qkjitlbREcp6C
N/CyuJqHGmPyvhr4Tu6l218CcJwPRTM/6VRMi2jrB+L9/psZF1PQiJe0L3C11UuS5IEZjWl3xNnP
6XcfT+s80vqNp6cpCd8T7ka/GRJ/hAXobVOujmb70q+taPt46oorb7QDK4Juotpfga6ybtW3LM4+
sfrmGcX/Qt58mUh2GHFXwneoliWpNnrnaU+zXkoz8mQ3IRoYhI3poC2W75nwqURgI2n+cojWrqgd
zM1OUyCBwEQnnXyQ9NeUF/QsZ/vranYBAGdtmCBMPqWosMTbPHXL/sXwugGSH1Yp0Oyb/nEy2/rL
bHrN1sYTe5+Rdb7wuZwFzevbo4mYlUiG/CxCN4JSihgzxpcmIZcHRLChcI7RrN1HbarLbl8mYrlk
v3C2pa+rkeIhjUMsUIRS7z+cXvockjQrvxjS6Kc9kK0KTUqT4bVAuDbeV1jL7Iou/+ejhHEpH4JU
IBqgGefkg21bR6Sp1Q4vpoWjeMhb1a8Tazn49Oe8DtyPMUV2zUsZlbNlskaHdH9RrtU9IriTYGdI
pjZTAI1eqp6cJoZeyDjCYNCKchePXtFsP14pZ3d6apYe4hHAeBwebOsns0RrhKqtmpNPM1r1m1RS
ijaSMbsl03eXtvXetVPjYaWb3pOoc656pnwv27H7ty+Lowu4FacXdS7kzmTM3r9k8CiJ4zSUwL2S
sGLnzVxSd4EJBKHoMJiNXAC39b/Flb/HtKkq4dBEmIIU4P2YgAhLOMexhgOWnylaYVC2ostqk/u5
7P/7+DmfvFbGovyPV4mLkPz3zfP9WJ50ZIHHbQB0We++j1MZb3sA6JjjeLP++K9j4WLJg1xbERjx
9GpbikLzhTcm137sgPodJgeGOFzldqMaHz3Xx6Od7AnMjCZQQh86rVknCBXfz2wFJ7qQ0eNDUwT2
VRHM3aOezXKD15C/Mc2y+ze7iXU8Di1EyeQdft/93o9ngsiz80C4Bycogs+DXoOoSRV+VU7PSfnP
c2MsqvrcqBCpOCdzM0xaupd+cQ6VdD6nvjQeObK7azpOx6h1xmH/8XDrR/7HLfH/U+NJcmQRUxHw
vJ9arkQPyQzzjhw1yAZIkR1qjl5vrT43wljX5qu0VAvaqaDYx4FV7j4e/nQv+D0+2zoPln4ZMmsn
YWTpQmnTVOEfcOBNXhNfFjeimvRXUgnlqz9oiopiYOaR5VT+bWnr8z5GWHpdLrZ+4aecnHH//yVU
X8lDuSs58+Rq6VgUlSdy2IcKLvPG6Zf5OzANb9cCQnwg1ZejzgIlfJXDc/358VM4X6k04IJI58gJ
kECdUtQWyhIdgZx70GgIv0bzh7d4UqbPXi0v9RWv7/P0fXOe8kHrYBIw+Xj/vku6eLgYMVRT2c1u
7NN6w2GH4S0eHnt3Ruf/8dROTtLfT5X+OJ4rmkGuCevU/4iKAK61Tj4bfM7GbFukMLPuxsesNDI6
vd20M1XhiKfaXhj2fJpUffHjI/Ow6spO+3WQ4sA7iSf74KVJ8pViVRm6Sz/tJqvTI0iZxoXrwvk0
wTEQ09JAQVRLhvn9NIOFUpcmRuswFDau1mNqbgI7Ucc4rmInlNwDH7XepLz08dM9/3AYlss8NQFm
imb+/bCiivV1v7XZCId0bwjpHPyOSBC/Q/fp46H+NkNUPj4pJc4tpBHvh+JqG3eDKu3DLFv9V0fF
8kuckRLC4t5dppDk3HKH72g9/euTJR3CBRsMJWHYanP0flzoijKG/B8cXHRUd9IEGRRVWuDcqnI2
bjUksFHru+mFc/rs+1lH5VK2StlodjudrYdqqCv7wacNyvYehacAJJm0R32zbeBRYZnb/oURz14l
DAidj5Vx2X/Y+N/Pc8KQOPYn0zlk3mzikVKVyVU663GYFI1+KQwhQcdf934fgIv4x+s8ifmo5Zj4
vXQgM11rPJYODSGHpnWBwNB4NAbh1AZ5ECIFb517ZL2N/uaVSUfHleWpg14NUwzlPXWAEgzmCOAD
lYXbRuZC1hRYPlfnsKuyct6WjmqPXmXW3/zGsV9FtuqZLX3WXzi6py4yAQ9rdD+LkXqrcOr+UbfK
uNwuQ1zKLyY0tPl2LLXWfxxqmLZbLwka58qeZdVuZjuOza+I+tMhsn2+zevFrL1iZw29Xm+GtlmG
z0j/TOuZA87AaqXEASLUURCVYZUX8acaQRjGoBVeP9vaMMTnqjY0sTHLtL9vrKriXsaE74fUNZpH
xN/eQcumiQpw6hbeNh1s+VwQen3zzNJ7Vna8YItnBdrV2Arrl4n9yZvuDJ0W0clX1QjWtTQLmwLq
ZKiwcT/wM22UVE2fyy0I2bS/Fn2XPI5Labr3vltCZWhpgX/wUl0caWHJXytCRVApPL7Qs9vgOosd
lUQWngJ1BJrQLz8ZRoX4esxH+yuo0JakpWEscivmWFl7v6+orpeT9r2VdmFuR006xmaxQAyE/Hf9
DRBwH1hn2QYhOreiuUm9OYiLMMmt4c4bAkQTGYxA986PqYdHpEk1DKHcxHTvkmzksS4Q/p972Yp4
Xw55ctfiw9yGut+M33Ph4DqL5KWHkCK075ln4NeC9qt4FUUGdQkFQSv1J61oACo7RVkUj1wKbe0t
t+Ry3ZXCD97GIC+z3ZSYstwMg4a4dJTNFFxrTaffkhtEpdDNs0SIpqYJKI5Dm8dD5WEoE5ZmU9g7
w605YVvdqPdOgujsgRZ8lICDHFCho3kS+X6EVzxFqS9S/XtjDFlzp3tg/LeSqo77qwtSkUQOjlj9
Q10qa9kKq3R+gT2Fcce+0d56HRRaaiyqM5yH2JnQyfnuUuc7DyrYBjpL3H/Wi3aajchWln2rPMrH
fUhmXY6Ys8yT9rOUwfJkY7C0fKOiUM/Vtoz78g1KRKZezTnWvjWjYvVIemiQLTfxXBfY7agFhg1m
u+SQRd32taIKk+jiWSaWV21ybR6KG2+uapzkc1efc3btNNcjhVqlC8k159ozqxEpZ2HWw/VIYwuY
9qRrve+5MjWP3P7gtTucodQchBzgyZc800iM54j01lKWcr7reHvLq0KNcMZw+UKvR/Pas3KHxbqa
wJ4+Is40vGu30xoZ1elc/GxlKm3qJY3UthixyoHf1hXqC3jDUV1jm1xeeblKAIPNTu3fiLoe5VW1
GHS/cyCOTdjAuZ5vil7a3Q/yYWn3Y9DspnlM8oZSTITfwdBc+cqpncgu+/ZQ4eNA/mwexjkE3Aw/
WgtGHVCa0pzmlryAXTzk41TQT21Z8w/ItcG0KVK2bVCUc6oh4QcRveXJmt0jJWHb30DNM7607Vg9
po7m+jvR+lMdzmbtpDjF5RkLo1v658rFhxUMZh20YdJ0vbjrVhMmYEAKjKKB9N2koE6iAyGM7t1R
jEWu7A51GhwyMAOfKsDTbjh6gj8QWGMX9p4r0KHVfCo72N3FdWvju0dzg2velNpqfVBWqkAYRPEp
3xZxP2WbWUn9c1AuWrsZsVWCO5ZOPUlELy0PvtViHqnwTCPHsixAmPGJNO29xB7AvpVSuP9V5eQ/
gIehOtrZfY/uprCHbOsNPIe3dswmQf2iF0M0DfUE8xVMJeB2d4qtsCWbJXaN0/YCp8k2HSOBqAk7
PC7/PzVK4L/GQgRvE9LEF7e1pBOtt9sahVMw/Rj6jN3Hgnl5kymRHBe3Bhw/BCMbR5EkwWdNG6zi
YCZ6JvcwnZZDxmdKrS2u4y+TKCQaaL9P/5tyT7/zJA0oG21p+rvEzH0RJcvcD1u/16ZDEHT110JD
fByOs9l46Ko1RW9cYP1qNbMD0+l2Um7jsiEF1U9e+gOHkYpMau3VweqwWbAJgaLXElAE9rJbEGgF
e9yQYZuodtCMiFYSXtLSqfwhSXDQBEhjzk8mjioJOjGnLx6CJJ8+o4EsnrI0TpedFriyfrAzqdlP
lq1RNAwJmuPuMIFU/6Xm1fOqtXKZPxXT4tzMasR4VtPm6r8mVtOrnkgn39FaHZg7wLTtbbIW8zDk
VfZ9N+euEY69SyfcsCag9tJY3FuvQtQbeshcXgpywD+B8hnyMC3eCERLdrwVG/A9127DL6Ie3kMZ
WbhLFTtZC20IY9VUiLdi6N1X1sDDDXOQ0HdAtWybA8cu7wZndD+NcaPTXiqd4JrCuHA2bmdn5aGN
5dgdLG5/aou7Yq9v2zrQsGXKeqSJRdbJWysdCpr+3TTpNmmNe2LkdFQpQzdVznjnYK/yMHKpl5tM
rzqdlGq5CuYsN70tAhFMO7+uXOvWphfxR9bGqBgTSN4YCYylykJQFd3RL20PBayfFtl20ob+Z++X
zauyYH9tydyqK261OuWekqRlGCdO/lSmcdMjMNeLITS0vKe3IeBl7Wl36I+o4DCWIgQ0Hua68Yiz
sCd+DXLTWx6qwvZRoGa47oUG95YqnDpCGE6cqob8imWPFtq5oTy2ocD47tlpNULdH9Wd0vz2myb0
Mb+19LH7aZRkk8KlxgvgWS8L+pSGtvK/WE4nu8gYy+FnphlTfuixQayuTKOJxQ1/wgqiRusSL+zM
pH/wqZpnN37SjT+8QdAnmbjSUZ+NWuXNVnStTuq1KC3jit7V1alpmUFeprahzH26+OroJH2WMkHu
hZvOin0fk8O4jQ85st37uW/QjCdtbmShIg62fkKTUOneX8w438jGHbZB3SHzqdFR/hw4T9Su9ifY
4qOYUHg6+ejC2hSe+BrYHeo/yhtmtuF7HoLIEa7thybtf8lhqss522u6P3th2+syvemNubJJoFpx
dVXkY7JFsu7E+8LrrM9pIpd6q3AMwlatn4nLgmCZn2E+T3KfToSRW7xVXVJOxGng5LT/UXZmy3Ei
WxT9IiKYh1eKmiVLtiTL9gthu2XmMYFM+Ppe+MkqOVThvtcRN253NAUkOZyz99rK8Q5VEBSftEyT
1i5BCelv2sXz7/PEQDNRI4u/bQOrSU7C6JBPW7NhF4exSPyXNKjxyUHTn9xdpeq82VRpGnesr77Z
R0U78taDJq2HE74pnGsOzo70uUMi1OOVHHEM1YgbI3dmg4c6H13HoQQXwa69dY3qNgYGHe+7NiYk
MGviLD8WYDH4ECX+j5CaI9zmes4QjJkkszWfXNsx5Cll0CNgrrv40VtSrQ9NLTFG6NNB8x95RwXm
EYetoOOx2pykCQd6lCUfQFHEcPJK3B5kaVJqxVqrj+VWBAneCoFqeEHovLClKzsQ66FNTjRZot7I
oI/cTE36Oqjzisp+kmxr2091fOiNZ9zjXyoEfrQKa6oeDGCxZictzoValB+pRRR3bmM2/bmqzCES
4LQqcmyage9XtIsaHp1hDERE24tf4C1O9VRXZG4+6q0Ryw2Gs4EPwMSauJO91pClbInUOHK6H40i
VE07qDsTV09xNJ25CkLRQD5gAk/bXTJMvUxCNPbIP1boI7tsz4QgD14mFs+N36ueSoc/JZExlXmz
K4lUDraiG7WPBcV165uf8m8OW0xK8QbjpqtFLeg87X5obYOtATNXG/l9y2W70ayaWzi4gm1KVWqf
umaRj34flEgEunEoIMgCZNT6gfnbZ3MK3Ekb6uaG3pJZHG17QglvBA1vrjHkPH6A7+gFG0QArby1
RcV2hkJjrt2zs2br5SRd7T2QL6N9xUptxd8W2fUfBpDxw14TYNOu2BL/VlWgt0QdivIxJ+CLAoZT
UIsZh8Q+ohs+LRNCLBOh7CYeNXunV/Ov1Si7f7+Q8bsocnn0BcofUB4HhYrv4vVJW4JB6YjZs450
KLz8xsKLaUUVG3gPK9GM3t5MfaBwRtp35ilOmYbCVk7moXC03tyRZAWS12VP8oQmJEm3CVO4F1LP
zf6jy8BbcI0kvdF7BHMR2A730Q5Gu76BhW/8pMBW78w5ndNbzyl4eQOdTy0apxFAldA4bH5qvTwz
z6aSlQKwABZ9O9vlxMMQRb4p9aa+8+XEpBhqpMOpb0WLzSFsFt/+RbMlto9GlfpPOoi9+abplPPs
DqA6wpol5BdONA6BgRtr2W6wF63k9OUjNVF0KrpNbQriXWZo8rgBmhIH1QA3yd+TzNgOp8wj6e4I
zkkfdpSHlvPsSrPeGeQAGtt0dounOfDH9KnV4rmKOBICSLRH/NSsDkN8pdvwplQLGAdPEKoHWhuU
Si5GDTU1IUHmpSctqO1PUljLTVFlJq3xpVSUqRPvJwrJfp+q8fH9wfO2SoNjBv0RFSl0OkhOXo+d
hJM9qWZNfgoG9+R7VfwCvX+VvMnsmn35TQkKhC2ep1VjhhTBvtRVkV2kdPwf7lFltP3mgW8PoOy8
afsKw0BcXnmmf6nEcz2qlzTFUPiiBX19a7TqW3oBsXN02yA7mNmS32uLJFm77N35s9mTv+Qprzub
2Uiq6BR77AHHqbVPOh7+l/cf85sXjJ6GEAteMmB8tF4XXQG2hWYw1GjpyIKcDn07mrgXiEhDQYoo
sWLW/yZG80eexrF3pd74t0vDw+D9QoRw0Jq/fgxGmzS0C3X3aCXrvo7jy46tQr8L6JOwVY3r8YvH
Yzp7hTbt3r/rv70C2gCQkoneQSj6OyHnj2K5ZaP7qLzZPdISgZZXd5YXMjXEK4FAGzfURUgylpRX
jNAYyNUNYTSCwx1YNT/AOy7Vldn5L0MQGCT/WVmNNBMvRrtlee2UwI45zssk9q2sgy7SlKafRlW2
GZW0XF0zp/3l8a/8SeBX6KwpbF80ZUUAq79opHMEBW5GgBiSvXSABOMlSU+mMau96ImPsha7+vT+
0//LUoQuDjkn37ZlM1+/fvECxldRKDoVwTD4uzJO8u9UXidi1gPtOJJJugZkLNW/Dzc677Te10+P
j259Hn++crOKk7V+RogJJIXvZRlY6W4yMatJ05NNRDkl2djYuaAQz0twTSHzt8e9dp74ywDce3n5
WVPL4AEePQYFpr8a9trZV7O87+Tg1RuR9vHPJGvEoWYXX11ZiN+WoMFEIexAFINmDy3Q61uvsfuV
FDjcYzFSaQjzjklpw0GdXNVAyDoPc/TeG2VyYnKzyb2FJ13+c/+ELxlzAQ1rzOLB5ZzXjJMViNR3
jiAKTdS6XXJELnRTePVyRUHz9tteYU9EHUBuBUJrXhIThSchRS7MKyM13Wln1fCLWSF9CmdVapfd
zVSV2HV6wti8XdAVefcxoNae7lCN+zdyMqZrrbk3YYGEQAYEWOKsXXU1TPqvX4AL+tYgc9I/pm3n
7M2eTXxos+vfu2WwnBWKppx0ZbXce2U3lOdRJ6TgbNfYK84VWIsIjjUVi8LI+q1WCeTz//hB0t5n
UDL9Mx+il79oVQa+YAn2x/xUthP1WDfHds1ZIDISz3xZ7GY7gSnrr1z0zQfBRWkb4vVBn4F29WL6
X4Qt6D8UxcmpDC0NezcxP/Re0Z3TJCmXoygzY6SGMufpIdFxCv7rdMDlaf/AGzOIMCUX4/UrcfTO
ZM21SaqSeF6HGul4KGi8UV4qje6Q46lEMIJpAaedOz28/8Df3ju+79+bcSghaHcvNsa8eWkudKKP
cdITPmO2cJJMOGibRCTyhAmyOfbuILtNp4/6r/ev/SZPlUUP9hxsNXbeCJ8uZwOLY9HcVnN21Od6
fiLLu6/3ujEoTl457WrkjEF7o+oOdYlIqyH+LE3CTaJ2nCqLQgK5zZE9NFOdbBZiGcvvhq9a80xu
VKLvi6q3Du5YqC/v/+g36+O6WqyqKfp2qyXo4gNqa6lR+7Nbtkw4eClSfJmJXdmZTv/fpAL7WuLj
280nl3N4Ppxe+HOpmzImRXu2c9tjmQC5tyms/hrgW+yG2hB5+P6tvVkN11ujk7RSJlbm58Wt6Q1p
c6pBypvYCCaLEc0WNknLJfnRUFm2nXqRfKjjSl5pM7+dJ3mi6IhovCITZca/WBVW0gIz42Qc+6Ca
1ImqqrkdrHq6zdh6fe1Sjq09wH0M0kFZxWHeaOKlbyYKzmgbkn8V/uD2Qx8Gy4SqP7DKi6fQzhqF
lqGzjgaImmfcr/LOthIrOFaBPdX/5t7UQdAhbGYwYW1Eq3p55wRzSKdukOJQ3ELpSAh3bxwyBp5/
1EwkC0R19JjLZyyn5RWs8JuB7DPLgmvGvok3iV/wetpZMbpZzSH3uLiqNEOTb+fWqulNNeZ057be
7fuD681AXi+HZMEgiJgj3OU+NyEFWFFTm449pu+oHeb8HgNjvleyvLa/ejOOuRTtdESrKCWQcF3s
Jx0bj3u21NPRzPR8X9lmvM2BjW2qhFInqTzmh8pIhn9+k6vCkX7++jwxqa4/6o9NHVIQb0CQPB2D
sZZ+lNZuOW2mEjNUSOPSLg/J0nUveVep8vj+k30zhaNWZ/YEbbgqSNnbvL5yS7XGA564HJGQxc/2
kpgfKdeaztaKJ12c5swjm41ILoAdsKBgO7x/+bdP+7eOi+MxmFzwghfL11hVvcbpxD6SehhgsNe9
NCztsjkNsjC3haheOgO63PsXfTuaUDmuRBh2zw7buIsZI1OFls+spccma4tTaTiTtSHozus3GvWl
+PD+1d58KkSbY9CBvb0azt5YMmWQ0hAwvP7cdq2sIDa0dLCSJKV/6NbyhcouT/ifL4nxd1XooZxF
NXsxnLKaiCe/lMMZiZ5Bp1OW9N7KnA0CunaVnNqkG67c5frMXtXIAqpFEHbwJqyW8sutIbEkdcxA
Gs86uebGPh3A4B7bgYbhy/v39iZBlGIRgikmPNwkXPByl9fT+nfzHNc/RJ6mPWaacOtNRuk2+y8R
yn3wHaHmYLMomQHwwFbzVWf8Vrf0U/J7urQy+9nUnnRD4sW9a3rsty/bW+d+TmecSQm1t15/TrAf
4LQlo35uK4qToYkBOjTREXz0SUQ7VGK+UoR58/misUfltDLzDcQ5l9wqMhEB5KqA5m2plHcS3mJ/
IMTtlzKMdJ/ErjF+zDtLP+STzPfvv4g3X1HgrWWPVQX6W+a//v0/5iwE2M5QkXd2Js9ycsewsiwE
yo6K3eqGOLP0yj777QBbbxU5LQUuhF2Xp+1lsIioi+vmbPlNb3/WvEYvd1WJfeXKSH77SDlZW+Qk
0WvDuH6JC8AkRV/W1dpzyY4mm7eg36aVMz0Wz5Uz++qoIbzq4Txr1fTTje3m6/vP9fL6xEiswAJM
cAjK0C2vQ+yP5zplid6zFKZn2LrVV6swbaIcHZDw5krsiPsm/47vednb2lQm0fvXvpyOf197rS6w
/q3mwosTVKE6jfARrt2wuoZZD0SSFggdRa9dvgyyqj+rtFfP71/08ptZL8oI5lCJnJhjxMWKy8ee
+3PZZ+cs5rMPMzRNn2zZkQI1KNI8c/rryZUJ8pLQwDq7QgJIZ8XEwMJ7iVtF8miSsLLkZ3JT0y2Y
n/gI3Hm4t7xsiFzllgd4+O1mJKXZ2PQDgjUPR9WVp/2XN73WEpDBk4XJyL6YLHJ0LZ2gW3XGt249
B/Tp7jTgw2d/shGoOXGuToGnyciBwHLla/q9sP45X68PgIMIYlA2O5hWLtZ9gYLHAFSWn1O6iWQb
0AHGYJ7QzAprkn2e+hI9F723nuTdpV2WI35FLd4UiUbjfJATYVm9Oe/GGXUVen0rAsPkHloE22da
Cfn3SaRXEdy/S6kXPxrXPx8FQ5PdyuVZe6w5cLp9vZx6GeQfXAUaN9Ik0tUQih40pGyogTaTdZhv
kLWU6j7Pk+SXGK014CAvwNj2LCiPtdmJF2Rd8slSWVIetNx0tdB0WSxuAlSL2Vf8LKXaxUGTxTeV
lRBrP9FsvkFvUyWf085OX1SmF8HWq135GRD2NO3i2ewPM+1cVN9tov1K21gZUCcsWkR0avK2u6NB
Md7gReyXOqR6V+eREOMoHmd69MVOdV0L7hNug27usRbYBm9Cd6rvVdMZW2ZVLf3WLd0sPjRmMHaM
SqQwG5JorftRQTZ5agYnEaE2G2MybCtLOPrBturmJQVyfGeky/itVoZbk2JmTk8J7SeIR0umfg3S
aDUUnX3RHQvX4qQYMOVNoW0P2VnrYsfejqUnd03sUGlaSGDamVbqx6cg6IlJVaVB0APCmql8bBC9
5He9MejyYIGF+IBDZ5UleCMgCuksA+jdhk7PBjSWp22zviuq274s4qMNb1CFQe5248fZ7ZSxMRo6
2uwGkcMBFxMiiTqPPHcg2NQDokyv5JMc4qq+w/yTNJumXhKy2v3JPc/YV+ONM44UhYNsGY5FK5oh
nBs4SQOhrlMIE8n/hvWVVFnT7FQR5XQ8xyghnfYr8E1bD3M50NhzvFT9GAGfj2GGdOzFl5ApPkyF
Raz9UJrmp2Cce461JHbOty3zBF7sqau8TbEodCrVPFhnlwhXaLu634ttRo/gG85M8VGmS7GmF3uz
2C9J5qUbevgpgKPRCnaeBLi3N2KbIYL0fgbO5ItiR/sf6hk4WtPcEMXs67vOWvrqIKtOT7bsbEiJ
M+pu+G+ak+6nrrdOvp3oyZf3the3xc3ix7ax1yanM26DuLOoy4yu/3kZnaU9BhNSF8dz5PgxW0rL
uKGKWP70VDrqIbAJOif7fGoFY40D4YOfEED5MnYqac/tEAxoAker+oa8w09+oXpIi4+OrDz1y6HT
V2xrvIIxLDLiiw9W0rWERo9FjUCB6tRecvLglKqs+X608irb2laXDMc5UAlsqmRBJVrxDbQR6Fsh
ojhWxLiJhlnyqOyJMjuqA934xIerWQ+xKpFveFMKEL+0pP2Tdqwso2RaFU9FVttmuIzlMDwhhDKf
/ZRp717IfNiKptSNxywd0ZrFBoziaEaF7H7J51hylCaAyQ1IVVjs/wyXh0RQsa33G69Yqo8rd++p
KpO0iMZUd54oxaniCVSwXj7VtqdEWFL5FMcmyUBtTolW9hqE6UYaOGbQwk1RIZeg/s50Lb7TJ1y+
1Uau/6cTJpCR+Y305tsgClC7ei/8PQzgwIgKK+6mfWzIeESaQCJspBwU2JgWJv5BOxiS/mQIajEh
QCX9E6DutTyoBudG6hW2NbK6wOST/xLX565X1rKxp4Ro30VYxib3dFy9uDvHOyU6Stud3i/VV41O
CkJQkgz5PpypGzZ8D317Qw81Hrd6RyLWRlcutTdzSNMTeXqsJhYLw3f8vW0SosJ3hxCyWHA2Rlv1
26WRnrOL69ZpkB3LQm2bfIm/iGyW/YbCpmhoWwXNlwnLarcBTNt/mYOWjzbmPPtsZUnwNR/BSN16
JpHWegq/76T1cbwPGlvTN1MixupAxQjgUVhSxD21i5kVexSm7G6qljAYtclJFkDyCU39k5HWs31q
SD1NjybQ3WPnLGPzsaWF3ZohzLrUiJBSZreBXYzzaWRhP2lU240IAGbtbldN/OegRI8ZsVUDIhYL
Q2rMyI31Na0g4+zbADX0nhNb7kU+4hR9k6o1HsQ1BCydcEbTAUA6mOrmIahY3p7trDTr+3YUnjgR
qoZMKG/NtsKzO/faoUnb5CUWjoEtmHl7srdDZdgqAliK/HhGCklYJn14/0uQmMEz6bTZstHnqvII
TAeWESHDdQmQTxDQH5Gz+/KQpTapUMi0B/RT+Ujt524ehrj5IHJ3kmdKXwsa6gplBnKsJqvF8FXq
aZsdJRiDm9IPiuKmmnp1qsCP6p+mQNknzkvQ/IgN08ZodofWYDc9dUfLAO4ecb43q2M7TUO+kUSU
BpHDueVBkXf2ZIN2tA99M3vpc8yWVN6vYrKvTCDNj8FKtdsF82t5Smdc1F8cqhxym0IL1OH0a5UR
+cDpikfUW0Z3Gn3AeB3JcdlWz53E+M7RQQMIanbNzeqKOeJwJ3GzKt0Gap4rWtNBA4TvVOB+zJZ2
r8Z2afmSlV0MNwuoO+/DMtSyfxnd1HtJy6ZpdlTB7OGgw477D5gsemDAHC4qg9jOaQUbNICbaNVR
IGriZLFfnKrvf1AplW3k+qX9EjT8lE0ww93boRE37Ei5iWP8bFPXqG+CBUQyuntE2eUzXL82P5Ij
aaS/4jE2bUiScf2sSmxvhyQDQrDxy2o6AMG0/aOlZc7n0qA2OW6rWacmQAU4PXvOrJxtX/eadZg1
r7Mxu9tmeSbcXn7PvGwaotzRdO2cdmAFzvbolcmGoCzbu4knX99n+FXLXVMD7X3SlR7sZ9o6QLd0
4oh2kD6a+kfCPJFs6qYj6svzYDJsFJoSd1+ynhq79XW60ILiIAvFABC/sZHJ4bWg6vWBGSrJIj1J
mm06kY5wXCOOCnDMqYBb0Bqa3uIp96vPmpWjymy10Y53VW2x4HcdiDNUNaaMzKw20723gCjcsUec
ECSCOMzDyQB3eFvPaKU3mkz6cWskZTJG7jA4zyqQc7Jp+ZENHNHOy7eyCcofHWIXbNzBhHBxyEpv
59vpxDbGb2J2aEGHatfSgiczmT3xw8ubTCvYU+vjL6/xkIo1Q449cdIz6odTavr5bW8vhjmEbrXk
t0Xdls5x9vwsKuMqc7baoizYllbtzqEhPeFs6ra14i1b4Bn1m1e4NspTzcu+EcxdstdNpborKKGS
g4Ascoyy2p/8D9RjRHpXeTWIxhlO4r4irJ0tHR2tYK8NwquRTjbJjHSuI2gSh04bFOCFQpSc3j1+
nqK97TMqJp+oIOWfQact9UEFPfBSdhhmF0nQcl+0ZkLjDrCxrMzNRMu8PcB7Jd6rz0pH2+JHQ73f
OcjUptpR00aCPFChj0ysrcOySzX508yaRIZe21j2lsGNSM03q5nCJLXsDRNO5X4rCrvotwQoyIKZ
itJepEwP3EWXkUGfDJpINp20xG1mucL94LV40IJQRy7cnhsis+Hxa+iCNyn7MoLMtdxAbV3aoKd1
6Qf1LUrztqfwGmtdvmnYHFc3Eth8zpgtNUQWSK3XHTdF/o/EUowOm0e707xV8ws6JXerakZE3YtH
1ddOERkNOJtt5rnkd1iKBDR3ybX5p1wg8EXYUuSx04setR0Qj+A2icsFy7rFSmDet4EUHxc9GYsb
7BVBj7VABH1S4yQCyXGzVEb6zdWctD/GYzAzb1EZMT9p/lAAbbXWvSdOVJFsBTiYFAaXX2peGDQg
JekFLam1Y0UdIczm9ESiQZR1EtWJLEHNA7G6TQli+4EQv6W9PgReuteKcjpkVqBaWNlFUYQDMhz9
Ri5SszZo/bM+MihOVbsqY7+2IYEsfuTSRKcO3bw0p6zrXblnEHUO9qVc6ZtYBFZxN5di0faOMCoq
hm3abUwgasGHaczYLtlpWhufq2XVjJZznRanNO6BAKhiFGKLwLY9uEmZ6VuwWBzwDFTBJEoUiC8j
p2l0Os20grQ4C50u6Bpmsi6oN5OWexVbkaGQP3yNDUlYDr6jtkkQlHqEucxpQwfj2nxkP2IOh2U1
VC9d4PZgAjUvRgFLL5GUpZV2tx4ZSQPNMB44hVH4t3WQ2MuWp4w/OSXNbwqHdnEfK9dk97n6UJKz
mCvR4TZy8TaNg8L2U1YqY7Jqkq0s/SV9hPAa7wJ2+UkdjTLoP3uxOeWnzm6yRyObvXlbznhjh3DI
MbyHZjvmzVZlNfDTqR/78iCmjv9/rQv7ZwpNWsVmp0fWj7h2dKCSqwL1e5W5ztd4mdF5xuai+Vu0
oeycSRJpFaDkYRmgZrNuGJu0YI5owowgkeJGZa4nbjXXbG59U1XmIREExPEl4+kkuhwcrgxlqnTe
WzUXm2nq4y+uj/wndPGfRRByHJ4k6pJu00pVe6cESJy3BYM8fZtHe+AeLFOJLTuQmKeP4Nr9TIJ3
iz7WlVNxYkn3t1DOlzoCJBa89MwgRYwKwh36n0PR5F87ULfqc1U2WPL0GI9hLTPrJz6Qbr71BGrW
vTTq5BuUjGk+6cQWzYTXNMXwUcT9cKrs3miiVFaWPBSDae6MFv4GauG0y05V4yUkp8zFUuf7aQlS
J0qIFmQhs7IRLQTVQM1/JAll6k+S89f3bkmMX20GTycsfcIe99bIu1UsZNU2UI6+RPVoEWoQtlbW
dWnYLgIbEPtzZJCmwOcXJsi9PxqmKvQdgtByOdVUmIedtzStijjUOHKDFqR5mqsO0SjaCjfAQ9kV
zKS6s9jPHvHrajtPsdFuDYTnRtRZmbkZachXz4Dpl2BXEaPrPphol8VTpw2dG2ULoT5RsjipvZu9
zPdCO3MWfwPR3Fi+xcJV6gOLsBwiZu7KOU4Upzn5OjoKsw7yt2LCzD0TPc5SFid74OfjFWEWSzZJ
Tq14TySxK+Amo+0OF3QmqR0SgFnVoDkTQ7JJdJdhy0FHb0I2gra8HYtefMQnIvK969ams199Bifp
IrgKjbLCtuPki9HtFwMEJqoPoktuCz6e733GRBFZQZz7u7yb8hkTQZcV2Ta20kp9CNxu8D6z0Bre
E7h4tvshgqL+uxE7Ir/vMAsbN76g5rohibpbbjE+Gei/57nSt5bXBT+YWVnH6kalLaHb7CZDvZuR
avcCV8y2HLUu26k80Z8Fkk19048pAuqYHHjUrrNMXtwkH3TOca42JKFtZLFWX6kyvq3pWo4NpZM+
gc//8Ncq5B/15N5YCsaY3p8NwFHTXe4aCZOlX6Lpx0/Z7nuPesSnipH7j5EiFFlROYDydZBFo1+6
9NS7Vi78vGjKs9Xo9Q4wPRORpuEBDb0sH/YCWPh0ghTkWtfKu2v7+XWhkA4u1AMkATT5AuOiujnA
aC4TkyujCmELx0m71Kh7tSY98STRcWR51Y9EFRg4TCgOodub7makyPKfMSXVleb1G4UCzT+LJiCy
OZSRtHEvOiXCU460Ha04Vz7yC5b7ZTlRMiwbqiBt+9ShPx7Oc9HTtML58S33UkoCyFew0Rm4MN6v
tr8pOjN58F925uy5HOMyfUNTc5kG5pDcZJNTfjbLJT8KA9ACs1iJ+adogUsOHsYKmPHb9y/9ptBv
oZFCpUlnEu6ef0lu7fhARxsVyskje/WLOfbxTrMtnB+2NZ0xX16Lqn9zqwx8EHvoUcjEwKp10c0g
QytZamsuTjLtmk0qpXPngMa/XfiNDIG1FiWHZz7G9Nobf/PNceWVx7Lm9uHxvWSyKJeDcW8H5Uko
FO3bYvb7/KPljLPCgYmMoQVDz8SNzafd+KmqCVSb2eHsvBpqyqz3+IPceZyDbV9MdfCca0pf9gWz
k72zrL7kABljLvrXrgjdYt6Mx8aAXgyakt9dkz+milpVFVqTIn8SiVi2NhbWKrRTwdyOHYtFvsXb
e0MppkVG0xaKQAIisJjZXRFcGSoXD/D3L6FpvlpGELnwa15PWuuRmDgElT9Z8AiLKAXbt5fZku6N
dum/BNNsbcGTXhO3/p4X/pg3uCwaDAho5JXxiXiXaggx9MuUKa98KuqsvYNNUeC/1yvr2MtmycN4
deSHaTp1bWizUO57H6mLTywc5dsWjyeMKsJj3v9q3oSo8aOokoMTZxKF93LZlMvjwJB6wkTRVnU6
hFiFx8gT1oj5TsCBCdNu9NgM4upJorae+45qcW7i3i0b7dFXXf5fx+T+s8LlU4dWinByY5bpuBey
lFdkQZfNeR6gt7LGeYCUzUz3t2jvjxHEvsMRS5fOD3wZXc1OEJoWqWV4L0MSwoQMaW+CrUP7aZCs
xiFQ25BuWP6yJ636wrsR83lum+bzmBvmv+bCrL+NqFCUoczHvmGvHeZXvw09njUG6oF9rjijzQ4+
mcLJ9LCr2+ro8ESvaeIuJrzfTwMdGAsvU5DLX6+vWNuBmGptVA9lFmPNKsY0vgk41MAWoHSWha2y
ymuAyL9f07dXaRgKtMsY4LGYKnPylHrIKHx+8lx//lJg3Xo25iKP+OjtX+8Pz4tJ9vc9oiLkfdMx
d1nsX9/jGm818B7Vg704mO9r0aC8Lecns/W0Dii4xj4vDsQ9J8D2ikT6b5dG3rC2BIGIwat+fWlX
AbxgXzg/wHMXh9HXnJVH5fxsWl3sitGxj/qU+E9VbQ9P79/0elOv54kV82mTP0wjZhX1XFy5MpC3
C67MWl58hCnQ9eQMUVDVEtO6og37y7Xox+MxgyBvo6tcp8o/hm3SdsFc2fPyUIyG+GIofzivBKwR
MASs3it94b+MHi6GpJZeA0CkS8Qd7bupQGk8PxDRRSbAwN7XIOFzHFEV6yN4jqIDoPb+w/zrNfES
BEikPP6sf/+PG5TDpAWKA+cDk8dPUFqSNVHYgbZrit4GizSIdriyJ/7bM3XAfqFlt6AguRfP1KBc
ZEEV5jYBbT60ZnNXi8L6XM7zj/fv7e06xlfxx4XWIfzHvWG7XIXAy/zA9Lza9nNShntwPf1YeU8x
OUcHvJTOz/cv+uaBIg9hu49UEpPGKqt7fVGnKxe/zDz16PQZp+0glVRQ4iJwul3WIM0BFoRT88pb
/G0v+/ObAJ+Fmm6d+o1VA3WpZhBduxil57VPyICtNhwWCOdbFZTsHrI2r+6bDgT8MTFz89Cl9Dt2
/tIZ+rE2zTHYJ6klutNiPHtu2z8n6eLd210tdhjOl5tOmptucDalN+HphaqTjptKubO+nzur0Di+
O7C9KRYHEGZISEofEjtWhyFOun7jpqJ2w6TNgbAgubHurSSlz0GqZ/95ykBgkNA+yy95kFrxf1Qu
kuV7nav2v2aa/RtlTjjdyb1MBfZo0y+uPLTLowHnMU4n2IfQbzGDohh7/arsdvLiGYX2U8/5AMdO
kuPgModZxXujx8mFlsCha5JTrPhBB49ad+lID7yOQ22qn2tyIf9t7DCtUW9xV1K6jWj8Tepn26bC
8+PhyahlYKOoaAicjWuNtBSOLUVUiV5e+Rjf7LrWa6L/WY9JCIDQo7x+CAnV9k42zfQka2OUYcbp
etzkcDFqakSLtLeeUUz/BaQx+5vOF/ptEkip4GRMNgm/xtL0CJQISa2uPIvLWWL9XQ5idj4ipnrU
hq9/l2qxVFixbJ+8Yapuk2WMD6iJkmVd0Kgj/PODx5gasIqSIIej72IxozDgkupJCcZ2UutHHI/+
TzuxZBLRF5HwAzxfVldG3+XkxP2h3Vv1PxwEoRiYr+9PWAOqBK8bn7SK/m8f1N1nNHj6TohS/uyZ
EZtzCUxGXjEJrnPeq4kCVd16Cubq7u8UoNeXrSAX0mSztUcLuKnYm4Pr3VmjL74aXg41rWLSZ7qq
veacL3lz7aX+Pm2/vjwDG6kkZTu01t6lkLCPIRxQMvceQSrR83CUX6qvS57MTuT0rjc8CYvYL7+S
DkOuiZ98w9KcwzyngI9Meyi+V4mVBXtpM8vu6eGKB3/OQbUUpjDEdrEnwmGHWdp1RIfFzMm/6GuX
k/3o9wc77pQmOTvgV1N7kqczlNZkuULFMQpDjpFqKWrAOtCDJ39eBehLXPd4eRIj32r2lBb7omEk
oOwfu3Erk9gk2b7MtOFWqTSQd7QSgheOcX77IvN5th9mkjjajw60A6479TOu4FAH9d7furEe+P/9
4yBm/CLOchG+ouhjA/H61Wb66HX+kgSP4CeAUXgwZx4JwavOrZm17pb0i+Ya2vXNICaPF70xw4lj
K6eKi6UclUADsYIKqKqzDolDntp3w1yXNDqT/zk7s+WmmW4NX5GqNA+n8mwnBEhiAycq4OPXPM+6
+v00R1h2WZVdxQkJRavn1Wu9g+kLOR/KIV8VX8m97ePO3m2ZvUpSg9yWOif+ogQykaTusnduvZ6d
QipSbtT2xcoUGcHnEQ+DxFuGLoqD4N/1a0D0AJyOPgkYb2T0ZweFhfOYZnP7iToIKsRVrRgXlC8s
51hiN2FtycX1HZakEz6MkSSf8B6R8lWL9klwxCXKDI+OnZMwlbuw+ZlSkl4KrubjQpbrLwebw0XT
+NrZneYFkZxrONO9t7FZ6S4omuInapBVvvFGffg5GKP3WkL+l9aP52N+XP9tF6a9oDPwep9zUoKq
A7EyZP5ZMrwCEE6OSEPV2V/CLsg3j5ua40dxE6OPAonOpQXrfG7QPPYK4AJFkt6roahPTd0UPzsP
Kz0pVJVVoZShtknt1DFWNdby0YG3gXloDKt2FuL1+VkqvkOQnjUVHhB39mz1xzple9ySvfexG2xt
P2GW+C2p04wCao/UjS4QQKvMbyf1KQ25Kj94aXFXqfT/r1EQbNW/opH/hLeTYseFBevzPHiyHEGi
QOmny73+ElGvhpVL+W1h5G87LFrk4OY6JlMzzyH6KmePhNrVGcWn9qjHRrHu077/lCYQ3t1K43aW
fXPMoUKa9e7xrIuFe7Xz6C2wS0WF6ggNeZ5VDsHN9A2mq+fST+SdXPfyU560HiiAJjIAZ/Xdpok0
4wULxGpDQjxbmOzbBf6XHKQTYvMYBHl/fbrGwejZgD7js9+N/UlScmtngFbfxK0uLV2T98aZtS0e
R0SBSDxct1Vb1Eg8JUzOw1Rk2y4w0u+1pfeuBKVsB9tu+k6+FYv6JomX3qC354dQszfhRwq5Dgg6
1023ZS9Re3bisz2ZQPwrJ3qVg7bclEBijlPtlBdPogjzeG7nbyZWMjlbIDUWjjqCK3nd6DCk1Gpq
MuLIZkGhBbaEAnCoILCwCsMoHlxwVcoSp+FOT8XDnso4Ig5EmbMsp6QgLFWFeXoG6Gcem3Zq3lhZ
E9Es5gk8eTTzWzNJ/seXEQo6DgNLtgbD29n5HDWON7XalJ2BVxyp7vnaqie7slF7D4mrx8N6Z8uQ
nkGrmtSaUCuYL9mJzYpcbnrOPa/7kXqDs1F0BGywSy4OiHerp4K81HcMspRnWNtLs3q/eZBGfyna
5JGvZ5XB99HIMZnVdkiH09BWdubCHyGLm7a59bUcIckHikeJMODBui6x3DAXzsh7k0xaAzVrGY4d
ePvrb2jCgWy1F2dnDwLhmX9Rr2MLvdRmkJEzdaLRdwcprz+YGxPrGaUiglwTv3eW2HWrRRo6VV+E
2XkaTX9vOoNsbtC4rnd5UZv+asibciVnDjSdkgfW40m/t5d4OgkiPhAcIsFZ24YUxWzW7GyNgLRW
PRhb4CX18MdDbyrZ5BNivAtr+uYhTR6SYo/F1iUJIWgk120GHbhyK9SiSyGpY0tquYIeGvZNsGkM
VHCAKiagB31F+jR0RAo7AmjjaFVQyYAWyVGy8Ma5DRDE90CJ5tmIEgoU5OvvUY0A990mCC+j52vg
G/O+83bIApMZcfQCGGbAO2jYOHERWht5aKJiXWGj265CsmH2woTcbANOUcTURaCiinrKbHBGOfTs
TtV84sSo+T0CY3gKemxed200IJDS1DK2KBnYJ2PVmmoUHTILQMjjRXH3G8gGyzx68PKYT5A2Yo1O
pT68VLUxrXvWzl4qwuRnHHc/e3my3kMtRfY084Jp5ZdxsHC+3+xChoCKFtc2e4Ky5+w+y/uizw3k
DS+Z7Fsb9ksZURD2qnXXNM53hTr9E7pp4UJIepPagMlFLUnEDOjCUoucHUA5nqNTHVXSGeG9eJ1j
RS+vwoJnXKI64XuqDxbaxuUoUDDNkw7OYN+MMXahvty/9CzMhVzyvUmgJi5S9XwRN871qhx4kECf
sfyLNqAP4gYZTIphzCcZeZFIdrV0tJ58L672+Wjna/bttLAKbsIKxkPUJkSZiPfh/PGtGIJ7a07o
AJuh/wZ0xzkLSa6nxNKTd1PSTSR8wjL5PUxxf368AG9OJZrGjdZkW/IEosp53Xcgu3g/G6wAZajz
PRJINTNRkkwqw/FodIW9e9zenRXHc5SaFTlRm2q3+J5/YmNtCpUOWEd4IcLqX1s5aXiKqfLKDA15
PRme/jnwWQ2PG73TSda2Du6Q1yG5DTH+/zQa2zEy1r0aXRyUfl+ge3OslIqJnnmNR7W0RMm610dc
j9ABYGy5ZsTv/2lu5GlgQiWLqVD7NoKi0rRSyTpABg0Q1zR9YMCamjgLh6vB/3oVh0OP5C4X5XV8
0G5udanooaIPdnzJNCzd5CxAT62dZAgzMfmWxwN6r4eOJQJRYAsKEeJ1D/W25kiFKnDuLDzVB5LV
r4Uyov89RRZAOyPmUSsHXx43emeXqCpiGtQGkCCgCH7d6BSYkiZ3qXSWWskpXN+J4ovWZ9baT4xu
TbSudasMwOfJikxrYYfeuUmJRcnCmiBESE7PC3qoOshqZJje2c/x6HNVeDYVZKdKDdB2VjxgpyaG
iQl668jjelmzKvANJQ0L6dqNm6TfPR6Lm8kmRU5NnvctkyAi9OuxCAgcxwKw/xkFcPlgjgZQz7Du
ZHudNAAPFqb7Zv+I1lhXPEDEup6bR1Sq6sd1KwdnWwqdjdel8q704mObIRGDAvfovD7u3VJ7s5vZ
U8uhGeBKnls/Dv9MllcHrlV2fYqIr/krTPxG/X/0EKE0XpKAYohMZmtLTqMCsR49OIdl8dOXWghJ
jRW/1WDU6GAWfvt4B0VtzwAERnp/XmmjKBxFpBujs9zU4VcgoOkxtfxqK3lUzVcEhHZ0eNzi7YLh
+aiQGBM+otjMzs750PR70nBFdDblFp8Jp1MAIsqkProilZdG8+Z4gCLOw5HhhMCryPMcoI2Wo0LO
NTrbEWedBL7fO2ad1RTroUrHaW1bnnZQAhDW28e9vF04NCyK7+QkOCrmiijKqMZGbRrhORiAkq3G
wkmktaSHsbIBiF+/wy2D1Pe4zZtjSXSWciLO6mwQMLrXWxHeArKhXhufm6bJ370QRgx4Ycf5ZEmD
/eZNyfifp1UpLgVJEC/5Tt1G1GS5qNiSaIV0ROwwm9e8CUNdirX4THDj/UgrG/3sNND8nZR6xi9E
AEMUNcpBhcMd8Havx3rYwBwoP3we8RkmSt0isAcvMQskPYwoU+hY0ZnC1NRtqsiI/Y0c9yNFOsl6
ezziN/Ga6DPxqoggERebLy8Y1mPtFFIMxUVGcNjJhvpXNZK3tbkvt6FDysAFp1f8yDIfoDtUjfj8
+AvurDPezn8DdiFiOk8wpmEw2fFEzgn5gVb9UkxFsIt9SkMr7BD8rTwlifLRIFWkM7mCKIyzr27K
bgpFjUHSjPg8lW1Vr0vfIX9t2kX+KsFK28OjdX7DsGnaXdRqfsNt4AULOKY725piNrlEoEJIx87D
1AQrCcnAD+EMNtOW3EKxkueukrrfMmllZ0MxorcvEEvzhV0tcvdXkQ1dtzmTuXtBD1JFud5hcDwJ
4CovOad6FNWbKOvUcQ9oMl2Y1Tv9o+TKy4R0BKIL83VltsDq09TPzk5Ya9+Mxob+BzF9VUMYemM4
/JcB2vHCzXP7GAJZxzrm+YeHDqmn2WVXKgOuPV6UnnHlHfyfsacXyQ690JYElKT5r4SSlb6Wudbb
X3KrI7qgIOpWQcft2gOy6s20kco+WnoU3bkwUMmBKkE9lLfRPNpCE1zxkQJLz4pWBsGmgFLkUhax
uxOa39WwEKHfaQ0VYASsGX6YEfOia64DdWgLZhQaW1t+AW2OlCU5Tyv+z4DGFy6c2fea4/FPJAME
HArk7MymJlblcgWiDl5bB4Vc4421It9V/0/CnOz748PizvJl/Fi74HhQephbUil1i2UMxhOwLwxt
2gUe9kFHL8ri98ft3O2UJtzTkIIgSpstJPQa8oijIT+PRVx8Vxy4TWjRUyXPlW7hBL5z56GgQP4G
c2fUzuaLA1lRhHvQnDib9tTiGqWU3QlemLJPJhydstpU3pC1jrbJpLULWnJ3jl7uGTRzebhS35nX
szKQ6VqgjdlZLlMcDHSzYv3HnrWrYbG+tk205Jh951TgtBOrhOiX4vws1B5GwKFaYuVnS/bVr9hX
JuuaVxjiY0n8HHhF6W+oRwHlfDyb9/qJcB9YE573nEhitv95RCpN2YSjVhZnZBTKFbYI4abQ4nyt
jTXIfCSldx9sj/kEgK5SXgCczV+u20tGKEvlmChnndLwCUeAGnCLTuUdci9s1Bp66FK98GbB0orY
66SgSNpQN7xuUtJt0uzYTpx95FO3QTLWL3HQYD+QDjVg6sf9u42UKAhStAEViSA9uoCzWyTRmhyY
t6KeI2WsX62s7D/bPeS1bZoCQUInsDDKfacoUGQTKcEFq7QOoAWWtLBulpOoS3IUkAEjfiB0u+60
RtkRjQRFO+NoJu/hnA4XvI5gGthdhuugscOhLFrycbxBIBMrkeWBa0E5VCiEzTqfJX0++rGunjGP
Si5R0KESiDDs53asVehUw1D+kgcNGzq5mS5ZUUXrwbfwJ8MXEWvtEoGCsQqGP4+n5GaJ81EkZSjR
4khIpmT2UXkc17LcGtpZypLwV1eHiYeVRe+okI49P91XYQX443Gbt2uONhG6Q0QKdBlyRtfD3/BY
j/LB1M5FZls/Izz5PpVILEAaC9TN46Zuzn3RPcEbAK4v1JTEp/yzg2EnTuIC1c/d0OvNCo2VLFlX
vbQkOXZvRYncLUciwaE+z6b6divr5egbuKElxRNlff2H32ERUvtK/Z+B10fitpq2dAXcmzz0RcFC
AWjAPHg2kKY0DnnMF52bVo5NtzU6CIdhjRgL9XXr29A66Pk8HtB7cyfk44jOOPtvYLhVU1LG8Cvt
DA1Bf5J8Sy93ST8gipF39pL45O3sUTGhY0QJHE60dj17OWa6UhpH2rkKNVX6ZCGPoW2aqpbN3497
dXOX8moCnMEMUqpByXO2C6CjApiZDFyKNRlVYr0R73En9uSvAWfZNrORNV/3GiwPdGutZGGR3i4e
WudcRKlfREJz42CyhkUWtKZxLkIFUXipQOOrL8s9wkHV2od3KbmOOZbbx32+XTzXrarXg5vEZZgk
qkSr8ti9Bsi8HHJIUPAyVON/EeTohcvt3hgTxXLcEqY7CPNdt1chbdBjWWieEWpPNomtBhtSiaFb
mn79jBpJuYo8VJrxfWn/Hz2lryQHkGnlshPL7J9DIOp8THTayTwjWoXtZqLL4SrIprra5A6KbsHo
Y4Hz8cEVlS1ydYS3Nyn2brDwVqwS81wmsb6HeuZt9Bb/yjWQQhN8bGyWvx63eG8RUWSUiQip7rFv
rjspjUAUY3y5zk1h2peuGtR0O4R47qwiX4UxraQ5Rd2mRl54iQd0v2maBTWpsP7F7/8Z34EelQbS
VmfQ+AEOSV6FYWFF9bCqlPqALRMjD0Z/yWZWnG5XT1IIDqRbRLIJYWN8t6+bjcfRziLcFC/oeMh7
A32fAZhb/sempNa4SQL9F6iwtUahxEeGzfzoegZESB5acPhsGJ3zXrddI8M2lopLG/oqKkx1c1FC
pd3wM29VIOX9rlSjdrLSKlho+Wa8Bf/BApNLaYMBn0MXtHwwatT3ykvkRxmyDIq+Kfsu32l9GCK8
UvjHME2qhUv7zmiDbAIbhP4iUNt5uaEsChvSXV1dggrOTpX75RM6gNUOzSd7g4WTssHHvtjgBVp+
1ftGWtjDt6Ej1XNRHRT+ybqY9uvZLjLfcDLkzS4mshstMg+S88cElTu9yNo46TuLYAmvVNOQakKX
MMv2Ekbn5iHGYnThvL65A/kUZhwek4AQGHNp02KIdSYgri8wpnA79ScNh8kx/BkpvbGQcVJvrkDR
FsUFYGXk9YAtXnfbryL0yWq9uiRRUDgrn7D2deytVtngdFc/VWMr+RuCWQ+BpSjIcGwSYnMlzj6k
n4IQaqQ+SFGNvWBC6p6zD2oJdkk+drWRZH3WAkPytnHd9cesqStqgKgCZ89osrZoaMHWt1ZBHk+v
SQ1N9IMHFj0j48JlC8RI+GJf92xKEJ1oMAS4qEilrqdcmK6ZTrUOMWw7NG3xibCuWKC/3tx5tGlD
3ERqhj3E0XHdJohIcJiW31xwGLVWTits1AdKSdOEBJ5sFx9PDYsGBVBfUBaAlM/OKKBFTuUZXXNB
n0W/FDW1R85+aetbsnQkXwjWpWvLaKNEU5auAltrURTBIvnDQ02PqYKKWoBDofm62x2yHfkgF+0F
WFPwwpd+b5PQ33X6kG7ktlL3XqMuYblurntEyg0wHRzPyFkbc5jP4EdQxwa9vSQl6tyrnC0NhMRA
VKYdZf3YW6m901Tc/FxSTt8e9/cvy+36ahDJHp5a/MGyzJjPs1rU0My75EJyOnjvYznd20PVWqsy
8zPYwmU9brEORgerSYP+aVCc6kfQIFglVeh9HdpaaaHNdVL+X4+6+0uER9W2Rbplj2yx72rF5yDf
ypLq7CNofbuwBem9EEDcHrf0gPcK2HFOeM686ymLR7mrcFFJLkY8Rt8bqFlPDfJtqqsjjbGREiVZ
Ky11BSjBgVtOmnp4PIR3dgrEF0oqZCTAkc9JH07j1bkv5+mlsLXgc4mS2qdAwjYVg0J0i/zCWkgp
qXfWi4oug8WEIS2szqesTeIEk3olu1BDr55q1Yr3WGB0qFtOU4dDnJ6/OI4fvJWqlbau142ytMqQ
avoSw1r9lCC29DpO1dCiDafDNp6s8kymfloDvXfWiWE2a/CK0hdKmHHr5nXSxqvBmLx9panpqwZB
bGWNExqkqcb1Fqal/hTHAQ+px8Oqiih3tjJF9Y/XL2RkSmSzrThIDlKthZpeHGDIeNRgK4ttgFnl
mdsYdf8DqJSD1n6MiA5lOs3fYJwdFwfB29e2WLXYzSrtivBXPRXSN2cK9GoLL0033KEg5SFwMmPo
JmyzI2gdtKIsNTCfCzXJpNXjnsxdTkCHYrPA5QfEArgMhc3rFVpS4qlybMCJesKq2uhqhDBjgcDJ
SiVnvB8tJx/XcMeNT5QyIgwKqFUckKz13nxswL/Uvd7/1GRqZ2tcqROETtPJ3KqylKxQbvnf44+d
7SYhqqwDTsaIC0obiJfZCwAEONjSUveOYCbKLXV7ZU2yIEf1VIOhVZfWukNla4caCQKwXRNuHjc/
20x/myfVAQsZ+xGIz7OhirykBvPvoNKpxdkuz7C/iZWUhIdtB4TqwQc1CkiSUtNm3yIZRF6PEPF6
aorJs6pMmpLjiLSQCYSrV82vGC7bshBLturfKerIkA6TaJH5PItN/zYtqFtcs5QheW/Nmx5jL2/8
BCX/VP6ElEUarjQQGO8SYmPRKtO7//lyMC4M8Bwa8rdZXj287QAqKgDDr5tNPduk7jpSwpflUXO1
Ps539phFX4O8z9B9gsi4MyuLxWY0qv0pTjtocgUVh99mhcL24+m++zVsDJAhgItNeZ6uNlTMpARE
/NjUUoD9yZB6m65NtDddQvzbxW9QFbpaznSmPBtxpvdFHa1wlJ6iFzLdzcLZOjta/w4O9XESRORd
CUVmy88s+raTUzk9Nmn/JzTrbjNlFcpbuaeRNKLC5FoqepxyoCKR9XgoxHH2z3EnmoaPLqiTJOBE
EHs9LwmefnKFUN1RCsjsmoGSjy6nwy+d2+X9cVN/04bztqgRIJBBahlk96ybSFFlbdfGOV4DQXrQ
tATWfZbU4RcIcnn+Vg9V/n3sDcl+bTuzedckLUeKCjecncOpBYOgaBT/m9SQDz7p5CfUNYjA3HDB
K5d/erOz3lstiJWtjOjF+Pr44++NE8EweXjiJe5ccYD984ROyqnpwrgujv2ojG916Z+jsWqfNc/0
Fs7tuy0RAhNS2Dzl5iEwqselLWV+cfQlWd1Opm8hisubbpMWfh9vH3frzsrjCKJXHATwgeagJQe+
5uBpSnHEiB58MQJ3/XDA7cP/1EuVgpJ2p6WvqBPoqJZMqd0vLPw7fcWUgTw/+W3bvM3zy9FEXi0u
jk2ZRi9tkJqf66nuvytyr+0/2lMaUoh3udHARczxhlJedXo9Zt2RyB4N5AZ3USmTjAPhRfIsSWbw
TFb/vVX9pczz7IEIhBPUKJvMgRBDrXjOaSuzTrY8hEORF7bDp7S1sHoTL/iFobw510n3Quwjjcbx
KsQlrhdoY4dmqMpVe5ysRNkMjaSiAV9NO1kapVVTVfV+8MvL4zG9ubUFCZiCmA07DjO3ecHE5I1t
FaZRHCsVnPjKbpJyk6PO+iYPuD0ibZZbn/OiMlCS9nykw+Iqaf57/Al3ug0aDWIXr0Zhiza7V2qk
NgMVys+BSoyFTHZfYGuvTtMpsntMXHIyU27SZt3CarqdVJO8kgU5RSHMuuEpyFkcGT16YMcch/vA
VTop/qI1CM0/7t3tRcXaIYAj7Uz+WfCMrmdVCguQUph7HwMH45r3HqYCUl9gWfJzNTnK4I5hFKLU
7YSKdIhtNWu2PQpmvmtjK503+6LF0ffr44+6nXVhMyXA6aCTHcQHrr+pAsrYofjXHZOWhB6pyxJ7
cT0eDpwymeZ6zhD/8SKv3+BmUxy0BgOSxx9wO/h8gEC6CCYlftHzQWnR5W2NpD8qsq/9p42S1rpS
ok8f3lFkhsHliUySwH6LoPHfI9/sq7EurO7YIYD5PdGSM7kdewPusniCTNfvhcDrYmQiFuzVJUkB
Fpw5MQlQFzISs86FRYMkrKniRkdB+GRzzzUrJkNuXaUUupTALvu3gjy5vTJrf2xOWMyX2wxDsnGN
NgeZzoHlGn4yQikAT8j7hZdHMhgrzegjQr24rq11qsC6XKGLij4jxG4PjwJcvXXCsBqPUMuq4M3F
EdipIW2UU6PImYcN52B3qRtMXvICOTYoXmMbBB/lgRHsttU17ZvvmBn/FUpkxSvCwhWaqmQ89Tfd
zKX2hQ1l77NwjJUfCu4Pzp+pU2oeeZIGjagNu958Erwzxa0GszLdTiE1z+sygBuLImfDIpPy5oI0
R3H2itYpjqWRaz8hrtRwNtOsHFWX80HJ1kgHmMaqKLErpMzbJrtiKJrsQgwq/clQsnb2wm8TyUyG
JXchRiKx2KXD/4J8cJ70DBs1l7XX2OisW5Oz6wAU2SvfULonZwjVysWlpHrXozF+izuS+q4eew62
BF0NwtpDqnLY5dj7vkmQuhgvLBZ0d0I0H7MY/KaCy6QOngoATY+GP3EUBiUZaVIh6FtiDHDQ8Zr6
mdRGj85/ZWnSM/Le3WuEamz5nbJv99kLg8xb86IsVLezJn96KSAHlK6mVlb/WYUhIrlkfMJXD3m6
eOWbXhJv9LIo7YNSNnhcllGKE14d9gGGLUaYVv9jkJAfLilyZas2skn0YcBg//CSpM0Xopv5q5Tr
kFNDgNOJNyARGrO8yYRMr0msWR1trZfPgY2tvRt6KKW6UQqgTEXGflxJUao3zwBKBtVbIbgjFljR
yi+J4fjYl3hNO2BSSlJ2mzb0/hAFE6I8rsmTBlFpRyumpYNYxMGzbSm+Fv4wFTJglbPrNbZDn4xG
WB8t9MXWJha0nZuqUY6QftsCaLWGr0j15bhlVemnGutMKEqqcmziyv4BHHBaQsSJY+Dme2yuei4g
+DDO7N7r0MZJG9WsUKfHDT7ydKQoR6lHxspXxoXLbp7aF3MGD42LTtjQAUOYPRIgFKPgb2X1ke3N
RHH/DD2qj4ApKbh3n1MF6fnK5tFsJXn6NRjKYOslYKMW1s6dPqMQATaDg583y/zp6vBwbDuvxlqw
Hs0dLhDdc1rV4SbRcmWhqZuEALUMWrIooxCHw6S4PvtVgNGEHL1+TCu1/JLEWYo7uj9yMiR5UCqr
rgiKb49vtZtIBmYK7woGGaw7+YH5dVNkVtOXannUlcD4kkdpfgAdLj2reTr9kSQf+XwwukvrWry5
rtaRqQufPwGaFZD3OUgt6jI1c5pRP+HKQ6oXIXjzBwyjDj1cE8IfvvC1vzVCo65WBLfjrz5CbmY9
To0UCn8TeeHOvRl3E50yCwg+KEAeBXOe/JQ0NVGVZZxqijaHiQfLtkl0aa2orbRSh24JhC+27az7
JP9JhJNzItc3z/ZNnQlmoQr0U9UZxob7oP8dJWqlbCecHXMqDnX0xQ8QoXrO0hg9pw9OOVBHRp1N
IqJJ6EjXq0wf62BQcNY5eQabuEVXDe2Bqj9VhoEAOzK76WfdySV5+7jZO4NsC0lIZHR49MO0vW7W
KAfN7lpbPeGO4axSxQ6rc0Kg+DsJ/Ew+Rybyho9bvAkZhdoFOD1oDqJCOUd3jgGmupLjKScrHNWz
XRjZVpkUdYfoiPYbK0sHEx+sfxB31tWdTqqvWEBl35lnqFjUoCFycn7PqUB+XwOjUjXlVMFE+JYO
rfYqIYa6xqFP2sfpIB8S0y+fC1mQmx/3/ebUAk/G/CJFCmuGnNtsX6ttk/JDRznFYzPWLjap05ta
OYiB+6i6LpQjb49qWgPdhAAC7YE7nYWP1Cf7HKq6cmKzCnleCY0HqOmqGxDjrjPOtT28sOxPiTb+
Kxaban8Y1CH68HBff8Wsz3oHsB5FD+VUVp5/MXKTI7OwJg2fGm+YviNNrK+K1PcrCGqZny/cV/dG
HPUHQPAo2QEmno3BmCK/nw2M+NB6VJSQ+Md2RgVISFnDChem93ZloZQJchC0v3gEz0HZfmqmslma
6imQ+1g7tbKNi0me+gcsD80Qkwm9+e1J8RQ+J17eZgvzfbuVydkZKogdJpsSrdh4/7xRtCgYc7xI
zZM0eThD+cilj+uxDccXq7DCNYUMY0Ed4G6LAsYC0UBwLWaHh230rZOTOz1pWVpsEkzQa1eWM+VL
4VTmppNU9eOzyfueFBM3spAiF/fmP13UWzQWkJu1TqUCHVSbei3dpICZZUyTmnKhsTuzCb8cagMh
HkmbueK5KckGjveWeoohOb4MWmy+okQ/HdVuKt1YznrUCY04XOeFZy08/W5WrSg2AfMlrsGn8CaB
03eI3VfphHRZ7uv1Vo4Hmcg4nooc2iaChgvr9mYeyXyzYjkQ0NoFuDFLxsr4UBHayCU9jQthpRQe
0AmKTyHI8UOCGNJHRxaYI8cgRV8I5BT3Z+2ZVYT8HVZkJ8OIpG1RsjMLJ2xWAbXNjZLHyiWWgvBd
STrtywcPYFomktAgTgjfZn22gJxOMjpDHatTEzXqF9mctJcY1OIqwuqicB+3dRPE0RZgI4OTF+AR
L/TrxRqknOxOqFenVsc7yfCb+Fhxm+Oq0wFiUHgLumpULmVx78wlsHvWDwljYEfarFU/hJGT+YN6
qtPG8Fd1H0pvVWk4rx0WCxt0ntqFxXN7zQCuQf6F2glHAZT42RE7BaFtSuB3TpKnJ1/xhfCq36Yc
WQpL1sxI87lmqEdnzxDiPykwpAN6QV7gkJcK80UBxNuto/EEQq2EVwql+PnX4DvF1grs8VSpubWV
U+GG6o+/CduWztvbhBz8Zgo05JI5dwU2/XqC8yZtg8pSppNPDiE9qJPJ47yTvXKn9hmZXYTQ7X49
aChFlCjYVG/yRDiDkUyujyNIpKiI3h8vuZsjiy9CLATSqpDChOJ4/UWFngDLxrbrVAyNj+SQqdTJ
ygt5Ip1wCUNRENluO1z5QRY2u4yXt/32+ANu1zwHJacWZUxQNDcQ7jG1R5/i2XDScekAOw9EZkUV
IzH3Uxmq+jbEabr/AVNMW0wmzF7lXHrw5Si481L7W83TrvvOgdUYvBf8lxaF2umUWEyBdYrbGty+
K+HYiFpM2ud+/HNos7jd+P6URyj6JbHzqkY68rFUAkrEu0XXLGXhRJ8vFqZEyFUItUpwGshkzm7n
QYkqG1HZ/sVvRkevn4ZM4uEI7Kuprb2dS4guyloa6KTmB99UNpNHgjdxp9Iq84PUBA0wOs6MaWn7
zpYMo8WSIUDixCBouAFmelPmIAHmYNRJIm90e1LY9T4A3lGtKxNBwm40xmdDwdd1W3Sjmn7w0Sna
J7n59xVPOH6jxFZTXVUYF/WptLVil9qtY3IZADv+3WWWv1OLbki2zpjEceomSp8VB5S85BE9Z29Y
oYPjJQvnmdgj/zwD/34QrxPUArgOVbb19TrKkljyAinSnhIM6fYNvJfRDfAaW7oexIRftwNTiUoJ
/gCcIjeXbtI4o1knYHOsRMLdEFe8IXZRgrCsVZLhY73p0iw3V1k4NakL2gVcVjnUwCYf79jZeUl3
+QxRuyDjcMcQvaWwXWq5ZD/FBpZXbirx0W5Voo0ATxii5UJzt8uN5qhdgMakxAhr9Hp0ncSAmDqY
9lOrq8PWjkclP+iSh3FsHsSrMgmHtSUp5lqu0WJamNl7bcPCpb5JMgdxNnF1/hM9hm2ZFkOX2E8S
L33UiUhdUYfyevUAAtqX9hHvPscNwjF7heSJpNPjkZ6djWKkwRkgwE4ZgaBuXjaGGhZ1Iw/SJ6lG
gU6HcrLmxDK2k4SJQTWO0r4OwqVw4E6f4dSgiC5kJokJZuGAwoFvxHLjPPEcj8p1okU4clJIGtem
HkYnv+4xRAIO/kWrekVd2Nz3esxrF7cakJVkJmeN+zgvAcWmx2zTYmN1TrIfI097NmXlUmdBtyGD
bm8fj/IcWQBd4a8lO+GIKJwz29ezjDOQP0zTOD7Lsa9F6zHSa/sX0ELlLTd0dLp9o3OEJl/XmW+Z
HI/+t6EqqFBShwk/p3ZivOLZmiRfQbLpwyox/NGw3HGwMv/SmK1XFe4kT0q7cuRi3OGfMi0RGec7
UlSmORGEFs5ftp84oP5ZplVnS7ndKNoT5nr5ZnQiJVppTuU8t3I4Sgv7cT5FJGIotfC8gQ/FYM2L
irKaTmpGSuzk4wC5UeoIi3Yl749m1E1YKkfK17YzltIgN0cfHSNiAvqh46gDzOW6h0MwJYUugXVr
rUjxXbVQauuN2q3SyisrQifnrUlBm1GU8gaKXUkfoHK3qgUpawFjPN8edFqwmkVdFVMUNuj1l+TO
gDsief7nsbEcnLsdaZrWRa70nbmVpLHfFaXV1/sxw+fsB+LDDqZ2j9fr38L4v/eA4KGhh03UxktB
8EGuPwG9kwxr6FJ+cpAa9ddMcuGjwAr42Y3a0pLWnj/Fp2iUZf9A3lZ5r3rYf1R7tRoKW5/jEKet
UOXvo0+VxxFQUv/KrWmFGpvjecj2h0O7z7xSzV4wdzOHFQ2a9VvhB4G5SRQNH17yR4H2JfX6ydgN
Qzd8MwqlHQ6W18ryKqqrttv5Rpp3G18PtGDVqLL/UhPiB1uQ1A0/SBykMmxtAnmO9FqnyiUFutRe
d1WbNS7vBwnHoRTxRD6nHihZ4n5buBQU43gtAc/HvLMDgFxv9L5PlC+AqodD5Tv+8KJotYoKKgxm
fd3j52h9j/ppepMDkGuuEqQQdh7Px82GgKLHOf33CUU21ppdEjiGWgHKrcETWtmysjXUrnzxS036
VGOluDbStMz3BJNLWdHZs43dx1kllqAOqwxiv1io/2x6bfL7tDYK58nWymmVS3F9qDMBs8/GwfwS
Y5r4wQoKLRLwkbkQB7BQQ5kt/cxBaAShK+epzQx77SE3/aVtjH5NxIlB8eNBvYl+aQxJb1xz6Bx6
kvNjJh4oj9VVETyDe5uUfWyEoNkAccuaO1HaHMnJybm9LqOxEQ6ZFk7bVjPK8To0guAkdnGysPNv
B5wvAun0f5yd547cxtaur4gAc/jLThPUM8ps6Q8h2zJzzrz676nZOAdqNtHEGDaMvS0D1VWsWlVr
rTfQRhZrsGQENb5N+xsu2Tm3a+OvCXv7b6ToI/0k4fKltNZWe+EmrIslIOxB3aZpCBP0+gvz2hsj
eIXBuTC09lll2CMtzejJHEZj4969GQrFNrhl0BOF9i7ZyvVQXdj75Fmm+qEG0/jSqdH4IlV1hIsq
DJj7X3YZyhEzoxRH34A0mGbc8rXcT3XQAWgyn1MnqqRD21TOoW99w3Qnk+PtSmXrPKLEi6iyHo4/
nHyyPt7/BWLdruInTyohMEzFlaNjLvkS41B3ZVWn3VkOLbPYp+jupx+CasqmX/cHehN3XI6EgJuD
DJ+oCRqLL1gFEAETrOpJh0C775pZsz6MA4Yf+zLztY9TgZaNW01KGZLEoQayCwY1k47cu9TAXdja
pvRV6UCAn/FWUsgt0m7Ay1EvMAm3Y4MePYaypvO9JV/HYgtAy3c/cLTe2niI3mx9VgxBVwTeKPqB
dF7MQ6nrjtIsRE6qI+1T11jKK7JHypOPHuq/XS1tYXRWxuNyE2QWIg1N1MV2VPpGqRUMVM5dPxe7
VPezX9xU6uQmWvYxKwtzI4TfbH8q0dAgBCQJGjkP3+vt30ix0fMcbc/2jCZmE5k+d42ZzL9IRbuv
9zfFzXUhxuK6ANHH2aZzej0WOBgnRn2sPctVrZ6VeJSOjh37z0pQqcemM8Z/1XCcNj7gzaC0o6El
APUhbDPmIokarMAecGFGdNKaZ5hRyAea6pCclK4EXwfEx9r1SZH8vD/Vm4MmRuXVhlgKpSWa09dT
9adCxfO7lc+lMoMolIxo+gHKMHy8P8zN1wM5xZuI3SI8jQjQ18OU9Mh0rDKUs1XbuNiquZ498341
P6mDpRzuj3WzMxlLbEhOM7Oihnc9Fky8UY4wJz6PkZ4/cQbUI/Yw85MRIdyERVBefr8/4NrkRM0Q
5xBQZCRm1wOWckQdLO7xxkaRS3bZvQjNzwCtHlFjGbb2yRs++CpikdJzE3DFs0AgIhcnHc4tpMDJ
SF5mP9DtfVxTHt6PTtzR7lWg/85VpTmIRxv196I0kwsAIESOA/QrDLdw8A1BRNjBryQY288aSKVy
l5lQrGTY6INLnc2SfuJLYDVQY3CE+rsZM7biVFtp/5OHm5/lx7Qr8Wju0y77PiSD/bkeNd6IcjaB
/8eOOyo9QLESJhP31/lNeup65qpgvEB+5XTCKlvEAB/xDfAMgXI2E1NuHHKI2p6xrCJdmw6BFtrR
s4Ez0Su1tgB/zCDQP8ZaiQ19rPP2p0PaZN0TvOxSfUyi0abUFBvW6GZZ0sBKRyrMwRtDVZPvxYB8
XH6o6aIPH7IU6YpmN6E8XEOujtSi+1w0LN8PXsJKtPebdpQ2ot0iGLxRe3i+8KLg0BDx1Ost1SMl
hmBpXXpmqkiXqcj6F1RUcYAHiHQI/SZ5KA0/21jfZdH/f6MSA6howgKj4Xk96qgmCAOGRuHRskkf
Rx7IDz3u1c9CNuCDrOXz94RCKLZksvE0Bmm2iyZMte9/5JWZi0sF+gqoIzKnRextx0wuZCiRXg2i
zkWlErnEwU5/aF05vmja1O65jvyNnqd4iP+xscTESZb5m7Id9e0lYELRU5LaSmu8vjDrw0APG0pU
MT2GofotnLr50cAv082zqd8I+iI0XA/MgNAj4UZBnmHe1yvu4IvdKU0xeCzu8Ng2WvBI9JIOYyn/
ykq72QjDt/MU1TnRRVFppDjLPgrYd6JSPvaeMwBvtUyYL9Vkj/vCCrV9oKXxpwbT40+D022V6ZbJ
AkvM24TBOb5UCChLXs8UIoCSjlE7eaXv9E8dLuLUBHWHJl2qfJN9OTmWaZLBxKl4ZsaSPe0bSFMP
o6Ru5S2LcP2/X8IjCWUIqjFU/a9/STjOVVYM7ej546T+bnlwPBhaHXtNVRkbn3f5unwbS4gUkHSi
OspT4nqspI8kMzWayXP60SEnj+YZ7mOPSOIumS07dNMSlCNNszxy3Mgo57+6XsFjou1pcDyGhRN+
45XlZLvOj6tXrUSGcR+VoyY9JdmQ/TQMJBbdWFVy3eWTtsFu6Hzj2/0TubZeiPjQoReFbUDx13Ow
7amiIGCMHmtKZ28qwZzg0jqVJ0Sy6o33yO2BsCje0DngCqfP98be/CNlDvuqmFtom55lRT7aL7Wf
HOZsxtKyt1qccyrVHrYIHOKQXR9C0hwuFJ4obyiExSE0gj4FE9opXoa54E7VpH5PqhhMrjzJ9nNY
h8opr5DQbBN1DqiLJONGtrMyaYAWVLDFCqNdt7jRU1TsTMRuVW8guTjEqll8yLJJdodSNv+NoqL/
fP+L3sZY2pvkCYjA8EFvGEiqX1dziJSIJ7W2fzCtJNs1DHowldo5SkEZ7O0Q9ff7g65O8g0dAPDP
pGFwvY1IFdBNBgLhlZBVT36upI9Zl7UvxtyWh5zttHH2brctAAjRsmTn4i1wc5G0jpTOEHi9gD7T
BdZR27ha0CmfprE3lPdlzJxzNqxokYptK/CNi8nNs1bnSaN5Vl4rIawMh1LYgPRA7RL3qZMXLWlk
oA9xdcDpwPqYRZL1bssYh2oEryMUFsEJcIqufwS9yhIRIc30wH0okasj6n6agGPujKCQJ7drMiQd
jE1Jh5tLhWFtOFUQk4Q+yDKFyCQUTw04Il4+wzMwyYvpgOKZuI9jyfAstLCerUadTjY2jA/v3FOO
GJXSOihHnsPLnIkTLUmhNhse4tTxT7zu4idn8q1PeqnmhyHCneg/jAd6B7k+KuzUC65X2J5Ge+IS
Nzw91nPCtkX7B7xHHL3YfRGeatxVN2Z4c1SZIY8SHuTUD0E2Lp5DqOtA/+CseqMkDd/ysoCfinXA
UVJqGj9h3n+rgaFtUctXRkX1QPAgMSmh+iLO8h9ROMnmIQUGLHlTZH1zwsDfFYrS7TOR4Avvod+Z
3DZbUOWbA0sIJm+ja40JBfFY/Pkfg1KmT3ExVCUPPkT2q2xN7kGtKr/1vWV9u/8db7esGIoaqSjZ
EQgXschOZJ2saZA834zk53IIy5M2hvql1jCUGnSd5KbtSeJQ/tvC9a8OTWsYpJsQ8VmS9ou+7JQx
CoOLhhTh9DmNGv2zY2RYy6aQcCr0ZSTjqDgZlJd8gPmzEahuorCogr/hRglW4ra5XuSpigWvtg4v
elwW/9r51D2No1V9gvQqGzy+7C2bk9UBwatCIhQl8KXgpD460uCUangZwyAL3V5FDQS2zg+0LXNX
klNj48Cs7CKhbMlIFJBhcyxeK2lba9kcaI43lVHQ8G7iMbGTOszg3EwnBG2s59pwuJUgJ/kGKlwW
KnsTF8dJs3xan1pyMCr6l66s+vKDWg9p9d4rFO9Eam3U9zidtyiGtLSx7PRnmpvIESsP3djrx7ZF
U3RnoIVi7M2mrB7vn5SV+TEkiRFPMYGDVa/3S5mYJQ/YKLiURgeHXgt76UudFuMIAqn65/5YK1sF
UUroCljYUYta0j9CGt6ahTzCpU6cck8TMXkFaZac2qmNj2Csf/+H4VhHyqY6CeeyVyJB9jcmwval
6uYYoci41Z/UuG6PgWLMEjw4ODD/ZUThLgs0gzrR4vCho9jVSpyGl1QtknZXB1nUPzVxbqn7es7j
BOuXBKud+4OufUHqtCLdYXW5La+/YB/q0pzQcvSkOJXkc4XZZr7D/mtqjzB/ja0reeXqILi9oY5Q
PLjBJgD5bMLMycILXrp0EemPSPmxdjrpNMdjVZ5RYDonGJRs8EpuZ6lyKriWOfv0opY3s5LVEdlz
Fl3sWsV6AIyrsSvqkZtambaO4epYxG5wvJT9bkrfaqEkWBBV0SXIQ/URkLJ2BI7enRGzKDZO/PpQ
8BlkBkOYYBHN6tbWJ62smRbi2sV+LGT1gMuC+cmR/eb9sYw1JFT/v8HE1fXHBSwPpS1Vsh1eyngY
Krew+ql1A9WMpQc7zrcK+rcbhdHoHgqrBB43Sz57LSmdI2lMrXR6fdp1gY0AUIaxNw7mdvEyIyby
nBMuvr73OLzBKIkyArBzw6tTqiAULdvoQsU2elDSzrmAaIQJFErFlmH6ytej4EGmBXOe6s7ycihN
CHxDqEaXjml9c0oN6IlvCRmGItXfm+5wJ1ALJngSWUQt//rjVeo0ZvUwh5cp0/QP+EpJ57Qd1N0w
NVuZ3Nq0QP9YpBnCdWcpko2iTYqSkBRe5nDMOGtNo+OV3Q1NsONisMKNAHZ7LQgFLvgX6M8iVbfc
KDH7slPNJL7U6C98NIfi2xCaElyPTvkaDV33+f4GuX2gXQ+3eONPZhEaaBmEl3yYQRCBKMy4fIbB
+Wk3ZvXqBHCIvjZDCZcr4Qcd7o++MdllRiNFmOw5TRBfzD7qqQeovevzevooDfWM2YGebWybtfEI
m9zwnHyKt+LP/zjzue9DguT+uzi1PTwnTix9CWyrx3xwMn7VlP63qm+rA0LbgZAnGiZLAmDRqkXO
9RFd+snxv8ijmp8LMyh3rT2nj4Ctu/cxldD4ggwOL42+EwokoMivJ+jonVb1QPIuOgVlzW3gocvn
bgqr4ZB3aj4/OF0lW89DNM7xjv7cloLy2nzR3hF6zYDJAYZej99LVhv49OkvdqkPNC9L3k+TVXlZ
Lhf/sBpbnYO1w4nilMAkKwy7JDymqRRpYeNHl7Ss+8/p0FHr0EAFPprBnG/pzq4Ohl0Ua0wVG8r3
9eTok/aQr+TwUkh+073WbV89qkU5lS8joMSNIv1tCRlIMwwoaHZcGpTEFnsVywNlANoaXzL6Uj49
Z/T5duMYGYCRnLl10T9Jf9qAeXZqODT822yI3E5Vkg8jidjGw3jl+hK0LOhn4KxvFabyPE/7Pi05
OEphGq9a4Iw02ULfOQ4+OxvFkC6MHiitAYO6HyJuvVJYB8GSBtqmCgFU8VX+OLN+m0Va2rXJJc5V
P95Xfjt9002/3plN4uiuTtznn8pEebmJitLLhyrn7dAazss0d/25VcstoL740FclVH4S6FkOLi8I
0WC4/klamVkwpvz4kmdGNu36mDKYq3OwT/fnvnKa8Ai1aPGQe1MqWIwTjCgkGCANL6pejiToMjry
89yk6KFMsKi7qrE+3R9x5TogKpJ40BXSkXNbvNnVhOsd+fjskgaZ/zxNtErxZ50RfvDV+Z+ocqTP
ja80ELlQ87g/9MpkBYiQ4MxZFk3660VNzDBPxhltTq3PL1Ujt9NOMaMKpz8pR1LL3IzNK18RKUHK
0EL/ih7fokvfyz0NUgC9FzXOuuFQVBBJXUQ4zHZjC6/MDEkySgKIopLwLZP0MVUC0IlldikTXQ7c
BDTiXq8jAXM0KsxFzWaL778WPCBgU2ICQwIWcEn862LNqBH5yi515KvH2qIfPDWz+pvqYvDU6nn0
QPGt3dFJ1o2d6MsBv5zjY6xI07f7n3UlctjU+Hk/kVUDGFgc375Sg3ni217CWnUkSqVxvIvQ6QM5
0FiXSLawUNQS+XB/1OWSA4eFckjkJNeVYbMuTg7S451FtXTyIj1oThP/zWMcdcTOcuh/W4kTvFeA
XQyIkgQ9NmIUD6HFgHPdcxcxU/pqmv08xkH7WAxzPbr0W7oPyuhE73zZiwHJ5EX/ROSBSwUPgGlB
hv2P6mlob+cPISIMv5ERkpp9k8xbnT3xkf4MeGIw+nq8/ihAg3UVy/1HDE6pDNb43cmePydpvKeQ
mjWfJccKwr1W5em8EYXWvp4waRJpHh3j5ZO7U+1WSwGReuVUt8oZ38Qs/YBAhvZ9joPpUE1TvfFu
Ep9nOUGuWmo+KGhxsy8+X9WHijPm+KDA55vd0KSrUctG/jz0ZIi7YiaDR4Yv+0HVZj51kYPa9f0N
uzwmYoXRMKD6LN5NPC+uV7gyyrLsy1jxIH8Ymat2qvY5M+jFSYGj/9VLXfyx1530y/1RlyHwf6OS
lsImEb2UxeEM5s7o53ZSPLmqlNwtc1ItFx8VfX9/nJUPqiMZIJJQnjM3hKQpg8AQlZHszdagNycD
6e9+3yGmHp2iWJW/9upgvtdvgrmJ3oWQxKRqgSzG9YpKbYZ3tFOoXqZiu3DEFJEuvIvlTxQ/dT4F
PpeqXCH9uD/TG1QJw7KeAA7w1mZNtUVZQZvRMte6QfPiZi4+hrKe7WX0nXJUZquB/xkCENch7fWT
Hh7qcYDmp9bmxuNx5bzSG3+r9gumznI3xVqjdEnV6ZSFrbTeNbbpP8oh/SzXSM0t6vXyzSBmDPra
pg8IjBZPn+uFxs1orLCt1bzEn2bnSVakal/C3m2dpEa6z3Ao3TSaVXyoHGurxriygYkPnBjQHYCz
l7pBUZk5JX1q3esnrcv2APBj/eC0wZaQ2coG5uqGZfgmHo8nwfUc81StSF40HayQUTv4HcThCYda
X78M0xz/oD1WOQ/3d9LqsgpmG51rAv0STl8nEq3wyGdqwxBMpyYoAWG2sGp019c06UM7O6my70fd
v6TDvIVgWQmISFoJSDKFOLoLi3gE/yin6TByvaAJ+qsEtVWfxjxTkyMq/8PTKA359Nj0zvDZaANy
gdhAd2fjEl+JiQiGknBQdCQkLvMtmDNlDzBU8SBTxMnzJMGyca10UsaXOjQTBXHwQn5W6lCOjvfX
fnX21OvQZ0BbDS7X9eeOAjgzyJOqXlmHavIi+WO2b2ScbQ9a2g/WLoiiWTyC88LYG/zHgisSKpf7
P2Jtz9H8+P8/Qr3+EZKKpNmslKpXyUr7Cqoq+5FRIjmYudHglZBpj/fHW1tuKMboJyDcwLNxcRlU
Flp4AU5cniqBxuBmTnu05yb1a9zSKDyUbTojVqZHwXs7+SKAcKnwRKZwD9R/8fJvp7S1lT7RvLCo
m18hisn+OcxkSTpGgDGzoz/F9k9VELnuT3htgbnqSeg14H88ExcLPDTg1Utd86gzNwf4ss7RB+KY
uqo5R4fZGLcsidZW2GIvi7T+zaXgekB01GnT1Y3u2YXSfEicoT8XVhFDXakSG9PkPA9B3FO72vKC
Wx0YKQdQhkJSdfl+S3Alzq260DxpKBTspeS/h6DuX1Q0T2S3jPwCa9FJDdONa391WHwRAQ9QAuMg
X88308de0YNa8zin5UerrYMvfdbT8/Errf/XTwwNkTvkebcYHWvXH0gYkUQSwcCUXo9bAahEyEHR
8G7R6K2VU2+MxzQoBwkvhdL6L3FKCOlRqqGdT0//ejijTYMBwI/umV2YekkpzR8hb9q+m6tzyVGt
Q+1QhHSiTu/fv1x88IAJkgI/dj3urCZhAVRT90rcj09S3MbBTneaznSjyMmRbUgp5+zuj7n2SVFH
4D3FlQ6OU0TOPzOBXJ9Go850T470l7YMVK+tOu1ESmmI/jaobE2aftwfc+2SJ5ulAIV0He/zxZgS
cDQt5EHsTXUeB0cgaunRb/Fd2Ij6a9uGXBUgCEmjIApczw1ZQHx4ewtYUyVZv/GRUtPdPPSARfVJ
bseN0cSvXqQcIsUBHUb1AQjg4nAEPrbhitmYHtxV/1ktuyLbF2Nxrur6IpVxelKIifYT6r+qm/l+
uTH8yockDgGu54KjEr4UOwZChKWRVZheM42jeZJ63wyQQtQHr87HuX5A7APump5F05Zh+8rE2bP4
H4PFQ3Np2Sfy48EyobAzsqEPQv1X2/uxGrVuW/r/8tAwYzcIVIpcw1hgUzEWkS6/PzAJSVoKmWAg
yUgWOypG/r7QM9nyCiigpz5T8C2URtoboWPMKMaOKBbRSd3SZVi5cGhWCe1JHha0dxbDKja9PgQ+
La8aNDk6VIaW9OjgOv9KcdCpbmkO2sZXXltrAeASYR+rgiWNbtJmmc8cWV4nDUHX7dIxDv8quzgL
93Lf+dJRy6dGOjn6XOC9XFvq15p/s6UTsTZvitkCKyiwict7YFTVSZ5QTPLiOqvduR1MV6rGsHaN
2P+MQ3K4xUjeGnDxdMI5p5XSyTe9ubSc+iBjQ2Q++WBN9jaCprmrxIFUHe5HqZXoQf5OmxCMIdha
Z1FOrNVmHNO84uPmYVnim92gWtcBdNjpQdttUD9XQiLQWRrKoD0FPWQRqjR1RK1a9w0vSGrdd/Ga
jnQ3t/txoyyxNinyK2BjyGECHlkEKaSPEX2Bx+1h+1nNyC6gfPgpHEs8gaJRm2rv/WsokBvoaQn5
/uVG0eUUxs2sGV4xoUP7FIW21ez80qTtGVe5vaE2t5JhiUoLVAguM+BTi0W09CCWifKGZ+YwhXZR
BKapwg3zc53h8mc4nfxq20H8FPZo0d2f6OrQYO0hbVHvuZGMMfOU8sBg6t7ITQuOXZObRz3R8/hR
BW5UP6kIbEEoD6foH4n//059BsDOvFOQZ+CjcgXpS+oLDhN9k7St5WkhotTYDsU/5b7Sd1Nl1Rto
79t7BigVVhxsH24aHoPXl6qKJcegR4rq+XJQDzupaMp/0KIxp2OaakZ3sOUIprRc5fRi76/xbRBQ
Kf2wwtDwuGeXn1dS5zF0zMTwZOQnTkjCBdkeaTFd/SLMIR6GIFXk3/eHvD0uDIkaEcsr9EqWhUtF
y6pgMHoQulXWfQgkPcp2FSnsTpaicKu3fBsDwF9jxY7gK5iSm2eR7MyQ4tPI9NS+iP5WrElpjkHq
VFvySmvriMgF2icCrcYb9/oLjmqrmAEi7p5hz3V+TBIrmvfxZEnGydQKa5+Y/rglgbKyawC7UAsF
wMn9taxu251lNkZSOx79Vq06NlVBSyquYlPgdBr/ubR7+zes32qrUnl7YZL/Um0hERZmMkuNKxZx
oqMLYtQvCsPZoWQeHCN6m9HRbgLtV9bY834alDnaSXLY6Xu0V5OtZuvKgv/5G5aNqUptkMMOguiS
G3LyGjRtFB+SEj/Vvd2hYK5Pc+u/OxSKtB9kuyi74zyx+Mb2YLddj/bYhStnDp8xBeq1XRU5ieaa
mJSjxBeXtRtPWfvdj9tuI+zfRkMxOkIbOmIOlB7EgvyRVEQTKXNBbeOi+obydaIC4O94SZhf61YH
cTPm8UdepwUi/Jm28RJcObGcVh5H1P7JosxFeNKqxkxT3ZS8kTrMsy7Bts4SS/rSggY63Q8Oa59V
WGTxQoDtfyMZk0K7nPMxCS5os9QuqifBRyf2p303p1/U0TG+3h9u5QiZop8gRDlg0C49pkHByLhO
JZKX5iG2rej9jNMhY/Gjg44h+hi49QQSLbBGc6OTuxKYBGedYZFSJC1evL6aLkCj0fTDC2X2yTwm
/RBYp9aKjP+woNR+EagkAaauIn7HH9um18q4qEIjuijY3564ZEY0KSFqpfbcN6fIkKiw31/TtU/I
lUInjN6qkLu5HrHO+siJRy26tFAWh2MEPCA/OVNthA9wCKz6MUMb+NP9Mde+I60h3u50c8lYFocj
S3z06HVwwmqLWMMwy+Muk7C7MIrW+WR2Rn1o9GzLbHjtWFD6pSzG6tKVXwwqzZBL1MoOLiEc2NGN
iYaPaqRln5oawuL9Ca6Ohb87KT7wOsrs14saU5iTwBSBmU+H6qOcyOXOR0nG2RfdIOcbe2Ztb/Ls
4uvB+AAzvygN5RZqiRaCQpdEbbNfspIUwalNoyrfv39SYER4o7N6cA9EyPtjbzbhXDdakjleGln9
ET8wy99pbRtoj8Y0N9bX94/G1qBTgLUtz+bFvtQMRBMUSXa83h5kpDobYc2rt3IeHZpYC/+5P9ra
GpLH0l5nasBBxJ//MbfRL60w5aXhGTT3X1BlAgAEJKpODvfHWbsWuIjf4FaEzaXohiBv2UmX+h5N
DyN7cAIrOtMnsc+zAogVATQ778FBITT4Kxgdud4Yfu0pQGGEjJVyLSLvi0WV5d6GFlNJXjI7duZK
GkZ20OuL56LpoaWPTnVkiaMTZidJc8jyJv92f/5rJ19I7bFPherITbkgCJPSj4ngYVf6Zx9W2zkh
Z/mQG3NK2wEjuabOtI3TuNLABFAOSBJJCYgeCAtdf109V/Bh9SPHU4KpTs5FUftug62ndsLGRcdN
MPezwHYRV1PVZ9pl2Ytv4Bh9yRGB+H1/ARRxGq9rZFTHwBSTP5AOUvy7/i0BFde+dArfy1LMU9ya
5X6AMl/6yDEo7ZPcO8EpUJIWw9XJOEkggrMdaaly8GmaTbvUqpJ9ZeRbrJu1awCrJk4bHm8gsxZB
JGhUY6YF6EOoKjJ9PzZpNTyWiRxB8J6C7kHCHvbx/lKsDskRx0ianUBH8HolUOftArXQLW9sZ2TV
JK1qz/y8wT5o+qjxNAsz4/v9Id+ixmL1Ae28Ae8Ar5JLXY9ZIpGRZ0NnUkYvbcULZQcbY3aGpBwp
LdeNC8NC1dwilrJ6F0ZNYhyMWR2agxk0dOqSefQ/+Y6MTm9ShPmjU/ljftGkDluX+790JVDw8wS9
jVyet8DitoqswvE1I/Bp5JRx5TpT1jm7iXzaa3tVinFaVI3sYGipbXw0ykYb3zc+jEzq7+IJyXdB
gHZ5UFGyacAVIG84JWH1RY/NSnYTSVYeKgcY6jGtSH0ffEuoF0PcMOfj/emLQPTHdxLD0wRH9xat
RRRglqhmDKPsgKeWf0adqcAfTu38YdcLuw3auLig3B9tsdiMRiQSfXABDxTNyetdUSmWMMgp1HNZ
RPlu6tLwYOlhdnSkOHow7KR4dDise6hM9UaSsgxNYmhRs+BFojE0EjvXQ5vd1ARdOKtnsw3i53qs
IsoloblrY0ezXPAV2b4sW/XcVrL2YE5262IJ0WwVTxZHkV8hykX8RQcJktEyKOWhHOtd3OsffFwv
XpsOHQk/4hnmJ8W0U3Hy2qJbL+4ByJvUTQUAFEQJm3sZbnqHnLeYWi6/LJl/V3X8YxDWuslImpSl
rb6L59h+uP+Vb/YUYAf4+fQMAZ/CG1mEuKi1pQBgdXweCil6DrrR/MvpzJ+R42Qbpcyb5RSwCjEx
GE0s7bK7M2m+LteDnJznpIhxR1b8stpr+TCZqM8E3U+Ymu0WqHhtdpogc/DoFHeL+PM/XjBd2Tc1
DZjknMZt/jgHnYQvzwDyC0+14Ov7V1KQtaCLQzkAq3c9Vh/aTRPGZnIefbSg7EBRfmmgJ/7S8qjf
ejGtzQsODgq81E74douzWTB6FuhKwtkskQSqDVorttw9guuMN5K8tc/GExohOaKPgCBeT0sPe0Ky
n6UEnVJs+04+R0Mcn4wYB5RDHCjtluny7TEg2hBxGJOinrL09tW0mAdgw0eLqJ5+N6LY/m77duNj
YBe3nP5iRnMAwNOWBNVt2GGHcgRB4VOVBg4jluKP3TLJKaVK2+ILOn34KzcS/dCnDVhhLO7aYzlN
1k9TcpRol8X6/JMWwPhdxZb6cH8fLZ6jRAF+BUgYmmYUaoB3Xf+KLjWMfpojFryTx48yK2+E1T9J
MPbyY20XtUtGM2t7XGmCHeqlWyrMN98bKBvVclGMw9P8pr0xW1Cb7XSYXvU2LfpnZE/19gDELK4M
dFzlNCDi94Zvb1ytS4M9kfPSLUQijlEBiLwhnf9Y/LaNKr0GNfFqJVFlm25eSckXTatQLdpVddkX
PW+fEBOVltrdZ0WYpz0XvgFXwpQyU9lNvh3/g/tj0bp9XwyO4QKGtIYnKzPS6YPlR6ruUsbo/rr/
tZZPV373W94C/RVkCeClRWFpsEq0m/uqe4mw9dwX09ThZRD2hctTSLN3RYOZodVI/nPoKNKXKCmc
U+yoZbsbcDGRd7JehF9bvw02dtEbrfjqscAmhk4BXgGVBcHivt5Gs9E6fiH1/UsfTR1mmnmahru0
lczXoIza9oBvS/0NdbGwmVx7xIuzLU294Y1b2/FOicpy/JQYECd3cqQ68asyxpKyETFvdrooBkI0
AfsEcByG6/VPjIpOL+Q2Tl7kaSztXaipKFB2RvySNbg774t4aPSj43c2Huu2XzcnExWvLQzJTbQx
eePg64geBUB6st3rH2EbxYB6QN2+mBnq+R28xr+MuJKbg+3k1CiLpN/nujV797fN7dSpZyHPSf8L
VMCNxUJrdHXdS2b7AhKqO46V3z+aUzyabouyvhWpu8LI4r00lfan0rT6jZi+MjqdC/gsIFd53CxZ
lYVvDmMnO91L4MhoybaD3B0NyxjUE5UuOfgFfbz9SL5W0rHq01HIWSF2u1Hvugk0b4BOMKsCI2Dd
tMaKgNo4N0D7okqmf7SlkAe9Yk//2I3i7ypVqn/cX/KV8YTlFHgAZHqAny0ORG1Rf6UoFb82ZNiB
O05A3HZOnpQflSwtfpto9SSn+0PeBgduaBpSnEFekMxy8f6Y7LhA4r3LXwOeubY7Ff4USC6PSklD
eK3z8bg2tbDm2JWZLh+yUTK7I0/fuizcDqDVd0OFK/lBSzotwulUr0J53AgU4idcxwn4PzwlhK46
2i83z7JiCB21GqJXtZmy7GVspgBAU9353xOUxLbA2rc7Dz0hVpmLhf1HFXBx2hQEHMehKl8dK5+w
f5aGkH/S3oZa9aVq7R+oDmsuegzm01RF8pZqwJsx/GK2dHzI3Dh20MyWvcI6zuoYSmj4WmC8+pr0
o6btYIIX0cfR9CvgiKM+dd9DIBb53uqSuHwJ+0RP3Yrg/qOpk8lHX86wvxPQ6mDXzb4T4FtGOnZM
5YwMpJkmA7CuXdLBKscYr1vDKtTxZCdqQRfAyHmFzjT73UYuNP0lZ5+fkb2MP2UO1HG3i6L8E5xR
1TlVxtDVe2uM5nHfVGgLHPxCS7OA1nyDlSVcZfrZjS99iYtIjT+FgdX+5WNKMX81tRjscBA47JwZ
0QfiSJWoX1PJ8r/jcOVoT+Y8TvHBSi0//Q1apCmfE+rp2rc8kmFjOVpaa3sj1AN/D5eor56yVk8H
GoIi8QGCUJVHaNnG+ATCp9afK/gGP0atKaOdMVpz8yhhz6s99nE81a9sIZCIYz9TxxsKJwV0IwWN
BYVTLkPpeP+8rewu0lWkJel1A/a8eRbL2FCGeRy9Gm07PE11MX5VsdX74FNe5PTpTfVbSipjQl1U
iTK2WbpVoL39BfBYQL6QwvELgM5d72+K2h2nm1cM4qHd51pKw69hmLX72pLhdjYpfmiRJOsvelT6
R6CyW4Cn2/E5xUAdkB5gFzlLonVaWzOK5KpPrQ4g4jEuHFBlDkpW6U61E8FTcurZ1C+x3VXnDpWk
dO/Q6kw2bvZlSQkZFxIuYiy/Q5AFlq3N1DCnuXDU6DXK59lyMQuN5C92rTUfhqFvbFdRs+wD97J1
yfFkfUI5I73AuQ3szzOXv+mlcVnGXxWfPssPI0Xh/DlOG8nYspS4vRNskjUhv8yrk77gIhw1FWIp
KCZUrwp2R0+TGkM3DTOuJlcKeyI111bx9/09uqTsiaWhE0mngEoztK7lmFGGWZDj9Plr38zKcJDk
If8a2U1eH4pe0GrT0MDt202UJoq/zaGjZTs1l4bzoMQVTpSSFiTGj/u/6e3CvwqL4pnIGlANFrT5
Za3HmP+PtPPakRvZ0vUTEaA3t0xXTsoqWUo3hCy993z6+aLmAFPJJJJQH6ChBrY2OjKCYZb5TY6y
wpApz3VRp8770g+79nkiiVefAjluhn3fALFw01x3wpfJGA3pnZWUEz5PctGHrlrHYfoJFbxi2Mlt
jwmIWkltcujrKU++4EQxlKc2mwbn01h2U3AoUDx/X6PNNH5AhjQbj6WvBfJGkPMqqriYFNV85Nt4
1/hj+eBrVZfYXa5rz3iWz/fyFMy/7K7ItY+W6gcnra2c+GtUVZxLJxwi58FBFiC919uu/aqZVZHu
Q9wFn0w91fWvdRpWT9ZAueKES1wnPSl50mefHSOKpg+ZRfVxV+dW9jX11ajfKNEsmdECjgUvggNF
aYgHeslSCM0hj60s7c5yg+QcDE6tQMlVLorgQz80VuRms+SEd1lkDPimp13ltoDiPs6BHmiHhM4C
/+/RbMuNlO3qrnnNz6nW0z4AFb1sy0Zh3Hd51o/nPCss5Q7JuuD9HFXFgw/XYZfkafYNQG8E+9Xq
x0/zYEcbocvV6eUHMDaQaMqy15dM78eFOljOeNY7fBJdbFH035lZR8ZuUEARyG04bEz5ukRAM0wU
ywDKgZ5AlefyftdCmsA6LkVnGbb6T3noH6Y5iI/CJMSNScsdd7QT9M4Uyy+eGxLdd5ROtoC117my
+BU0/UWpkJ6Ro1/+inFUK60lKTlDiULstqsqvd1L+ag+SJCFgl0v5cp4L/doRBeIQeWP2mjH0ez2
VaaNQt8DJuAozVr8zjDbXt9LQwMBW3FSSuiD0cDeMiZly4H1+uLjV1NHhaBKxswFuAiGFVgYgE8m
SqlNiXdnqvY/eT+y+VB06vzeb+dfFj8yAbBaWwepkVDjiof8RSpM6R8Bupwo8MAIDxF1g1RDHvVy
AXXYwl2ZiAUsdesYxvZvHdGKTzKuvu+TtCmdf62lM96rxDcEFFiVy5rOHAmKVWtPZ67zGpn9Zn4u
G1s/2ZEafAy72XDn0eF8WF1teLfv9qv8ViDqBecUXDBVtdcd/aauQsm+pozdm+e56dsvvZ80EaLf
gWIdfFrJz1qT/o3gTX65Per10STTos5L64DRIXddLjCOmqNTNoYFsDLLehdUXHLsLXP+lrVN/K6r
or+3x7vKYigfENELFp2QyF/iVxurr5tBCo3zPIPRyCp1/NS1dbcTRvEbd8D1tXc51GJqs5nUkl3E
xtnMM4zu7LDGhEUGpbEPq3A4oswXnRInSw+jNsZnCPpbPMzr4Ao/WMqE1O3BzRHALEoWQYGkdEzD
7TyibJjc61lZNne1X8+J2zlVfYfsMogYM7azX06nlN9amCnxKW0r/X1P4+inNvfxS4U/VLfDDDU6
5kk4bTVPrredJnB1KJmT/+IiIzbIm20n9Uo5EoOq51IaEDeXx24vm/XwCRkRNMVUaU5PPv3V4l+b
DLhKCek7IeREOW7ZQjEdbaxjAvQzLsTyzretcteEuvVSUGi9o84Q3N/ed6/M6YsgAxkAVGLBemGX
zn9kMU+niUa9hExynrhWlVNCVKG5fpKailvKQFAewlZG5tmWzfFe6QbgsG3QOBIPMryMXQ+rXtrF
keH3J6yblTNJ1Dg8aXMnYTA16fKfUo3s6WS1eXvXKfLkg+MqqsSt7NEqsp2vyvG+ULXUOYDkGYxT
1yp4YqlR0sOgjHQ7cdUsnwSxxJqDfaNKRvJidIZ+guffIQYlS8NH6oF1/h1UqfpF12aJi0Hwgtw+
Kof7sO0n/6EGBuZl6K28RF3T+U8DWXLh1ph3IyedD63x5/aqXp9mtAAAQlEdpO8ArOZy8xhNU3RF
rVjnlnZZuPczw5cOORxwmp5d529xnV51jJcfkVYDVRCK0ML36HI80DoSMH7ZOCsdTqs7rdAJ/hI6
E24tG/LJqqxmPilT1GUu2X9fHLSe2/oeWJp0F0aW2n4fiowIJC5mSAei9bvvgMsobuRgIIcsR6JQ
1WsywrbbC7X2y4ltBWgCuzTelcVKZSUknmBI2rMfgL2zqkwN9+rc6GeLgqnxKdA7aQc0W1L/ZkmX
HBK6V/azUrV55Zo5atiHCOzHqS6pFQB07Yo+cWVADd0PySmKXaPaefqRFQ/mre7y9S0qGNY4LiLc
gQ3vUhE9SKLOrPDaOHMkkACLitCVc0t7aIqidGtHcvb5WH13ehT0eUL+udNKUsrmssA6Q6y7up2w
Q7LzZOja88TD+aI4fvi9AJyKuHKkn+apq7/UTd9vkdjFNlpsM3BGIAhAahIDLZ9iqU2lGdXf4tyM
GGHskWDz91Zpa3fl2Pj70a6b9p7rMbvLggLPsdtb5fpFJoOgI8DbSL3ZXg5e6IUR2UZanzNI7ndy
Bd1qJ9s+YStVSC8P5OTH7QFXXgDYr7xRBrqgAGEXWxNppcLMprg/FxWIqv3oFyNM7i4LkPoPh13Y
lwGZQpZ8vj3syiJT9hAUQhw/IL2Jn/Xm4WmTap7tsBvONnlS6vEDMNK0LPz49kPQlM3vmrKL8S6f
jbz4aPlTu3F3rY4Pi0ZlgvQ3llEujNScKKzozjYeDwk4EGyQO20CFDs5tZ+y40xY19KEUMapkAx5
q/GztuwCocIXppPJ63s5f23AkzJVkv4c43tSAQ6MI/uo273/ouXI7qH9KVH8HqVoo66xsr9EjEkR
gcsIEsHic9Pncvpycpj3DEhKHSJohiGmJz9VP+I2HXxnK8RYufxg84AoEC1TnuGlqkluJlrF7h3O
o21F40M+avlf7vhU2yeWmTSP6PAnvxPRQTwpqeP/Gmqrl/Z1Nfb+TpV6U3/UBjWRTlJeS7iXBmZS
Uh6zzMxF8rQDL6rbMULkfWQebu/R16jg8iYQPCTqQBTCyV+XZbpBjdWimPL5HCvR8KLCQNT2JXpf
tPI1v3wagyR+DgOq07sZdefwIJnEt/u579v6sQnDqKAXikCbW+CqAvINy9HKnRxawjvUpkrnroRF
0LhUZ0vtMVcKNfHKzkyGXZGO1l95bpWvsN45fxFlaOekFQMiocMc4OF8e6LXmwLiCqodwrtRQJYW
edaYWkqpWRKqBpoc39U8Sp8Dks93GTzQPaei3wjHrrueVLE4fEK6XzBOzUXzvFWwxHbkuj8rdpWk
s9vlY0wn2Kya3tXsLuvuuQb1BM8xe9a/h100PHKWQudgoHob79XcwHXUiCpBZVe66EUxZ/Pnv66J
cHviPqT2J8qkiwMqZSjrj40+n1UnVDS3w6gUTyoneuhJj48oJWO0d3vE6yuBEYW+EokuUI5lIawe
S2cepGE+t3odu4Oeqg/BKH3y7ZILqpA7+VfOTXS6Pej1p6dOIqRUeF2pRC9pz4XdZ3aNjPe5UItp
n+eJ7iYjfBs7le+G0ao/3R7uOmS8HG5x/eASg0+fP8jnfkKPHfZL+x2xZC+LJ3XjgbmOXARIlbIL
eS1J/TI4TWx9VNK6lM9lNjVHqx9860jpyUh/No2wV0nUZqSppeloNRZzYie7aExG5x8Zm2Q51BGQ
PhJiBNh0LjPsLsocawp942wpUz27tOpVYICBfGhwQNs4VivfUkTiXO0g87hyxeK/eVP10K6KHEWJ
c9On8wlExYQSo5Hil1s35j05T6Ycb3/OtRF5QC1wAWwgkoDLEUO/1vExHpWzUkn5h9hKwpMz6mO6
C7Iu2M9DsxWtrOwfUZkS+mcggAACXA5YB43SgNZSz3k/j/NBz4zefpZT3cEvR1V9fSNPFRff5QNA
GCjYZ0J/BfDtYkWxXFOdvnaUcxFxwWQSwisn3AxrdaMIfh2NCDAhzQ0CEZHhLNApUljOYIYS9Ty0
RbdTGp0+UGoMxwzr5h1ZlXyPJlG8x/+UMvI/f0JOCAmVsCFCf3vxCftA08aKyuw5SasEbm3k32s+
wBOs7bs9CkObqFExl+WawouA70oQw2ZdfMKooraIi6CKB3Ku78YwHk8FKhlPeRqET4ofOzsHF+EX
vEfUd8jkO7uo7qYDqlyb9gkrF65Q1qFIA7YF+om4Qt6cF5LsKtewlzvzJKcf51pJfudE/3c61+7g
5kqmz3tFUm1p45yubWKK0+gvirLbVZmxG8opEgpvZ5q+2skZ7D5yJXEDmZpvbTxjq2MZECYQWKZM
u8yZqT/pCcxJ+WwUVf+9iqX6I76D4KF7xQg2HrDVsQSMglwXaNqy3l0gmxCqI/MqtWz83fsBlrbk
tL3+o+hsDOFvb9y1ryfkO7GwkwW1bbGPlFh35ppC6hnFGucOpXqk3OK8OTqNPH+j1w9TsZ6jz7cH
XZsiABHgQK9beFm4Kkq967p6Vs4RKu4vmETID5laYUZI34UG6n8YTDQxUBSgXrrcn21jl5NPn+Nc
JHNcPspoQR40W0LpN5JSY2M5V65yKjPA4/D7AWZ1lXgOdjcMScxVbhqxs0/QYpJJtB31e1UN0r5D
EfwfhabE22gQb3IFEH7wCRdXzxxmoV5IqXa2JLvaQxvQcvjEdrwXehCuUmvWkS2tbMDWVz4hKDIq
VzyQdBaW/bDJqruhm3Xun6hUv/Fsp8oPainNHY+crv8regpcETZ/dIDAyYJ0ED/mzRVjkx0482RS
X43q9H7I+z9lA9+iTSmQsz8TbcvhZ+VUMKCQ4udIEMAuToVl5+UYUdM6m1opd796oQl3Rw3S6E7s
aZ/qt4p96L5FZX7eEO1cG5rYw8JjF3w/K3s51yg1YkQwYu0sWVL5DHgrS06WNmX2Ccxa8p0MaYD3
mg3/Je4xka9BL5GiCQX3xSKbQdLmIXf4eZbMZF83VtYdlGj2382BXZ3lLi3qjYLe2h4ShmtCX1aI
jCymGmCvJGuNpp4pG0vPERY81r4q+jg5JuacJRsLu9KSMy1xJAVYA6DGsg82KiVkLvjDz3NNNmiH
TmburaylbJBL8wMBWnTslSR3hzZrHyTNCqL3YSkFD9RTlA+376RrrByOVQRe5PGChgAX4fIr21oa
JPCV0+coMPnWRd9quhvlY/ShqOfxkVelvW/iqUTm3hzgjRsjsnXlWP8GNknNGhuYYgftfUuf/TqC
osZMYUPoJ3Hmlp0lpQYLZxlt/exDBUncyC8JK8BqPQEAoh6sDtLHBGiVG034uG+8e69342VIw+Yj
mxWMH07d0uUGEFsC30pv2fTlHzSbAeCHhvGE8ox1CpUk+5DXeX9o1Uh3zS6oHwYj7jcumuvDZ6tQ
y2k5Ca73lSQwpXGshXN7fCagibvdGAGBGymPvKAWETuurcJMbCpZ3bJtuX422I8UZ0Ez0eGCfHC5
HXJkCPvYKYfnydf6P7PttPdQghrpM+h9nmBDD6zgn18qAKZUrwjKMVW4qljqU4Z3URva5yxQTmGd
qKrbtHEBoSyzP2Rz5f+4veWvD7tII3EQQ76ON+D1dL65w8M5GlrEli0cBtriT9/3BvVR0/864PX9
8fZQ16cLq1/wPcRPwrKVrXy5nHoW8NjmSf0ew6v5vtPH/L6rCis5OEPmP+ipP5z7sJMPYZto9a5C
f/KzobVhgXS5EnmhNhW/okQp2o0dfpUHQbgAeqrRtAXiAm7t8meptV+1IF7q91mnVn8g945Qnehl
FHe353+1m4RnE3kk+iZC2X5JMW6dKNcVv5veQ+qwh5Oeh5wYvSVFN5og/xPMpnn8/xtxseB+bLb6
hJTr+w6iRrOTbD2984O2eYqAw5yiSD3dHm+5mYR3BB0g8AVgytnFi7eqMhsJTlOUvStzPbnnWdbe
FZp/VsLkn5mBr0MhA4x0Cn9Qxrz8aGmVTXlQZtm7yPLpcen4DoPwSwsPDC1W4nZr/lBQdJt2iYKU
yu1pLq8jMTatE+jvFLiBeiqXY3eNMapDZ6fvxpGeVJRWJizAzHYDk043WlW29idHEfrb7VEX20dw
TQEzimBZtHi5jS5HHecpsRspDbxpbIx3qC52e7O2850eox3DaZu2iGvisXtz8f/vgGAaeETooQNR
vBzQapRWVkfZ/9phG5H91POy90DX+XfVVMnOuxjvuOwD1oOG+azE6uDsqjnYkjZYLPXrbxB9BOJL
IWNyVV6nedb78yx9RVHbD/dV7sikPhWA9N8D5dMSiJdZ+UCFgro83F7v5cP3v2Oz0BxY2ur0zC7n
r9DXVnuk77147PuD3QXxrpR941iEvuTcWUZi/a2IFt83el6f5LwN48Ns1tLGz1hdgTe/YrHR+6YZ
mr7BBnHSima4S7VyBE0baXP9YkbR+GeY9RiVjrjWtwwtxfyW35/OGWdLdOuuWFipn2GulWjSVwhm
2IeXk669wLWO2fL4/m5cHYsQ53WxgfGxveFFwMISy/DmHTIiQ67qYAg9gMu1/EFWc1VyRwXP2T0h
T/CoN62d/CFIHk55mTdbN9fa4UK9FVCgsI3ggr4c3pqNkkC6Cjy/xhHRKbP4POd59S1x4AQQ1uXm
RpC9driggfDs0J3UOdmXA2rS5ARDYQWYZgz2sJ/pJhxA0MXavuUOpQGsS9a472N7indtAcFrR/la
qjaC77VPjLkQTUKBWOLtu/wVc1V2SjGXgWehe3o3aI6/16bG2FcmIPHbx2l9KAGQIqknjxJ//+YD
S0bK+LMReMo4JF9qVQjmqA5sI6Xtra1EcW0wHluCech8VDgXN7SmcEeaLS67mHmO76hs6umxTKsS
i3clMtR/S7pf9y7u7UC4CR7IlxarSPAwzI1d+V/DqlaA1SRaOB0HqQnmA9TfwTreXsm1vQoqngT/
lbC21EhTm3YMCiG2ZFQoXA6WmuyTsrSfp3AI3MCftqR/1xZTZEPC/QPhwiW7kGpekPZyKX3VCQzd
0rHQ0Ev7IP/k6GG65Sazci5sUnxHyBswvWVnSq+R75RwS/wKVCXcMc/5QQHcdt/N5V0z9c6nXIus
o5ZIQ+LaBX7jG+dyZbLEplxEIuHiX4tvWdJyA7HVBF6rTPFd003tYxeC/YD3RFxx+0MuU1+xcRiM
4jv9DGCDS7spgyIQSW0n8cIWdf7eCiTrN1XTPNrbdl8dsiGuo92cyJRQu3mWi11lC1BfDhio31dN
+c+edeIHgUqFDCf6dOBTLg+pH4zZmKYKW6tUhhNMDopWWYhcazm23YPCGmzhUda+N9+aeiqEA+tq
vbMkkuomNDJPV/u/gZXN2Z6qrqPtGu6+O2uWorMPRejg+5p9V2tbw699bqG+J4p11CBeU5Y3t1Kg
ZrqSRj6+TEasfU/tATntcNZ/5Fz8v29/7dWhKOeiBCALGUzx92+GMq2gazSnjr0uCiV/JyPlk7uo
tQ6lO8pptZFHrryn5Bg0vRUebxpniwdNV8d4bKFEeOncafWHojQy+dmMzXL4TOHYcnaz0/fZL19R
mlNtUPN5uT3blUvK5h3nQRW1XVrhl7MtAVr7QWrHXhnoEygMpI7/ktzqnyytMfpjZo7hFqB6dYEF
ck40X6iaL+JVhPD4wIkUe3puTuPOHA0rJWKjXXj241H5fnuCa6OJqpxJXVkA4Bej+e1Ya2NUJdiH
jX5GL6AKZuucZXam/oyGQf/3Nwb1H3J1GcCYkH+5XM+0ywAsyVbsFTqeZe7ALZnv26aY7yqrCLdg
LeuT+7/RxNd9s1d9Fd62EkSxp7XIgLxM1Vz7j0C0jd92G25pLawNBkpL+M6h7kB4cDmYAeBe7yUM
hvMy8dsPY5zG9m7ucKh9USGQGxu37trJELBlqMfcOVcgNCqLhTTVU+SpktZnrlGSOKk5cCk306j6
nYLBdgoNzGrf/EYjeGj/w8mgF8mWEaA/pHEvp1sCEyiC0kq8pqmtH401WSclHpJDITXaSwQaduuZ
WV1f1C6FsB+mAUv1jFY3u0gFpO0NSi3PeydBq8BVw7AfdplcbfZcV4ejmYDmCfh7ntDL+fVl2Lcl
8tSeGWowa5tamZNdI1vZrrWHesN8SCzWIkeh1SFKDTB6qWItAr3Jb5u8TePUc7rBrh7lKZq1xwEq
yUb0unKdOTDTaKUKZfErpINmOUFfV1rm+dlopkcl0o14dKOhno5GJc3zQ2Gl+pbCyuqg6MOi/qgi
6rAMvAYttKpeuFF2o5+jgjYCEnKlbhyafVskmnlU0Mjd8ptc+XzYudJSRQ2NLsAyMQnQMzTUSk48
yahDVGoUKq56Tc7tlxGE3Byuz+2LdHWWvFWvWktEH4uXalLrMZibIvGMahq+Ofl4NwWqVu7KSsla
aupDu5XsibdnuWnoz1FN4YuCDFq8TQro93hCEMebsyL/oM/cttSUZ7PbGRW37Dta9MDoZbmzsn9/
lREZRpgVzXaexmUTeYYBZ2OvkHrU0rPqaJQI11hJk2nv0hkr+V04qlrUuUHpy/aulrLe/nJ7sde+
LoAIkT44QqVf/P2bix3tuB75FDPz1Cwpftu9I70ze830dxDix9O/j4UUEQmDiECAZF6O5Uio90Z+
jcFmUBlPkZLnn0mNfN+N5fbH7aHWrgEhoUFvkPYK4eTlUJLeEoqgf+/lfqCM+2xqreAAh2zLXGBt
+UCUAd0iONa4ci7HKWpTHfTWyr0gtI2fNMttnCW7HJmQHEPc23NaHUvA0qmJUPfTF+8EYlsm7txO
5tmNkd6h9lM8Y+9sWS47bIvNtzoWtyegcDo8V/ly0CG9B0019aoED6z7JBmaU5tzRZxwvMo/3Z7Y
2vFTidOIhR224bJ0i/ZA6BQGFqVJH5t4f8iGa0NTOScDIiduN45/al0b728PujpDcDCAPIn30eG6
/HLQH+aiS9n4ddLoT2mbdr8no+6nvdECgN7fHmztSqM4jDCW0PfBIftysEygxBSZnR+neWqd6lzL
JjdSaiAj8qwGeIDncPSPtwddmyFJOo0yFGcFD+VyUAfpZSnSsWG15bqI3NEBT1tok/1YBtYWnmJ1
LMEfR8SCmoC+GIvyn6n6s595jjHQ9zbhoh0KY8BWStHCrQ7k2mq+qg4yNaC1y8Md6VZkm6mJnCOV
9+yI0FGagT2u64OS1aH9QE78j40/kZhDiwet+v+GXOwWG0R3iSdb7mUNaihPUar137GsqqudXcnd
h6GiS3X7661OUuhOcSnTHloiVOKq7ZshbQvPlPHlguk+vvelSIndHlP3+0mJ84//YUASJS4xIdKk
L7pextzMpeJkhRdaYXYa+JyuaUbyrsvq5pHnad64zlYn+Ga8xZYZjCBL9SAvvKHi2WOGfERKj/of
Yu/8R6qU9kZtUxyy5StP2Z5qI1AcIJWLu3pq2C5BUxeeJWd1tq/NUYWIV9jVRmi4dhaIEIT2OLI+
/Pvy3JVj53QBBRxMh7vqW6po0l0TZMVLOzn/Bth83ZUC7ksAgc0O793lSHMraDV5X3gYA8bqIQUY
8qNKw80QcO1TCb1CIe2H4ddV2zvI4zji/vBiqw5esqLyP8Zz091B6/uQV7W2ERRtDbf4UAOwYTCq
ceHVtnDg67PccYtckQrq/2pQ7k2r+Q8pJ9QrMA1i9/PtFqEJcbMzd6qeezVpqb63Yks7mn5WVx+N
Wk22dOXWdiI1CVTaoMoLE5bL7xZiKpYE4VCgUW9Yz7HURQjoVaWx8cStJLaE5gSXwqMUSspimGHs
E7+ZjNzrUML3H201lLtTWprVqSRzeWoNzCx2tR8WMsyjckvLee0rvh198ebJViPCFZvQaNbkl6BI
guaYZUrhuAnyCPLeKfFgun2Fra2rWFCBbhXNwcUVltcmgkexkntjl8XDSZWUoTrmvbwFVVwfh8wP
siDqqMtGYNVmFPRJFTzEaKXylxMpQ/nsUP75RymY1wMulGAQQBZCrEt329gap2KOOk5CFWXSKczq
B31E1inNrfdhUfj5f3h02PwilCUNosV6uTHrcvYlssDC00e/r9x08Iv9FKTzXV21nbkLDWcLW7a6
R0FbQFwApEi77nLEvNKSsmqkwpOkoX6wi7nZ5QDD/s60BU+c1uYFw7D0flR5+W5vlrWo03gz8uLI
120+aEOalN7cxPZBGofpLpWazE2aPDzNGFZ+dUpf2v+HQcGcCpw9te3lPYOITxmEaVN4aK6heyTV
vu2WA4zomFBmL3ONdzt70LeepNUNa2EvjsEKUBtjkeCWyVDSKQ+4cGx6JyepSyz7IEB2G0/f6pq+
GWfxNZ1ZpiIRmwQtQ3WAShv9wkBQESpXNOUPEVLl75KgbZ9uL+rag4s6Oe+TSfgJZvByD0WoowEZ
FPnDnEnjKUbbTj5W2lhqT6izGtPGtbo6nIYsp6jck7IsAheyhqYbayfx0FxRpZ+YWXXJO7kzSrN3
Rbc4/nZ7emsfDwUxmf4LFBBwWZfTa/WRtzdsc1hKNYU6RUkJCKvaMbccYtdubPoDggJG0RVFwsuB
TKUyCiysU89KiuhnW6jBfFfAWcyPJawseICG1t3dntvqkCLzo9hL11tfzG1WJ02enDbzcObKwrNj
AKb/2xdK2zwELX4SuxTVtnojvljizl6vVWYIFgNW7rWPKD30ypIjS8IScA6MH80MTPhINJUpfxS9
L+Z9pqepeup65FXP6ZAqFuqjdasZaO7pQ9i5VgFZ7FRXTRg9TQR7n2+vytoOIy8F7S0MiSmCX36I
pjWDrkJs2NPLYP6YQ6Ls3SlOp/sgc5yPt8daO7L0hcAu8RWolyx2M9lvm0ealHod5M96L4dhOXxU
Wz32XZlK/M5J4u+2PWfmxrhruxrwG0eICV4DLNBwaIlCOLR93aXOF1jTrRTtFHmst2CGa3tMhEBI
Fwtu67LElY91K8XllHkNSlv+Xo386S9GyzIywn7+3WiU6XR7SdemJjRmqGkgyHRV8LbSArjyFLGp
pawdX8J2rtNTXdj5sLs90No+EYdHMwUi9wozwgtmzElOVtomqRa6vVJH3Z0tT11zbMJpsDdezNWF
RKaSowpKBdDm5bbMyh5TeBNIXd6O4ylCGuzRnnFnc6M2sqxdHI6j/1+W0iQsEEUa7C0XJ6FOAJbJ
qpR7SowF2mEufLohOhj3P7dXcnVqmHqJgI49uaytJVmJFnFL8mtKbUT7pwvxX40QYx12ajuG5j4G
wLfloScijGVCKhZTiPoLGsri6GWJViQT8m3eaOEiYshx3rm+OTd7a7Yn6MD0/56A2/l3WZyUz9RV
y5+3Z7129klDKMaSrJKpLj4o5krc7nQMPBk3+cj1W1kpIfu2AdSpEriV3JgVQp2RZX65PfDacgNp
ZuIggLnmFrFXPGEXHZP8e3YhyQeCdXSwzb51zD3N4OZzA4Jt3ggSVudKwIXlpJDiWcbscllqvdVK
mdfm1hAfEwd67IMklV39Q4rnEInFusVoykXSLtkKctfH5iYQWDZuhMU6V2lpDAJ86s0aFYHAiDPr
EUMSgc6x0/zbaIeN5vYaSLqNbtjaBUFTgZ4/zPNrkopsTo05SQ0V9xiJS3zAk2Z8tE0uvg8QdeJw
q0S9BmAB0QWJC+ATx3ZJ4iob5J3tJKbuXg/KF2MM7/VBpeoud2PwFFp18r2O+/Ahlq36i5rkwRMP
U/ZR6Sbj5fYOu15y3k+qZyw6nX8emMu7SonGwpoBDXqS31THVJOsR7vN4hAaEnqabgmmBIqAMzbP
t8e93tmM+yoizXMDPWIR0PSgL6LeskNPs/rypKa6Hx84uEa7S6NuFp+6TDbi0RVcqhgT0gyNQUFS
Wdwj8jyibIVwJJl2m1hub83pnUpRdPjsSFpdu7SWTOthjJwmPU5+8ps0oXECV43HcoumeH2l8VNI
APD2pmlwRcC0LMj1RmdFXlyR2cwwZf6UQzRHD1kFVvngj+bYniQM68kQpMzeGW2iW6fbn2BlE/Ij
0FqAHkLJ9lrCndJAbmQ09K2YCBbR7qL9lWud4ZZJYx6sCBsDTDYBrbGJJy8yB/7HNEDanCyl2RQV
uo4GhM6nkH1BJxPQsDijbzpspTq3CJiOoTePtokihl4q2ZFaHrKGt+e9OpDA29PYpyy+PHvFJINb
UoLQq0J4vQgbJ9FwTK203sLVbAy0fDZqtTaNKq4YSHOqu4giBbrNSFiUGx9y7SyB2kE5T2DruVAu
V86uZTlJ7DHymgRNOZdKlyyfdMTAhmNlwvRHFVGutsxfRbJ4+SizayChwtiB1IeS5+WgFa1aKQ/U
yAsQIAkfQd+NPx0lDd6PRT6mJ1AV4ehqw9yf8qkyk41vuLp3mQgBgWBRmkvRWzUyOkWrKkwe+674
Ymnh8NSHbWAcx4D6kJs2IQrdQRGb8yGmWqu7ytgPZg7VwVb+5KXcVvvbu+r6CWE9iIg00XnkH3HR
vtm+rS7Hvu+UsRcPRv4lleeaXgvWdAcz4xzdHmttYyH6jmoqRSautMVRCZtSaZQ5TrwWDtL4DjkY
FWnyuh6dreLP+kjCHEOYlF4DLSM0J9uwYVaBbk77EuRs+xcjinKrq7K2fMTK1O+AFvDnojYRp2pT
WVICuEdN38tjWHyT+vbXNE9WsLF11qYkZJKJYTkIVEIuP1Tqo3yXYffs8TOG9IAqbIeuOX2BZgN5
tnbHoyqICQwPDrCQxXOTmeDgczTgvSgMremDUwxp9AMBqyh28WYso/eJHfY+JES56k691AbndjD9
LRWftQf+7a9YPPCy1mMFkVWx17aNfNfbKYqEGYHzvh1q/cFIDfURZEXXb6Rca8OKy0EYHIErXAI2
Ypq4RleGsWeFQ57sgyDQ79HnkT+Bs8KUbu7Qr3iCLTtvycivbSQk3MEcCYGeq55B1A2YxVdq7EXg
4x8BUxK/qBZGVULf3tyClK+ORh39tQQBHHcRsTrhBC9+GGMPobL0UE2j89GJyokS3hh9vH3o17YT
tzuYLYHPp790uW+LPq90o0xiiFohSpIYE5StC+s0jndBExjqrrE0QLhlkqSRG8B73clKqNsfbv+K
tQmjSiISElIScPuXv6JWum7uYeB5to/q0k4eI6V8KbJosFytL/C+vT3c2tOGRDS961fu+vKVUeGk
tUPKE1pS6PnTG/KXocN1IUal8TOY7nhjuPXZ/d9w4u54c4kHlT4pc5bhcmtqSX3Au85yXsp5Bl5B
chttvWJrh+S1pCRQ4yLmuRwua1pbrZUi8EzMdNKnTJX9Bq1JfHWiUx070nfLrwbjEEq1WR5vL+zq
TClRAOjg/bgqnfEMTiO0KOD6hjl8wHRJOLhIZbq3c0Qmb4+1+hGhQUM4FOyEq8LsNIC9rRkrrJRh
h7ma8ViVnewC0w/3oTVa/9zAFnQLGew2ZGDkVBY3vKRHE/JyUuDNup6P+zAzA2cvzV2wccGvrSHB
O+V0ChO8J4sL3hpa8PZSF3tNW0XnuK4zUXSRkqzataraqRvTWltGSi8gC0HgAthaHD0n6zO/qwjX
R/pPmELNuvFDmgrtYNvD/3B2Zs1xIs0a/kVEsC+30HS3hDZbtrzcEP7GHnYodopffx58bizUoQ7P
3I5D1dSWWZnvkr+si3E1dlz8wN+ARpeQTGb+en8aBcVQG5DI17pKpmM5pZ4IlKIZ0CNFDejw/i65
OBiN5a2rRsDcE9mwLUgalB7Tr6ludFWI0GIjfR1NkwGlPNSq3h/t4mQCocIobvNR2qM17R77+i5z
0q8zLYp7LBzEvQZi8wAKJ7eCTM3IFf9+RMqPIJs2zXteva8nU4OdI/OR9w0awDUiP8O/VhcXH+p2
nENtntIr03npA/8Ybh+ZOttWxgYp6a8NJlmHel14xqGJEfI+zv5dqSb8+i+ft3HhLCDabxqU4wKx
H2Mklg/9xp8A4e4taWO3V4+29GNhTf/hqqY9SNWYZHEzv3w9na0dZ61GY+HrZNeaDITSyk99McTe
iUzfuHn/4y49djgC1sbCR0lkXznQkaKaZyoWX0utVUOdmt9ZALOP7FT1FN81+gYhb9XzVyyBfrw/
9KV1pPgJkRiOPXnrbttghlequI0VX+VgfCuVRc19nHuLyNQWPFQTtfzy/niXYhK1TiaWG4Za6268
oqh6q1YW6BmO3f6itDrUh6op6nCyG+NMOuudvbjT1/D9YS+dfkpe/Ldp+77hTKPOArPNGQFSjot+
s8wUooLOhsRU50KprpyNi4PxzNismiHd7/XiBqfJ+kRNS1BqU/8VBjQnxHKmMewcc1yO/+HLwKLy
EgA0A4T49UYt1awecqvEIieBKoHSavXBVUoaRr2V/peE4jf+DsgM6P49w7FakmqdUCz7uihju54d
XIN+2CKtnxA1svxB4prg61OiX2M87zbpBmXkBFJVY4/y1NkDnwpSU08oKfWiYVUjvXG/aGafYmWx
3s2VKK5kwrst+v+jOUT4TaANiPQuEBa5Ag7EGqp7W51xnU0QZNZ9if9OHAot6YIe6tTt2trGeGXf
vB0YrhtLSKmUjQ+p6PVStmlcZoW5VPd5nMrbJG8+j0xzD+Ul1s5ZsZAEiHL5u9YvX0udkK42IA6w
LcgxvR60gkEaW3VS3yeuK4H+lYbXH8vMXLjVrdjA+2/umyux6tKHApdDmQq1DYC4uw+d2iTWczbu
PXevdjTK3jurBqZbCcZrT720ywDt+WuD7k7l7w9FKgZuN08ckrfdoEk6SUg8or5vpdGHU7ZqZpgk
43qfg/64xqo2mbU/yldUXWlvGCYdXQ4KXge7U9m3WQy0xPLCRAPfsummx5BzK3W59v7eHw0G8sBN
U+inMkRw3X1Va2hxOVW9F6Yxgi2xNM2POJFP/mbx9Ti4Q3MlLl4cj2xt03G2eCXuxptzXVNm4Xhh
3gjn2NfszJp3WQiIZwkgdF8Zbr9ovz9vi/rbS58K0W53atxnbqroXli6ov2eKUMbisHOTpSNr3Hu
LywZaDW+Cy8UkrZ9OVXrLciRnYlbQtVYhybRh6DWh79kmrAxaJTSZNyKiuAO9x1Oq53z2KgXL1yw
L/cTs7FDM8VRQdfq6mgriHk1sNZPaPDo4fuB4u33MfIWJ5COIPbuNTfxKqz02J68cMoN72hr84iD
X3KNNXRtlN3G1xMPzMQ4eCH3mBbRb7OPqY3RwPvf8nYXbt+y7T9efEAKtm3zx0O6mDVD1EbnhQjB
blaLs0nFAnK/aw1jmA29578/3qWv2jBGVCW2dtpeWQaGW9uZGOaF/erkx2zlNUtxTz++P8qlr9rw
vRbtI7wH9qOosSq6oUrcsFtd+1xArEv9Tq8d+u2GJLMGi/K334UBEJB6sGja5nW3R52ozhqPy6AV
x3Vym/vBlu09HOj88P53vTnEZAp4YaBGw1XFlt+tVlJo9mAUWGG1q94Gqk0MXbo6D8H/XNOleeOH
tvl9cd0SzdALQRhtt/8UWyhKr+Mo1Cdt/rmkS3qyvFFZg0rTne9mNQ5P3P9ZaPRumvpDY8WPg93b
v5KqH/EiQnnVvLJX98Fu+0WwI0ByMcdouu++XqwlbgPxXBy9tK9uKqOvbxdypgPtDyTl7VW7lUh8
X3nMX5ryPwfdttqfByRLmk6gD3NEzLY7DloXH2IFeP+U49j996tL5Z4XNRIim3j566GsjtlVUoYy
0yZDgwbbU1y5B1lTDc7ra+o/lz7MIuBtFjA0N/dSk2NcjIoxljh/9Bn0al4Krk0l0u3tI6D59poK
4psjyeJtz7JNqZ5+yF4efcJxRA5VXRwhJ2cPKkJhMIXQYMlRXzhWufOXUCJt2yyAevgyVBcJsdtF
9Me6gUmIJ1MnCkiz1VEnnZcQXY360CZkZe+v2+7RuQ0FkQBiCynYBl7anRQ9NfWk9qY4NGsncT9P
cGers1WkTXdjlrR1gxLnEX3EKt3C92dqZ5zI3v8FF9aSB9IGF2X/0FjcJdqqNhiJk49KqMez9TPu
7Fw7LJUhnmIra5orl9CFlaSQxmeqgFMBoO0e9Gqywg4aVDKJolkAuNQZjjuDs6Hf83GePbTKulVc
gTi+nWMOBu9AEhiAxpDOXi9nXRZoBLlbv3+unECv1uEgZn08rlBjntiz42FIuhQpEZFc+dz9yJtQ
yu9TsnUNYdTv8rQhtjGKAucSVXg7rKfNVOJ75hn9A5wt2HW4XvZeYOtVF+VFimbi363s1v7e6NG0
9WAugoV4/d1d7iROjFFopFau2wVYULb/YGpihBNt1Sv36/a3/ky1f48FCBiPdpoX2I6+HgvBtZ6i
QjpFST/padhNSIegJCzbm9LI9OHgtUWef3TtZL4Z8jpx7kgZvOT0/gfvL3l+BGgmMGtcgDxV93mq
kSplUXj5HMFyaM6xpycfvFy6H3PRex8AhgxHq9K9j+8Put/SjATrnffbtrk21szrLx/4NasjgBKl
LXjNX3C1KeYcPahOQ6jk2jr8qLlG0r8rt1MRez3q9qv+uKLcIjV0hJrnaO7ytXjRVqe0DjNgR+uL
acPtDXhWz5/e/9L9TbGNCYQE3YKtS8xD9fWYqtJYk96XMqqVfnVDtIam6YA1WqH5btbP1/wTLkws
0BWyvd8+Y7z2Xw83CWqa9ezJCAs2+zRZQ/K5MInbk9RTEYwyz66lSG/3DxBoWgmoCNpkY/vLWNFU
r3XTbI20lZvCt7QBtFbbD9qNmqiKfZ4IBw8D0gBXegx7oMO2miRkoC159ICT2vf6sUzorDiTczQk
mvLZ7eJx9LMqc7RDt9ZPuts60MsABj7FfWznx85Mtc+xgoLLDcDB4Zoh5dtbi8yNm0NDWZ0y6J5C
4E3m0NRTukRtPibfIAcnt0Wj/hrnRnnmUDmPiB7nHwlX1ypMby+RLWXcOo7ouGwOMa9XfM3Hqm+V
do7ipV6OemYkhwQc8wuIMe2uTtP8w0xv+96M1/5R0Wz0vd7f4Bc/HHgtUndcZWhLvB4/ngANWw7L
QF1rekZi3utQzp3QskDfwl6DNMnKl9Zoy19gCZuX9we/sPlo09EyIEMH576Xu0pRyxzjhY8v01UJ
8Z8p7jtv0eF8y2k4zNbQ4wOodlee9hdH5RG3ifVsiPddjFjQKELuwZmjtEmzUJqOjBz8CA66WoiO
ovdQn7gzr1mA7VF624ZHrnuTtja3EPWmAK2pqTVgpAgsAcl+uVHgQFFlDVKdqfdUxUsWTs2SHK3C
elS2zE/Die70HyYc7AAhi3csD6PXq00rjFsT6ftISePph4fCVZqqKZV3Wnwf4zRrPw5K6h3fH3RL
HV/HST4cUPX2DtmMd3aDIsEyrNrgLgT8zj4pCHEIH3HM+Of7w1xaVtJK2rDIEDC9u2WFl77pTpeI
cvdLx+3lSAThVEUVwaJnThIYfaE9ShyGxZU84EKM2MqJ7nafIRi8P8KmLJe4yCp2sSPEMa6G+Glu
u091X9VXdu6lw8o4Nlo6lGtBFb5ePp6I6qj30xIJDFQ+9a2Un/WmcM9KUurz0XHk+JjoncfbC8rw
lQv7wlcS66GsoUvHVblfxXjF4pKarYx0FNl9DtAc6VPedLfGqmnX3MUv3IpUZ7kQYDZQs3J2od5I
S3dNsl5GWjfpvEGEcUjNQb/hiQ2kKKt+6qpr/Gsv+SfTyMU/f72RfhfB0RVHhg4F0tezbPOIXyfN
WSNzimV8JKeET+Znoo2TYJGjl97VUzaqBwdg6zU9kQsrjLIuQBg6VZs71i6zGo0cMmKxEI4xqVF8
nOTS9c5cZQZ62aW20OXYTquDgrVank31Nb7pb9Ok3VnlWoSIyasak9P9xI9mEc9lp7DKnjsxUu1Z
yiExYArf13q21sGsyLJJgxagYB0gcJaoN/Wq5eJAAcLWkZ3N0zY0N/H572pdZm1UZGVzGPXZUacr
oevCvYIYMTAFnLsBbO4ziHXTPswMfYnUbpZfXTM2A0dt87/sb2/3Nv1YeEMG5448cLcdJqscLC2t
ZERpIXdCbVWr0DTg+MPVqPL6tFijeuX1dmH7QwjZzONp5vEw33bJH5kuEsMiz3W5Rh5lIXwZu2l6
WHNHfaiRtX4cBi2pfTBTfXtTqOXwI+tUbETePwQXjjsdS4RDAGVQgdj3EUw498pg5So/YYJNpBZj
9inGE7BFuW8qy7+sGm1zzM1J3gsGC7O8XYjIoQCC9q3UqLQbeS+MEddouQlT3tRJVV0DX12IFLzX
NpWS36PtncPwZMjKGGG1yDWS+ZS75vIxQ1P4RTVG9by4y+SPXiGvvF4urSnCgKTYoAZpze6uNCLm
0mhVqkY5lhlB33nmbS9k6mtCr0KgbwgGAjz+oLiZeIyNNrkShC99MxI7m/XV7+L1bvh0dlKAvJoW
UYR0/qnG1bmjM5TelkLTmoAMO20OttysNt7fR9vf3V8opBocHooRbwu9rqKnSdFNWmQLY44zdBzW
cnzoiNSoAcSuMpiBLpws/vf9YS/do2haET24GIiUu0O7GGqd6QoHM1UK44AGjfHsSrULNAUuF/Li
edgtdBeNcimvUG4u5Xm03ji0NBgp2O+7uJZKtyOf+zWaKF9lwbgdnZ66QKc5n0qvGHM/n6CGfxvQ
WErv6J0DaCzgt6M2GGt/7T+2nWEagbR8sKhCgWhXfTJrkwM0iTVK6w47zQITMohHqS9VMR/k3A3+
rE7dCX1K72bMkUWJG1P1eyO9htu59OADlrfJHG71aABsry81pPeT3LX4JbUytT/kaIsfS7EoQd8n
2TmTi3FwFLsBdTJ2VNHXTDa33kAZRZsTTuT72+PCaQC1x0MbUAGCi3vMaUoEzN1ZZ41QBjtbVOZC
bpt1PqAAKR70QoUjX9dpe+UQXtiVQFC45X5j+N5CtFO7qemuy0h6Sq9CKW7kFBRUdpKwsd3aQtO7
x8/QjRdxyE2NquGV775wq1ODpMdDMxqRn/1r31Co3I1IIkapVM2jiNfW71z4o27laH+fq27GJbS7
kUfDD3J3As1m6SZaf8QwvH0j2ecQzziRwp+58O71HidTv5d5USHwYBjt6f0FvngKwRRwDEniaGvt
QqhSN2avqBorrE1ZMJnSetC0omh8F2f520Vp2gNEBPFoVSZP7IXaum+1Dcyw93/HpQnfjFV574Hp
AmH1etOXatNqVr9telPDZK+W2SERUsefPlOufPKFdIhSDsWUTQacrEh/PZSBEc0IK0qNeGzpH1q7
7EM907QP73/QhTD2apTdfZK0HbCMgVEGu9S+DEsZf60d3T1qnYs2oza6z04dlzdgrLqDgSfHl/eH
3x9cWMBsUf7gbxEnLurXH0kmmFmLu8qo6GLv3nXK9mvRLvkXVVZZTiTRvdpHVdm8kp/svxp/K/x+
6IzwrMD8Yt/8qej5dDrqmxEwyhVcOkgdzzeyVp6KahDjQdqZoNAq2ud2cKfuUBZUv66QY/ZbafsN
W/oJ4YLX9Js7y9Pm3pOF5kTSzSdoDvRMzYPW5aA8yqJ3/hJyRe5JN9NFNAjUAJX8/Vuz9BCMhsPn
RAkZ/+eqytug6uMqsldv/iAxdoVI514Te99nC78HpcrLXLPM9v5eTtwxF2Zdu1EB/ijwhCtBdw2D
89yYRfeALqfTh3+7oaA+o/oLoprlJdl/vaFa0bN0qXAjGUO5Vsdh/JAuahdZo9Jnh07pm2fU/Ov1
SiR4u48Z9jdZk5Ib5qC7YYvRaiyzTN0oyXXrRjNGXLXJQb0PYzrqh6qWTiBjZ7l2He3vCOZ3A1tt
beHNnWAPommM0kY73mMPCXtEdMZJPe9Q2SZeOe9P64XNykC0B4DG4xKwf8ea3RgPCXLfUeVQgEE8
fTy2saXfVNCOr1wJF4cCHMGlgFnHG9GnvmnNzJtzN7LWMb3vO0uHn9aKYNaT5spmuTQU8YyHMd1D
F5rl683SQ/Jy4D16kRit9l5Ty/kIDMr6Mk/ONYe3CyeBb9n6vxs+ggbP66F4FHpI3VdeNCrJ9Nit
DscPEe5ojpP0qReLd/P+gl3aGWiAgBynuryhQF6Pt2gNGm9Op0V5VgwA/9fin1hPpysTeGnbA6Ok
6UsBasPDvh4F3g4wE7K6yHUaHMVl1fcgTZzBuhGQeeOTYcX1aTIy9xo8Y1uZP58h28bfpPg2vMnv
Mt3rgZ24Bx06FkYk9EFbffwT5a2J1dm5txQtDgAg6qfKVuXdiFO3EsRWdRXDuk/+fv8EbIvgjaHk
8wby0tTsHS+x9WgeWxOmmOk0h65symNXLROqT3YpyBLyrPRXvaS/9P76Xpp5Z5M+pEAKCHpPDp65
DlrTTIzISXtsAhfRnaeaA5IpafcsM8X1e4yArzz+Lm2q7WbdPho2/v68gL1RKGelWmQgG3/IaNv9
Lxua9tv7n/Ym12NmsfyitGxtqFmSvteLq9aNmwKb16O69vLbmiZNaA89hmrKoIf02B2gbYp4aBNM
2MtBrs2hz7xrQsoXJhgzRJMpZo+hDrXdHX/UbHQL2bK18rRosczJTELss3szQMCk0oJqMZZiCCf6
V4kewHjjjATvT8KF3YVDOHVhmt+W/YZylRnTONm9akbjnCT3WeVqn5JmcI4pclVDINel+mU4tXJw
3fFaVfrCVUVNYSvucytuC/H6y4knTS+L1oyyDMLAGbm60Qp6ODZfjX6xRBq2w6zqyZWr5MJdjBwM
aw42hmHdHfonTlpPndEpihZkusLYWvuP8BxciNCGfX5/bi9cHrxjeMtsxM+t+P76A5FTSMQshB4p
Rl43x6HTZ/swdYkwLQC2yFMGKQ8K63E2lTp7bjGCvqln4Ym/P03oh7C4TDULvZ9njCQ6siNPxxrZ
Kz1/yMwydB1hrle20oX1RDCDlcT1FKH5/XFy5ay7vZkZ0ZB5yb8NBanOX622D5Penf0xna4Rii8c
nQ3cT8mTdhwfsNtAq4s+UqPXRjTN6vqjnAvagP36IZuEewJdPN+tuVddKcdd+kjOi0oY3wbe451M
fRoxBU6NqOzx03bnyQRvBCZWs0Yz5GF8DQR+cTwavOwgHuDUP17vIVTVyF4npFKz3MwOTmwukLG6
OkCIszyRwIw37+/ZC/cBxQ3owgxHJdnbfs8f11FBJMjHVdhRGU86sjbUjL3lW5pKdwwxndaW5Bz3
Hs1exOdTZTnOKGdeA3leuJip+oOv8mDVbkJm28L/8SMQI2lEOpR25LamK0SgVVoqPs/V6JBidFmr
3ll5Pk16OHh5nX8COIKSX9DrjRz9Ml6Ka+nv20nh2YQFGI8bKr9v5C0XD5cN2bR2VFNhL8Ok6cfb
IremIDHM4kOBCtMHty+8F9eo/0P4Z2zg3TSUqIgAmH89F8u4QhFic0VzuU5LQCxB9TEZm8IJFLUR
093sDtkUUH7TEr8H6/7r/Q3x9r5ksyOGQ2Si742K1+vxV31otEyJzQhr88b017qaT1O12rnfqkZ5
5ap6e2Nug21akwBhwVNsP+bPhc91IqFZW5FTZzJ087Q+Fm3qnI25fyYBiV883JUeayOtT+s45fWV
G+zi8Mwx5U5zK0Ht5jobM2FhrmRGjCfvQKTRSaus+OOcamg9yFg8pCNw2MPslGLxzZ4X8JV06+Js
I1K8zQI39b435aEc5jirQzi2quqTVMuPvT43N9myXDvol0aCXErmA3SF7H130Lu1yVs7dc1IadMz
Tg7xP0lmqkdzWtK/rOiBD9kQEwhQYj7Cyu6uMMJtW6MnZAFV8XrxhOoSSlpHUAPV8lSlI16NB+yJ
va/gOdUkWtHgffn7Lbx59BD8sGR8Yw2WGUVeWq1tRcU6G1FX9stHNW1HP23xdXp/qLeZ69bwA9FN
z2Szndv+/x8buJCFMTaTZ0VKggZaAM8b6HZiG/WX98d5GxYQvqSiQ12cqP4mpq8YVQhTtE7Eezk9
au7yAU3mKfWLWDX8Jl6vFbIu7RZqZ4gOcP1R4dkdzEQQC9uR8WJzkovf9wavoWGu67M91eLKhtmO
2etHFx8HKXgrAhCE9p1TpRVOyzPHiRq3tF8gq89d5OGqUv2U7mJ2P/QZ3XK/i4fGvBL9Lk0rFwwC
jFsjnVL/6+Vzh3G21CK2o06lZe67luIGorGsQKnKvPC1pvjf368jqRL3K61SzsgWef7YL53R6m6T
uHaEUJEYzm5plJ1vDmXyOHWVN4fQpa7Vyi7NLsAatg9pN3Cm3VJO7eQak1RsMn7RPrVTPZ1Tp7Uf
LTGW5zVL1D4o3ay+Vhe8FEO5z8iHDbKKN4Yx3JsFUojsIKczRTCAiuTB2hXlXZ6J/KBZg5ThjBbN
8zKqf2n8QNimIgI2EtcOUjeC6etZ1hscurI0c6M6VsYgXUslzKo0O86tin8e3oRXttGF0wJ9wkWV
YFPFfZP4j7ra9JrKeBR1rRsAeu4dqkzV99lwtSvV3Qs7lt2zKQRuM/umuussPGLNVlKZs4UR4lGH
LGIMJWQttQl2kXONWHRxPCqPpGdojdGSej2V+VTGthNTgKyHqYWXrHgPq12J/62q7B+qYroGC780
ldSSUSYzYORAdXs9XuZM2HIr0gZgWdeHfhmIxjnAz8WQyjV4/5tWI+ndJne45fbQ6dC8fj1YXlei
L73EixAxt45DlSmfKjfHfLVu5TG3ui4wFaPglnXkdNDQ/Ux8J7a0LxRljSuwqbfHhZ+ydfw2ZSba
L7uLwc7IsemDeIQr5G0hH6VfamlpU7hmQ3lja9J4Mc02aY5oJtQ/3r+U9jrHW5oLqQsUPgYRYEyN
XRTTOzfRsZ31onLVVSi2dd37s+P1P3o1m0p/MavpxvSqMVTiRhl9q3FwErS8wSwP0pzcLzVeP4+O
4l47x1xTu9sLhTWSYZ4m29miZ7V/DyWtEEXTKWhSajoAocYqCiOgPDYMQVokleHbVayWh0lK50Nn
8dD3h04udA9HbPFQlZq7+mAp3vgZY2HLCMcUHEDgGSPvKqNsrO5ga8hAxeh5WOGKNJURLIuJIS9y
VMsB3olcX7Y+z1kTpaIEsxXnhgxQJdWXIchzD+GaoDL1UhuDBRGpZPTntdLyNZj6KYsf8lWtiy90
u7rpR6LqbXasbXKEM/yVPO19kdtW/KKMejfoflwZzoI8TKnIBBcet+vmX1OzTfLZltOs2OiuVvP8
yTS7JLtfcH8ejyn2z+o3SguNfBRZU2c3hjAV76s1p457jlVJE9HvCQHa5HvtFPenBm4g5lP6mnjV
rejKCZHqPLGTG1sVJv4xkxtrT5bbgngtxDiJIM2SxV59C16WQDFQZYbWolh/jZkqy9HXzDUXN7LT
4W550u2yU5/MbXUnXTGZj2mCoH+Ep7KZnXSzL11konXUt3yoztW5FZ5a3tQwTpfPQDOWKqi1sotD
3ZO2iZhfJ4tz5lLqDQ0MMKSP2oNlHZWuj90QawWtCmj/JC0OLYnef5hHTV9/IiCkG/fKbGHfDA24
xF3Ls2TVPSgL1Dp/culHPo22na4/LaUrsqOLZUl6P4z4JhyXQlGHD05Sl+upsNFnPkDl39hUWgWJ
IALdNiXLDfDX1Qu6slzcrzgyNssv2tqLhuK6zcvwtrRRAP4Hg4S6EYd5mGVmhTN8azNoWsxhe18z
1rYsfTetk7TyHaM1Rj1Y6LFtCskNnK3P+oisHQ7NsTI0914pRXzAN2zIBr80mkTJUSpC2eputWva
a0qzDPNZhzTEP1vLrBFZQEfITrP7eB2c7j5ToKBhaGpLo9QOWVtr63mhn4UFcwceVHlIjK3hHngD
7PY0IFnI2i8wydrqVkNkRzlSLh/bMvRKZTJPjsx1RPuFgYwzOtym5w6zr8l2Tmc4wivIukPVcUgr
v+5jYd/WngOZeKVJ0twggN97T5rIjNwOtBED3YcpTpL+ZxKvRRag7ZH3Wpja1dj3AdbYgH5Mr7UL
1JZjhYvJm2emOKAvkSK4rDUp/brDaK1aHVr5uqxhrYBI9ZdR8ZwfCmpEGz5Ra+67SeaNH2vF4Pkb
3ah6KXplGcNBCHRvPN65FLirThQv1GRcBfn0eBDHtaW5pweGntr6g0OLcz3EU2/qd6Nlt9aNdB2e
UoeyAUBy0mVctd/jiibBbV3Z7vo8l1O7pIEi+1Hz83ktkp8i60ZgPaoWZx75bN6qqxroimr3J+j3
NagnxWlwr1nXVY25q9wxEedcbZ3xBmpYXt4vaq/Lp96SfT+Ddk1iL1q6xFr9qskd82fR6FiH+2o+
T7mfGZ6ywVEnR41/xmalyB+GaET3gvLnIm47ZA2Lj0mWoOcCFSdBa4uqk0ndHfkvv/VW03uKO3VU
b1MYlWuUK3av6zdpI51Y+H1D8+CgJwMKG8fKssFLIF5c2d9To1WSf7Jx6iwQQrQuw1Qf8/FUCKG2
R32c9OSWxe3EPwKpie4er11Fqr5tFipnAQ2kdP7fmNTFeoQa5ualr43WNJ2TGUEKwow7aP9Q31eT
xEfsUZUflbjjHxluFhfnTpfo2xVU65JH0bfj9KClrTLdqKKvlhc2iGMHxry0Y2B3Zi9Ok60t7TnV
JzU9y0Fo5W1ed8v0P9k4Tr5G3ZDQerKnUstvhqGZ8bGVmZi4pIRCQ0hPukz7MQFg6G9yt63H4zKo
8fKjFgSUwAWMhLaq3bibBKaRdJtQ9Szcvn9ZvcZE5jduTZgbapKa6ndoocK6rVMp5XAsF8SmvqIB
hfzD7BIUtCNhpxpPnrA90WO2BR8yTCFcDE4g1jxvgjyeZ3EmBrbtJ4Qxmv4rSDlVNqE9omr8fZFs
H4LF0tcOjxzwS+JRx85e3hQuELQHx06pbUK/R0Kcvu9SewFSonZzU6ljptwwtmM/r7Ocs89pwqm+
UXmhLmeh6BkQc8tqZOaXppfdTYMdD7xMe7f8YdmKPUcjfZBNMHcopPVCB6Aov8pSzLaOmyxn5lxZ
QBUagmbRa6eiteQ4+5Katn0agfwMH6kxm82BjL2hNtkJS9jCB6bGa8VrAQo+SeradVjnLsADv7Kq
xsV3tMkwSxJk0fdtji94WEyuYgw+iOUkO1RQrpWgVly7H/1hIQ31R4RFmnMqx45g0QLfDVhbHQmO
KjPtc4KTyOpvTihe5NVqk4YFqmPpN8tuPHlr2EtnzuFiVM58C/Dd9b6N/aRkH5PJ00fET/uxM85d
58Sev/QDjCK/bG2htweVc4p1Oz4Rn0cVxPDduJqxcprWOsvSEMRw5gh0Iu1s/VH0syj/7btW5Rc2
VLq9J2xh2vWlyVOzyAPBi3kNpFnh/BYs5sCa4mHmLY/r4BnyiA8J3aX/Gco6tWZAnFzi5xjZgiM2
KO0AvKxf0lMNL1F/SDKZNhG9MwiuBzgfMTo92jYjJQjKn9xK9RIOTVUe0DWAlCn1Fd3oel3L9ilv
FZZKzjgXBsBrVMtXhGf9W6ZF9ux0XToRubFDuh3HqSc/S5YxKhYZ/9NmPV14Bde8NpSpo4gAL2Lr
m5W7bvYgRO0Wp7J3u/o01gUJuIoGBjxnNHyOEDux9RtFrFMPxYDV47eOWv0wd7HlMBpw55Ns+ljz
xTRMPzN3RNvZdZPse2fEyUtnSBVYY+JM2jGrxvLZMJLYelzKdc5DQCAjqjrFoDbeCbKLWRxH6bTj
3VJUXXLWlBHkZpsRRm+rsp6fF8OIl6e2dRXvW1wXWubDGbY/mhSQlY8KWpLzP22FOYbWaJMRkPbF
T3K1WM7FmCwtUtVq/FlAgCuC0hTmcz80xhMGyKvpe7XutREagsVBbkSgG7VRUeYQzjLkh0obbDJh
lDFJ7TCIXAKZSK05cdsm1lno/WJiCmv0z4IuQEZQYJp+dY3ZdoGjoS57cO14TA6NKdLneGJDBpqj
VM9Z04qfhesO8Un3xkZ+XyvHKH/KFZXPQDqFzW5OhaYuB+Q/cexJZzqX30kwR++DUrTN/DLoKMyB
3E2W6rwim4NUZqXk1R15kqCS3RckMx3BvCVfj1vnA+EtU29nmpPmwXOlOfrI+brqMWO7rpVvJLnz
bwx2i8eZx/PwlIBdEac2J1sOZtnEBZiAyRyf9I4W4t2oiXn+aiq0rXzRjHMdYj+ReOeioWlAErUm
ySkf7cSwDm2l22wfy1iccDBTB+MsiUGPp3EN3k3TqGYnzUwUOyO98+zGHydL/VgW5fIrV+tqOlj8
kk+FoXhDSAgzdd92p0k+rrHUPF5RJmkCruur9LLDiriBCKyybYtDISf07WkvV+khbzV8pxU3ccS5
gV/ufSN8VlaYE6WUE820ZY39VVU75TA3EMLoVbtVfSr+j6MzW5ITx8LwExHBvtyyZNbusssul31D
2G5bbAIEAoSefr6cm4mJcLc7Kwukc/41SNf6pVn6QHzvkyUZq2N21+DaHaE7FWcTRcuF1Jr2eF7P
ZYNRmsd1+gVqsg2Vk/RccSLgOPuhOjv59zcNYItJ4TDZnQiOYPoehHt8pb15Qfojg3OTuexN31TZ
EbfHK5tFcpSB7tMOqaby7L0/YxxlWyQyua8f3SntBK910CUPnCBIXfNoSZe46Hq1XQRS/r2Mj0zO
fKO+hvv2jaxL+nSOpMBq16irxail8zAVvfw+LW6wX6QbzLZMNrOdZZ9ONW031M6494bmuLjyh4X8
zm7usSMGfSTOr/ZYEpdWu2E6i3EiCdzlFWLEEnfsVafRXy0oKkIKFNrZgbR39bTccqeLxdA+RrVJ
PPXq7AFX7VHQluj5APMxfMSwp+5DogcvLGul1tSwEjciYYDFdv6k7O6Rx8VRRPpfaOa/re4DhWHQ
P8/nWBJH/8LuPIa/G36jstzI+ud52z3NDidC/lNrNiIz9cwWv5016tOy2zaWIEP81keKSJ53b3GC
jzMMWnPvqXqArPGbI7j3xKaXh9mnjr5o0rMf89ZdszcSD6Nv1H6fPyNmWTc3aidUctzOOcWb4p1D
xVscLEUfnyL9RWec2xXOBueCI3WwZInPfXAf2CH8LNm3AEpWL1P35+hQEaa8MYhzgkPOtJyXadV5
axziRus0M7J0zGnSYpqn/dPWe8iEvMagbBi62teP/RSenAdYxPIOfLIrTy9Ymny6FfvembYXQdFM
c/gB4pG1l6lNdVAIOY+qUETrzFVnZzRcQdokIaW1fTPmYyrjkzo/yTVnJT7ZdR3dOA99nf7L9lX8
GBvixPMkbOJ/7pKJ37FNrCyOjiiqIFtmjz+qz+fIuSkT3CHaE2aOrHOqOQvFkPuziD4OCOF/jdnl
XjS0dJxFnO3yZ0+Le1PMLcdAiWh8YvuZu7G+t5270f06oSD2g6GNUHyCqJQ6bJn26YYPvTwga+F3
ZJxD5T0ks8kVCRdf44XlJG99E3eV6YfEQSGXDH1x4B7Fc3ts/Vw6jl4dztJk+zwecsmKGhTjydkJ
v8t3uXlrpcJTkIzOkOnkwXregr7Ds96KyV9km0u7jV7Rspw0xTEtWZKTr9h8Go17LnlMEKG97uwg
n+K+uUnO68jsF8z11FYzF+gn2q5w35pwsx8Ygdn7jlpZ0AFlCLgWxIR83fxumoojCfs/rGcTLmFn
OZc7c3v3nnYaNrzCU21LHdqe4STOztV7TQPbE4/gZvurE4b9VrbnScH6iFzq6SCN5hnbxMCyygFJ
aKFY53/+2sVuVVMPNROt5ExXLTmjS9RS3VokZP9zWRrSVfNBsBbnjslgTm02kqm6xov/z2mpWS68
lRiVgqdsWIqdjNcvIZ/Mq9B6iabS7mls2bQnkXo9oEWS9+0mv86jb448NTO3Q7My0Jcibr0/MnDN
Xm6T53VlB/DIZxFdzNWMkOp1CwxtWWPsNL8mX489tt7edXIWWtTu0TYcJROlFhfLcvKM1AoUlHjb
iIXO4HioCK+Kd1JaeywjaaLj78fEkq1TYQR7b6zf4cnHKA8iG/iczjYwZOW56CuPDmlgbVaiyrJV
8wvu1pQBJ7UNO4EXdFvNd3yb4HwaBJpy0vF/iXOzqEr/bAu/TxQNHSfvjeu9982a3jbb6Pfcdt5P
06dHmS0nsTpuPXYv2w7YwmlSp1+VOJf2sgQxF26D4kflCt0NGMhkgw/CSr0BK0U0s5aDHdzxmo0B
B6XyZL4eqwnyLlBhUo6+PQV/9yErwplmXP4BSXU5wqXmKD0rpoFvh2siX43n1fjgZIindzxjZtCE
xomboD4+8lr1Oz5U4e0qT+bOFwQITlKW3pi6L3G7apfL2SUcEsl05hci7rL/wmBq8bJx8H20fhO1
eVwnZC4myz59Zv7RxFUHtHvmZ0wnce4zDRyfES/WCAROPpbizVVFoIOBFFF9Ogw986yOImkHE36K
axS9fCOef8HdD8LlSTeqy6gd299MDD7OG7U5/x3T2keVGZb4beRSlsW0NTP7tZs2/9xOT7oCfjp/
Sn/aplJubG25bnCmFZbuk/UN4bKQn5pEm/VlcgP1kOxx+9Z2S7rlU+N1zxuX9HixKTLfh0ErPuS4
Jd4Eu7DVcyVGWVOzeeiu6Mw8RAz3AcxjyBx/1wMmJgWB6/jwMITHdc6zZadCAkg0F+Rsw3QJwZ3O
C/ghS8tE8WpOj6flXp/2uilC4qJ1ISI8vBXDxdI9DuDMbeXCqGRf3d3W4JrxMbAoEsN8Hk6bVoq8
S3b+Wcu+8je3+xy3Tuje+7wxR4Exdtz+DI6LMnoalnB78hQQ/3294UG4q1tLSWjGLDCXVN4ub3Ng
O2AXUpoQWYy+AhVmS9aFOteEHX32w+cTNt3LzUjGA1rrOPKvwqx0QZz71vCP6CQU98wixi1S6ViT
uwEJGQWEKVyTN1KedDcbEuKKtI3w6egm5E+H7dhn2oaOUz47jh11uYchb7BPxZV753aIANtljvsr
UehdBw2C5qjA8uhmBRv53uYQ7M16lWobWb+y5Yg+kqhL9kuyggcVg946mQOHav1nbk0EoeCwexad
SBNZjmlEhmZu07FNeQDcybvBwf8fmjb71bLT9J9T6x/vyNfauZjnmP/UqKnBeG460PXrKDbnTYPw
+rla5NLCQO1TMhW7dTzMWFMd/wv9mQtuJP1F5qrNWIFHmq5575H2ONXBVmQK66/+/Zxppa4jsot3
geZSFrvAzq38aLKXOtqW96XPep2fPGldObDvSbJHIHQqbnogw2Bam6QKE5l8kvS98AI3h3YvfTxw
2nHcz1WStU5fQC2cX3zlpB+ucNLuIRV28159pSTzjc/wVuFOXpecW0UFzzfUVlEAeFp7nyDI+tLi
2VjLY22QjPaSl/Li2Z24cV7p7Siyht33HhNK/apcLVS1zZH3hTs3E2Ut3fFjPbZI5fYW2/LY0gAa
VqCrrD7ZEQRfBtDSNp9pCP7dJzRm0F/DIYCBepuBI1rBH4q58YNii0N1T9+i3QoRyu0fv3vn77Zl
45z3zAP/yLtkuRmnzg65u4QGLkKJ9pYbBYdwybpBdJXu90xU3XhMaTEk6/BnCuy8VjOJJ9y/9txf
Jh0Fv8Pb4pOvlvXhyjIgBUTxMD2MKbt2eaaNX5fHvG8/WjnFv2L4wH+1106/ROaQCFjXzuLlrg19
U3G5MFV1qwQMWyWBLE89jUsVFYHrVPbgAfzMbHX5HPXnp2FfF1no7ow+87tNTl7mcHwPVTL1JJ40
t2TbZo/eJcuOV6Sz3ULG1zjZCj6bnC6iH3dwwzXl+qoJ6RjzKbSNqTZO6OfbW/mNAKx6KVLcZrKq
oTLsJQboeVMmuaUkRMe3hRYhU7a9tOru9M32ho5lbMpw0fZVrdxwVTpOm31sAYXPijWLX1dLgENW
yN2BCvLpxxN87XvYFTFJCEuhaxUcxQxEMlYLXT46zzaUZHlkhoZVjYBivudmjNvC6tC+yO0m95LM
voZfapcpoIK1TcpkUWnZDTuhOzEBjBewBF9cQnc1fzzu9LgSpxT3OzFhfTkayBGIuZVMnKNuQD+6
cGouWzjyDY7k1k75pNrmbZtiMHWe3fFj8oxhVjrioy8kIY9zrrdpfLWqVaok07v7BtXutgUst/1b
7yxGpRiGJSrmvk3fzKRUclVW1T+zyRkeDmfR25OIw+a+jZo1Zrz3jm9ddGi/6FBWGKglPZ4lviLa
t3XbdPe9VUl2SWsCmosI5shhs9PNA1jLofMI6vZBhWjEc3+xy1Hs7to8okLql2KI/Xouey6aB7Zh
ReJAsgS6lCudL8VyIjgp1DI3N9Qtm1w8BOCaQKj7BJXbi1tJiLLi20pQk6oieCfmMSaxruyFo9+Y
p6c93wP6LPOj6X0M31jO/wV1ikW49yf7zA9um+cocprjoT13Vn1fRuJXSg6Tky87IHRxq+V9prC6
4+ymMvvHfKYg6GlrKD7r1LB92OV06vyUqaqLDWzivAjMc++uwePpwsr9qJvY+RYKt/5Fb8CaMvf0
YNWnzTDqAr/2OQ7hyX1YAjFRQ+k10WPATLoXQXiO3+wi6n+GE/jMWaL7TyE+0iAH95+23BC06hXC
9ZwfnXHIOO8zVsACGbXtKod2NPi9YDJ+LusxHQq5OTeBXu8DP/VzRsbRHvMglseOi7AKtW0Z9c45
ivN4m0nnmTKRtCUW8m0t0yCFTGQ15v0w3XLAjDjRKHMsT2ovjyViF3CX5gweok05XrFvKwjRHO7j
a0KLFo5bo+n2IkZM/teZbESTVEvzkezzIS5nlDl7CV601/eOWEb/xUE8OlxEDNjLdd0mTwRjHz4Q
jmw/vI0MQwZff5KgBeyJ9Cuoc7944eBh7Ypdbsp593g3EnUq5s7TtN+DmcfvkjSNVvlkx+ZvqlJL
mLinW/5akTRh6UCX8u9L/0jvWjaa9LJFDQia8drgmoXN0FydAXLhuszjvL9o3KRJ7o8HICC8x86e
vDDJVjiHVFowzXYt+xtn9AXdV33c1Z7eFHOI733tTNLYK9g1g+wqm6MvE7JrzKcWQzBvziCBbW8P
+hecTgvJ9cOxeFwSNIoPvPDUvoEEZvY4chHHx3xt9epXsgmVvkzzRqn4uaVzn4MgZO5dHA7Rd85U
Hk5KInqevuEQZx7EW+RwwTOUYEtfzse5XzQI5eHoM3dArNpcw/KB04vOdKQI6jQrDjduVeF3DfNj
xrI85PWYEbo3gUx/93lb69IsPs0Tk9mo8uLR43+V8PoH2a3Zm50cXmckb6CP+2hvBq7QdL9OKBym
mhHZQtWI0/fuOm85LVNdVP8KZEYobWCGzZZu4jQPCek733XToGL20oU9AXVJNlRdfOiZsR7JBTo3
lwDuft9bp4BZiN4x53Z7QXxBb8tt88OPUQlDuI0K0mcCGhncXe9YnuAvJnGFNPTkQ5pEdf/syHMV
X3GZKecOsQlXvmfDHeJ/9s4fWbspODFJ5MJjpNpOf+eJWP18iTTBGR2TA9h87R8dTffxDuEXyKCr
2mZOOO6Tdk8v4qghuZwo+JItdeNXxowO/3Qfty7R0GJiQHdxoz7fBHbnywEAI995DRvZ53V2+Ofz
MHqdfDu4899r4cvzjfhAvnIisVJZwfBOv8MlWOWFj0VFJxUFdfBp1Tj6fvTG0+q5Rta9XQ+/Wat0
Z7q/m0bJlThbolLycAnjn2YKNDHSkpfubiJxPbhzj3l030LkC7Y8Txmu1ZrGC4cyuTEnx6C2n91W
ypPCwB3eKLfe0kTXEeDKy9UIofN0ziAPecjIqqleMvxvD/JtWcqJfYrufRj15GNIEKTgWMp28zob
zS/UqNTX4KVdNL11a+PIwu6B6h6pPsuCy0zjQvZq93h3Ljqe9rkiRVFOj01KlV0e+FCod5Ed3R2q
OWh1MY3hMT017YDr9fYlHY9jZqP460FUvXnxeMIEswxkXvRmo5XyjArp46K6KmxZjBkm6Vl67s18
/hlPyb21c+3cLalfvx/gTliPdgMXFgxbmuRqW5a9rHux/N52aL8Kbqz/aREINRV9akNW7vE54jfW
zfCyR/Ep74WzbQVw0F4ot/nMQr1wpvWfuG/e6zitiyxelt/DsS33nGjRB9W9IRslHZw/LZ4758U7
QpbdFQcAb0z6i6rW+T05ou89KR1Ejw3zN7Gnbc4jovJAbhxcZdhP47VdxPDuaRPGF3ceNFBBY34m
ocky7qqh3v4bAq9/iV1a0lFvTPGWh0pZ52HL2nQq0OWAhXbLQnCN3qPsr900VAVu8vZOqCij0dAA
XNW1SP6oIBThhds/C79MyTn7l4ZpzZSyEz3Ri24f59Hexv4d3WD2CmkePIJ3geuFk/ziI0W9gG+k
Y+60zf4n9Ek3X5FGcN6Ena6WdO72yzFO2lyCNvPtp06SG9RERIRUMP5j5UYNkWzYx6IyZSuByEm6
6Fc3NsAA6XY7XoQ469/Q2POvtDs/ITTPxrJPKIrItyUbuTx97HX56owozBzlJ9UiNODoSu/4VtpD
71f6jcOliLUrNRWx3FF5Q2eqW/LoZFPO6boMDJKsFtrY3eW1DVkWKJzYPu/1sd6vLQ5flqas/8mA
IF9QurqsYPES3S08kwHb2BagzZxFn16GoW3+kdYVA3Wzzf0IyFPyWM/S888kcCsURz23f5OGX0oU
2UZ/xm+a5Mjn+gbybRtfusgkw4UmrSX4UGc6/j1m0wM2uxpkOtHN+Z3kXMF6YG8AUOS5zlMvsyX7
OFEABS9dMO4fjV22EaRRGueuHrahQ5izZAfHCuqV3EbOkZRSObz9qfbhCxfUxNegtkl9UW7SLs/K
GY4Yuq+J/jbp5P6HJFasOW581/1yMhVh3wnao3s7BxfrpEz39C91iLw5ten6ahzN2lyjI4F5XRjC
npBU9Q9orDzyTgRqjpDflQOPYdZKR/00f+ERZAGcpem9i6vd9SjauFNLdTD8qhJT0qT/6rnZdrQ4
PpeNw/nv3Xn4mIA0FSBbGcCW7E/nYpTHf05lyMe5oMW17VKq2tladMOMPkbrpfEicRQIhMZsLAYk
IH1ZJx6dCkNmGOEXG/Op4prtb0iQnV227AzZtdk55pupel1L2/SzU3idN3+PB0Q0+dGGG/kiynZp
vm+iRtyQBaCjAUEXGcNNyGWQOk2y5gtaf8RgR9y3D2LxMpObeY7+Onof15fT2RnuQktKJFIUeoB6
Ykn/UA2mp2INF6NpHxPIZ44U0Wp5jnpw8vrs5u1hsPb0L7fNAPDL5SmKDxD3nFs3rCt9cnvlmUko
nhOzVRW0A8qPTHcZkqNwaxkcHYCUW8cSipcOdRGL9KmgMmYKUJeHeGpsfJfg+dOljhZx3g+iD5uq
5YeJLrsJ0x3SJxqbPB676Lkx3fB5bszynYWmZuF23PGLqL3onrtGu2VmN8UmascbVL8Nzv0irZA5
Tuupq+p2Gb+c0Li/O3NmL+EczAdzzNL+04yUAM4wsFMhNgh9gG67+3fJGTB7IW/71Lnn/td12n7P
DeK5IJcqk4/d1Ol7BdBIAgtc120y9ShploP/l6VdIjwMfPl1SmTflYvyoN76VQxe3sfCTQov1ebH
0Ehzz31vHyn4dOE2w0YMJafTZ2Fd/h/UyYGl2vHSckiHkxjmo+GLT2oXOVvsTUeUQ3+cWaXTcHnw
u+F4D0mJj4qpridTtcc5PBiYuemBxNEhJJHb2SJMjap79cXR7487dYn/2hEZZY4rn2xaHwIsoNzY
W95Pf4ovKy4f1AQ+yZqXkYn6FnTVdqwmjloTIJO+HnJtM4Zx37Tztyjt5F/OQwQgvRiaVzd1m+p2
1dsy3YK0/psiCbykaQ3R2nnRgFpE1ct7TQoGZCyDcXqNsjoayl6OnAXc5IQU+g0CIl6aIeRCMyd3
hAmXY6O2AXcsYgxxXHY0+0+ZNdwvoNXDWpB2bNsKiQe0sTPtevjSd974I5QgFMURejL4f+ba8JRM
QsJq+ds8n2Xb+A0kGvrKCu5HD9eVnxPJqY4imYM2jSP8PY9xFS1NO5dDrEL4haBjaTCWFOyrYo0Y
X3S2ucd9DVgESUp5qlJn92WFLu8r3YhueBvqHj9Tx8dldpD8iJQTQYBQQuqGd7qtdc8vgrTLB7po
Jl1Etg/BFx1UCk+rYFUquf+Ed7XEzrFtR4eDZEGOPnhf7AzuXY/ont3/JLGm0D5xObnuhnErh0Tr
/0zfi5oPnVIICsyPXHdj+fkdJ1Pjl1DEUVOgJAzcYnDr5FcUGcIYDMR1aYTCbD/1WXNJKCJ/GsJj
+cO36vx153OeK8US6t4FY5JAnSGhhJ2qBUNo0vnLhsKwm9bfSKzZ2BGQ+8/0utuvK6/TVLS1sz+e
zOKm8sbO/U2u+fF0krfVXA/HTb8cmE3C3B+GbbmLN8s0G0nd+wUvSjdg2iWtsAjkTjCWRkUKkqXq
iUFhIqaJBaFO3m10Attofw+yu3Cu5/p1HULR3p8IOuIiCfdDklqVBBv1gW3kX1pndrkANtpES2XJ
1YU1HzL3esYxHN/iDeuLJS5IFb1XrxNPKOr8KK/d5IAuWLJsv4a1MfXd4S8onnRHAXU0pwwkfZd2
wT1LEFa2jbc9KjgrDwcjO/DfxQ5d8EJuKAIRz59br3RXC7gKGLsluYiMOzOLj6b53rRt6vy0LFDi
OgGKDQVP6LR7VK/N43HPBRntJRpV8DyD9CgpKZ1FkR2STZVctgTMsziOKD7uDvJ+ZBH3vuXKRiUn
eKZnrpMplu6vDFHr3y7S/sBHqNfo6rGEJLd/k7u5O3kd3+BSu61YnDrl31SCkxqhjfulFfGBQBkL
VJeHDtyKSVb50dVoy56JzRXNJThG873v9dIWR9vFwSVkN4OmoZN4u27bYjgCsqT37leH+/ratyTu
PtFhNzsX9q+EZlnorOTKjAWK2QHiuXd4WBynVMe+PAZ6o9RhrDkH0rTn63Uc9d8+xPF2TVtdh0wg
bW85cJxweYoNv7xCqnb/rCVqTnChaAnybLnJ7B1o3fES1bYTn+wQ6KyMtyDcLjF3RPLPT+bkHUts
bS4GDjN56LJ0/R3wXoN/SB9Ebo4px8pdAFty8qRArWKXURYMT8uzN7vdY+et4aV39uM5mxuPcAGu
hJeJJoNvSCSpubcDlgZEgekaPG9IHw725iD4PCehFcWiyC59oIQ1/BotKvskQ3X2JVy/pLNxj8Y3
TICBfBTIP3aw5caFH0tr527LFLBKbCbfrRIoR3aasHs/N6HtN9lNcX9n+YlfsIT2BLnFCGKuTu/P
T/iBkLqoHYfETSfSKa5tnLpc6rGIS1Seh8jDQ4fMujZiMU6CFbu5ExLNgTIxlDBJWa1B0YhCLQhF
Ff9IiMzOa4Ln6Cy7zC5/UMWiBW7AtjXURmgvB17symub+oE4XD1Xe2Dab+ca86zd2Mwv5ynY2yFV
b/Jx0Wi30Hvb/jAOsG8ecw8jdK1/DnJNniCqzWekKOd/eKISfAbA3CA0iFxJL2l6OT3tbYjuZTz2
sNraqHvfZg8Y5uAmLF1Et2c+w+x8QSez/TE7ykkWgy55DeJbUfbYEFF2w/Tnx02Y9GFtpuzrBGX8
QjPM8HfNNrapleiUh0710Wvr7/unafG2D3cOMoaObD8+KT4cQP8cDd87xVBvdbSZXM9L+Fda3lRk
W2S99SKSj1JZl7kLG14ZZq55VtKFSuQukVFCq+xiZWz/eBvA+7zfxPk6kh86Zfs5u4G5ZoDy8kXs
FioNTXUDjqt2i9WlN+N8tV4y/p3NENzrOorv180dv63e6j2KcHWgUUNWomicmzKboPqi1X9GQLlV
7NHHZ6Sn/zXjLvg++DBjRzKRM3hMFiQzoWSRtb0bmuwX/jsiProb/zSrq5vM+hM6uPjb7YW+9j6U
nmP42IcN27sxEPqajumTmAHA/fAMc6J8IZgjNfxAyJu9wP1esmz4PA6pD73JXVtMWXjp9nN9FGQ9
jO72E4XCX7kdSBHG83FCopjzp9SOBrF5Wud1+lovBGcW7YwS5/jWzg7rFWmfW6HTeZ9KlHLxt/TW
gVVFyRoUI7vmc9TECRrxWS//xbH140vvDcmzXQd1f6zxKoB+F4USPp0Qj7T7C751nm4wA9Te6bit
Fzvt01Y1XX8SZjN7SRGnffShfet8thhA35cUU0gzieXT5IzivwO9OKMVKQ6/Yhm63zcWip/O4oRf
R0d6n2Czp1d3HeSDEs6xlm7TBxfBXfHkTbusMoDoR1h9puTt9OW/CZklQpvJNHkaznG1oRyCf/ez
l1NHN6XRritw1uGn16ONyofM6x4G+OJrikYawoy09fd4PNNfmlv/wYcu/ZdJFEfJiwdPotDyb2DW
zDnqglLCPJNaOX4TnmaKT5V6BCrDti6Fnd/8Wru/IpwnFWMA5O2uwOsy6/9wlhCpqO39aluX8FvK
u3LXH3sLnbEDZLb9m+DefvWSgL/KWRL/d5vdTBcmEuj9ovOBM3eAPfTHFal71noXyLXkPRNWPjEi
U+HL2ZW8en04fOdyTqDuav/BdQj9RARx1hOddK17NUc6PLojymyEQ84IveJJ8zsIneazifHlDG3n
vCRjb77YbvFNHqzKv+yz3/509jr40R6LMhgulvOeYc3ZsY6E9RvZAfKHIc4H0bAXtn+Xpg74+0Xd
Ao2o3f8JIKC/YEiaUaucMc+cmQb+ng6C/BUFOCUCzNgiu/dk6IBFZhiYOEYIrTlTgW1gP3jfxIQ/
Zh5lWx2TCp4RU86PGnnko4+AI9fJaD8ZcsOaAnme55TRMSKETBuOuoE9sgIqnF6zuT9h9EEQv9Vi
bT/3kN5IS13HADeLSfzcznrc8FshIdLWmf5rtlWUK9K4NI91lLE0RC2tFF7XnArFYBg9Z4yRL7Oj
sSXF+L/+wKugQAzC1H6bxgxPf4bDC+NYfHNiPSALXfdfrjUQ4flm/UbdMYl44edAu63/wAoGPGQz
x9n+TlIdbg6w5r4HjVpjtOLY2H/UOwr4u16JQ/5ZmnnsPnF0BcFTP5zSZctL66ViWbFRkW5O/xX5
YzSgSOlHT1aIS2heVuswWzaoMfaIH7LzIprC2LGPJn6io/cf8Hj05z0Lhka9d6vixOhjpvTgOggn
dPSsmI5MvyzqHPQ3J24Q2RXQ9q29tImqk1dN6bn/LCSK6CqKRHqPEcb+RyZ2K4vmlFtz17AATK+j
ZFK4IAYyxr00iydT+zI5sUrmy8py0YnrmgDQtXmq9nnHgZfNZ/umFGLcnctO2/THCN8QsxfBvWNo
CObzxKQQIVNer8GCiKPFNGcpDp1OqIYKXWyKakHbWmESdlBOuE/DhGiRojkYGJbZye38dUbSDZek
CoOyzogyOOLGexkhltI7X6665puEu1F/ONN8sNPDKm/X935NQ8d3udrduaI8a/WWpzvS3YB5vd5o
yXLTNT1XmsdYkd1LkraH+Lo5CfdwupEy+YIKZtmAMNbA7ekCxTHwLfaGbbzfMdYlcCCM2Q8hCoGM
DdYcRxEKvybufECHWbWI/PqnJkx0XfJzt6sLaean5oPfRYPqPj7Mrw1/rfv1XDgYf66JKw3rAFXZ
rDliFdL9QR62T9CMZVDtP8eb9paXGQLXv8c5PflXAjMWhPHhAhfDM9DP+KDMINuXeIbCQwO5ukEV
wtQk12GqR/0vjsd+hZhBcPyGiaEev0/B5kE7H74PIPI/js5kOW5ciaJfxAjOw7aKNWqWJdnyhmHJ
bc4kQIIAwa9/p966wy2pigQy8957Mlgl5amuhVc/rj2hV+bkrJTx9zW5o+K0rfGKqEZPxk0RuI6i
zu0xm+ZlCt3ozsWoUWzEO9KgPjp+UAe/KlUnzgMCp+XrnWZnto8Filb6RpCFPIE7VCN4223MmucO
p3CC7XEIijPhyaTYAZO326W35PGe5qyeC8T9JKCd2Bx+aLXj00rLs5MudsXw5M5K+bkOBCZkJo1j
1DyxvYMDeEtdLBRDLCJmPmwsm6Ynp9KMPnalI9sy2yt0iig68RdmydlzkxZnMknkpbsQXV9Qi5MJ
6XwXm7EsATnRMUe/3C5dvD9hExeEQowio3IgSSwKJE7CTzdUUDFly2ksKXoOgl/R9/JOzaE6BZad
msGFszylql7qidnQ4Isg+C1ch2ckmVvHd9gAndBr7xyyWlLDyiqoV8nVROt9oZnU7jjZnDEv+D6T
BbffbfixD5xB4L9gBF94H407BvI5wiHUPBVeig4uO9VN/5YkioYrdWYykU6qsGrjBwqb8uopQO4n
xAnl/MFkUkz/JjlG82XwGdAecPVWBQ9taeVpSRbT30NWcDKm600mzkqug75zhqIoci/BALrPTBiE
v0mZhs0BbL4xzw3+Jec4MwEkwzoQu97ZJGUkRvoYxboaaMKZ/pVyOzilL2KeUh/KTu62lfFzr+l4
+I8pE+7yJzWikgN6t7MG7jXKZL2YI9eJj2Aw1Unt3LHYVqccA6x+QMhuoapzXcQDfnaKnNV09HLD
Mt2Foc4EIuusmjCXSehYxXREWe+HsyI3oCrRhP+IN3IhmG29QD84rR2SU9ShAb2btWdDG0EG/vtN
DsZHsE7kvO4MtiB9syHbZs9SQCk/SRc35lKOXhBxzJFiHSHRRQ1hhkyo5mD5UBZ7LiK4tT9GOSIn
+MEYNndjIVx8wUHpMvE/pEyB5ZNKmqb5Lbym5F2lt/e3Lh8TorHFkYKn99VxabxRiMtArKifTh0f
iRUfsWI+/+mSVfEtQ1ne++cxjeYufveLgDzzrmIZQ5x79ZLWdFCl7NLrIMrhn+YoyfZOp5vsGJVK
E1jGi+9up2INWnMPkpzo60YHpZ8TO3Jv13BoXhKjPRqgoO3XvenA+PBmzIE/f42Q1j3SiRGiQnys
R3aGPC3ZOLX9ngmo09wnUeuEn8k2svuTpUbLcBxExAKHneAsrlzi6UTuLjIOs+K+T2KPGUTHCr3w
6pC17g4BByYnLT7G7M4y8B8vWBUWBGvpD+OD9EXbXhOuWMQbg7gx7rANmIyHaTPeMR6YxJ67YGWz
InmYYCp/Bk5bjmdmkpnjn7VnReC9T2yEt99VEozVz6GF3BXgP23WWO3QGbcZ9xK7qoadntsYN1Cj
8AStbGSoDpFmnuDTNppZXecgYzB1MGxvEveD8gjYwERqk3k/w0StX4YUYXrYdek6YjJGAux21pnq
7M8EJHAuGcY7VV0BC4SRfQynJjT+AUB/HOinNFqG7UKiWgxf5CEQOPgrAudFCKac916KebrKhVPS
n/VmXYpXgtqKBQOGKUWxIxuMoXn02YV9x/MVtEhEWxmVhEMLZz1NVKx/oy2W6hqqAviEo+MFhSSR
mfixuVU2/aocbAQh51qbiSsCkHIYQSKIjRNpj7Cgr2n5nKq8Sg3yJrWOjPdrmbbtieZcEHvoor77
7gCHVc8xkIv+Hy5JWf0LzG2HJ6vkwZHjaMe8ZinRalcS1JIRmU0yg0Hu+GUfMX6tdflBpqFrLgu2
1PEpxn9QvXQeOavj1oTJcDG2UdRAG8Sn7hLU1FLrLiFFSKQz3SIXyRhr3R89KC4l0HqKmkebWfT6
2AnlNGTFVWb1qYpcrxzzRqMNnIltIsIXty1td+7SxsNB9pP3nx26rn3Blh/NGk8q7961x791bXwG
o5TmxH9/jUuWFt+40hfj7LoFB3UucYElaR4XIhFf7toWmz3bskyWj2iAXzHsKh+Q066EUgLTBQ2H
wX2qyzYC3Rul9Ferv8ZJLvtS66NAapWf/cRwnTSk660/sVjogXAF94/3FmCp4WZywnqc8iHEbvYo
fJuiclnPLU8uMDDcL6EwDrMjry2O3P4crJphOepUKh0kRa1QO4+d39yMYkiiAQK6u/oXz1+n5lRQ
MC3nMaG8bygBm9b53Bht4GStazf7GS4jwIY948hCrbslCZvuLyV9iVEX3CxdSoT+WtzbQCUSKgfD
1VcknyXYN3i1qbjQTIfnEsOV/SjxfMGocLiu8zF14vCb+0W6J0OmDLRqUTPA1hUAgHoXyKiQxzqr
fflIzNKpD6myIvxbJG6i533o9qE5NtC6GmoS/Morv2AZT38YVrEkOIR01ew9J2QCtCNpR/bWRp2P
r7usHfgBS4qC4bhaAZKbBy1YOl0Mc3Qrl0vx7iR6xWQfLXXTH9WkkuqfKjjOcIiWa2feiFun9sQZ
D8echmctAYxTIHq3zBhBRsyBtCS+J4Lhy25DYdxcdJpaYpk0L0g8aJu8wbk3zT3mGlLcjb75AaZk
qftzPS4unhN2a0BnUHMb2LdQZQT9kSZicUeMmBbKSRrbrBSR5LZ+wxKZppOMyJ2dVbZ2o+JJFs76
A6QEit1R2JlBjI00qaLTQNVT5WxR9T17dAyO4lObljS4fNUmOvXREuOexLjkB+TI5rXAED/akmCd
Kfwuuudz3+zjslaBOIZK6+yLDConVu6mSrELpax9+ybYdvuJ+yv8FKG3cosJzET1fbNEDP8O2Eoh
MUT+4lV3nj84BL54zpsJv4hi5pSzqKjb7lU1+fNPys9Z/vQN8Wt2BHNVmfvOdQh8UoglU24XwuLd
hed9mNPcUlWRotUJF6hDC6VV+ua2ZCvSk3TapcQtWjQbi6i6AUZ4KrJ1Psp2tuqHH/TKGMykphpC
xAaBW/PSVniL5vNMKqxRYIq2ZXzyEt7sgbH+vPEIiwnowg889071vNEu298tjhTnTwRZbv1qSxY0
XkYO1nrDWep62R8+1tGe7BTjfyIsuTZl7vZCrdjrZEoL7bLwYPuGV0a0iWJNhz5vapLhCUf8qmon
2EVK0fDzHErtyB3Mi9DJUBtxZXN7c+HG8n4DWTxPB8aLyTjgZ5h1HORhtKJUn0NK8eadXQojTnLc
DdH6N9vKyX4zAnDVN0Jd7L8uJFaTf9XSGv8/d5WzbneIoGHnP3Q4p818KNxBDyfp1jPv92wynaRc
UqVRUe6tIwSJfYLJkzRL56q6O3XM98Ew+GTYz6jrdXhadTmkL2OpPX0H0lSq13YQafQ4SacYXick
1eaXHLFyHSuzZeLRRX2Ld4ETNuzcobWv/0QM+4tLhF2ae4Rb1Ms1S7PrvVuFrGL0kHzC9415f/zq
WmpWaCfBcPs/oGnfr9qmwXSzTFoWdE1cIQicY6DD/q4o3a37GUVdlL2SYSOvT5/c+kPuCU7kc1Y0
sXeWTLTCQzJyAt0pngt5AvYU4OwRLtDgtGIfRW5XMuZXyB2uuUEFNnqQCAzDyqFkZRg848PZwnPs
gXiq+VCCZVGnKc3wySBzm43kTmST+qp5wOI4JzSQ9BdkKOlvcKdDJjlLudXOoUesiRR3Lu4xmbOt
o8LuNUapM33Bh+m7ZW8IS0Ljt9JZwzthvGF18g3d6v+t2kr8GH9vQ+6S9O8WNXaHOzNw/jMB5Yhg
l2RcrCdsk6Z+jCRRG9Zab0F1LLu5jM4qZFRVgZ2gt7jO60aoi1z6uNzsqDHB6we+NdfSFXu9wAJg
SulfSF4P4XHYnF5RfPQbof+RxFr6QA02eM+alJydDsTvXfIBnKzLg2pkPBwruS6RwDmSufEfSvUK
jhipX1qyuY+HPZI2izLpQZfF+aSBiFaeaMxK6z4MsbLPOVbLElp3TXBDN/fZWtUDzfnQquDTYTYV
vsiWA+tSrUgadwPeX0KB3FkaMknrefk8xGnF7LAph+a6oIw2MIo2DjM2r0lm2uBhZHXc+IfZi65i
O51mEFfz24Rh5Ha+jUESf/SW9v0/QAmpeF/ioSO8VfhrQtxuQDL9IEDjQi6J8c5+6DELpqOsh2z8
xCJg6Z4p7t362whXixeMjg6FHJFEXmPcFr5+cSzkYnQzr9py7JVd/5L2y82y4kmP8n9KFxKSOu6M
k+yyURYyvq/GDjP9VGLjOG6q0cvJgnWpDyGQiwgmw4Tf4r4tE1K/Wbiu/Y8xDEX2JNoNtdGohb/V
pFRvXs4St8X8MhUfr6D2iTh7T33DnOnaMQtvDxGffZbt27XMwlOZpNPnfAv/k+nMLNYRHXjmT7oo
6I1XxnwITPRyUFyop1kaeJ8Ikn+/izSsmcXT4wlqfh+dofnYoBEYKjbMsi2FfYyDE59aQXAQb4Rw
PjtYpuoNKUoN72jE6KG7cZkr84DzwGy3H8zIdDQZSRN/UEyway8b7PTkVVPZJgebjR5D50IFrAbB
vkqGRQ9uQIZd+so+cm+OiFCOIs+BvXJsZ10hrlchPUHTRnOPXzjANtAw2KofiyyUzp4AqJr+rHbe
xBmf9ljvyzoGeJBS7uAsqksDAJRdM0sUpbuVWTzCiszSdXoIq6DL3lcxZrh4Q5G64Y7jq5L0Hz5s
nh2zsTUi+5JKfuWUVGlek3lL37eBZD3RyrrgWDvUXsPmpCkaFfHxUSYOgbKo9IYtH92iS8PH0vOp
PC5tKNnVHMvRt+IZz81SRa80VgG7qtnCmoRvTeYG5rJOHcBpw+c7kwW2WcKgqamDI1A813/p+qFW
L5Fl4v2uYCV4v9wU0fNYACbp7sgOw2/Vrh7TYhdXURGDUkhE+mgW1fbXtp5HIqFlHbLF5VTZ0LA8
cQog7TdYcm2Fs3a8bShFC/ebntY+GrpG/R6zRfBhVJ53NWnm1E8k4ASt4DRSyuQDIZDh5GiBILzD
jEioL4/LCuEfpa6CS9DjuqgIdbRTQttKjKCYtgOKL+PTFM8+fZhTx+F0gOGksyeGun195rRBgWLg
5/jp5yioen/ZSfqMDfn08PkTPGQkRurXC98Xx1Iu74itY+UCv8hcGQkocfmVab2aiyZsGuYN95Rs
9nU5MNBMWLrkv3YFziS1T4am3D4V6AtAcOyEGvEnYPIueLSCcFj0IZN4SjECVo3nH4AD4ZLrXZ3O
zxsqFPN+TCoZljNngXOZ2BJzOSSKrj77tVJ99XDD3EyHbtoszqWZNmx4ahkKuPVludVlNYUEIcAh
X7Qa8STh1YyXtLzGRtP7PQqTEU/AYR+p5R+dMOnIPSrPzWk1xE23/piMBwLsyAZ2b7ij67fuf9ss
Mxmwum+qfOfoh2u7sCBoGflEtw3NISefW9iXTlRu/wrQJY3NJdmCUHRXUiaqeSSQ0xxHmu/2Pwbo
TJiQqTDdKWKnwEN8b3nzTLzQvgplvlcCYdyX5WZemUukyckdx/pvVeI/3W1rtAQJY1d3dvrdxvEV
HJ0l236GvBR/Cw2iiY1B4MR2tJTBXRuuk/lHee89l+FQI2AuVebl0UI8icCT9J/WmRnVsXOKqr04
qT8c+85WAcnMdX7R3s3GgVFZJ789ZqojZBEDQganEEZKQ0C5+TFBGBweK27h9kuT43Q9uvKs0gyd
/Dkw75yzSRrs3HiM7cekLRXGjlbJ644jo7mbDdVftsdZkEckobhNeu9N3kzjE+pbR4BKwbZm8j+4
ZyuJWclfyZTjs8Ymf5y54kFhJOWcvHDxuF9dV+H4JuQTXE2UVOMJdzONuQYF5vOMjnS0+6X1SbxX
ZL4Khj01UnrQ283P0eiG/7Q/wLxPsEW9YdQJMDaAPfV/zX3KWo1uxGd2jhYh22uTDoEH7Tzr/cMw
z81yX+NclC8RK9CCnxhuVfiz7MPFfypShhl3DjtNp7sakwFUmC7u/eknI8wwusDD6q5ilivz9njI
Mrw2YF1PWVEBzuWPddpL0xWFwoRajnHwhTNvmNz91ACCu+DBSZpjFWxktWLPzZzHue400+7e0vHs
kHjT7aNqo948YBwCAmH+T4eHq109h1hDIUx0KtuuWe/E6tPhtkwV5SJDTaYqQ8XPYN+Nt2Bxg6+l
sZwgzaEpaFnyBPKuvLQus9aN2kHV9cAQNuuT9cAXt2Y9kQhcEsh5Y9dn7T4Ktxa7F/g1JqTYcotB
/wwYmIa4zVLm9147O+EdZVTs3pV475Y7h/hTiC+0HdvlZxhF0rm6Ga58xu/R6uN6y2Y9nX2G+NEf
J5Pg31iYEJmLaltSpiIb2ydMputAxRUk7cGLJgoG6hrDqZKaLYbpAjSmxeMeZ5xTtcf/ma4GQ3LT
r6E4pN2wxseOKXX4wwd6SGiwIdAqcnwh6g9N82rylC6cAGlj7I/VaRomqL4JgCuVWCMffWm28RbK
iJ9ZPa71oevL0hxmJMfm2RQmC3KXG716tJ29hQ9M87smn/NYYkUkgedhdz7EXWRfZYOn+j5wAHDd
rRyRiFrt5F87skuUyBQdjMq3hIjUC0M60psQmtzgJH2S0hjNmZg/T0FbXDqOPKJIC674J+6eet6l
HGTp+WZ3CXfgJYTHk5ASFAuXOCbQlNRGPWGWbYNvA0+iJCkast7HwclqJ0JcWs6YjEGjVRIwcdhh
JplAAqohYiYmqHpZSDI3kzUHtvWykKB0afc5GU0IhHbfTK7SkCscJ6O+Hr1/nKcdZiRJaK4frmWN
eTU8ERyrltxjGrYd5tWWIWNNv/9KV+uLeb+mcvyE4UlwuE6WPr3tNlROxkPKBIN0GMFWgZFRVPrK
0sWOL73wQaWctmhIYsjtY+WM5211O/sCtIP0FL31bN9thaUYEs3QhPZpHNvgnwyC8T8yoG50yqK0
fAwKSsxDUy9UVe5Aj0KrTEuIHXxmozIpsFr9irCt6mNJsXVJyhpitCqcDuDEVgf8blAUbjPrPlbt
sUD4fcUG3xDWIjV8DzJwJC2OR9s78ncEr0S7hj+e57f1ueHL6Y/dNEXMFCAy2l1CkeJc+Z+vx8ZJ
tvqHiNb/R7gox66FywLYHMQBki9NKy8uc6UYscJU30EX67eEE+7b8cPU3tdSJdOjGl35zl80h59l
387LV1QxAmKordrh7NV6Gi9VN6GMylGUxQH9GB5Kmc3kEDxL+B1VZGwPAroElvOq7pcXHwu7PTuM
pkGXeF1b3vNoDV+sP+7i4zbVxevCKDDIRUh1fegxQmmeAqKWjAuiKs3Bn2KlLtkogntlml13+GNb
FZV7Hm6qoprWUB581i+0X+3QAZFisFXMHYHoIfIbP3dRlTGlZ/goSZjJTsdnUMQlwI20oSwkPSB4
keyBzWKj2KPEyD5fNTPy304divXiSxAhz65bFvZGhWKhKtZt0SVAGqRHgblJDKy7xp1R4HYZObvm
sLS1g+MMDFz0WKIw/se8zon+LpBMf02zVzc/0IFxfiTIzY/og4Bi0834F7QybvlSutY5M+VM/zJ6
6q6ZA6GLFEZYCYLrSfJS0os3x3g2wFjIe3qwlsEB9wADWB697yawdYBZCE/jmyWf8RSQamUMWMga
2EC7obBzrwp/r1H55TtZ0elUMPS2lFgtOA2ghMJ9LODkNJcxizAUF0G5RVeZ8fqjw3vpU+nqYdyr
FX3lysRQd1RUAiyfHj1sjYKLJifWqQTwAWsefdyYej+C/PKwSaXJD0M7Jo4TD8w/B3jqjTwwWnpU
vKjuMWuLvjhVc+peetHJ8J6RJXnKub1hXmitqreWkQ+MP7oFfw90NT1ZBEbG+1Hnkfh2WFn4IIdE
PrksRO72rP8a/hoeHDRZzdLwmCkeiyIQ2B2WlPQItzuvHryYiQjmj7wdkpa9xTqbkzOVAMKoNq2L
xQz5iF1WZpteOQ0w7251Na857KINbyXKc5CdrJLb45BE4lkVJuxO8U0RjxFtklO8ihlCa0YWoL4b
WdEVBseBL6o9I4OUNMn0Wt5BOnOUTNdUMHbxPjzhREoeCBNWeAFIlvS/zRJ7zX07E9c9UbX1ioWr
cfHXorDdFYuXipMyDXS7gKDBrwofOEIpPfNHDMeD1o/yiZ0YMfeEc16BCKs/uiM6c6LS3Ia8bCKO
QsbyRMDLNvZ5xaidw7sSbqF72Bh02T+gTxD1v6wcB6LTbtFXHYBBUbisQSWGm5aYJGR65/Ivk/4N
5U1w0ySSIwNrCCd4/eIttkfO9KraK/EOjVWxWotvuSz7j27OtvM4e0v5q3O3AoyiDxBJH+vJDhPJ
Cpy5+WJiABSz73nBzg909ghRd0FNkthEjthu0YwcxwEjlHq8b7iuJ7YnkTBtCUdzfW3Y6Ve1/KpX
r1uhAo1rmwcAwrIDuj+U3sn44HJ4Qq4u8cvprNlV+ZjaOlnzpLeaBTKVXmrvldUjuv27SilREIpU
AO0BLuMFPzFNsfLg4NMajRd/SkBLqWHMPiXKS3ZgJMcUvO6Ev5xFr4iFp0W5XAmeRel3asE8/OKM
t9U9kIkpXzN84qgpy3qp+SgZjPQpfGj8GfVfv41ZNM0tGln0B2me6OHX4a2DMfdvXsj7kUMWHbgB
n/2Fu3oe5rbPZW3wEJMIsuV9iPWTcU5jQHz4Pf6ciw9EHs5J3dvuZNpsjY52nDr7o/ZZEIqQmqXi
KuGYVhiE/EKe0qmPSNYKxrq7ZsNCyywY3mvLSBJF4yxMteK/SoFJlFjnmyOGHbrNxKzdS4wkLvJa
+a04rpW/AEDpWu7OMs3M8rCKRlwFzzrZsmRzTr24Lc9bBum+FLJx0kMTRMv9JjcP3/fGm33X4SQl
IT3K5dIERO/z0l9aDP+2xgZaFB4S6I5dXwJjoUrm+5XQOR3U5kz3QynJzA2agu1tAkFanXxNI7NL
bNREv3tFwmrXMvD/yxVbPqczifsTUbHmxTFOCPfgJhYxd57WCTMTGryzg9uBNmW8NfqdxLeECs8K
nTupQugqkmRpbj1ZPU8ACfj3Wpc/Z5bHmZwchdf9Zs6+BDuMgNsjFCNV7pkeJfhLmdzB4eoiLONZ
4oeYeBWRoqNHAFvsU6ud3/HsqBVrhUcLtzQg3IjZq6/VagJaNzwDjqSYnW1sjCNM3tf0yh5bAd/X
MVFAP7wArxXUYvM7ZrJaP3WNWy5ElB1ghhyZ/aSex2nyCbmTM2pOlRtTxy6OJn7AIq8BHWFjtci0
zsQG1gxwNPG6vj5NYyCWB0mlu5xla8ov3XAIM1l117fSahMcFruBb6pR72TOQIiaBnq2K/cdG2DO
gMI10/qqWd6yso7iYx8YsxxNY+R3lVFo35pi9To0TiRIgzqE6+gfAkg62GYN2eEt/Nlh6u8ObWuD
drdWDQ9x2HHx7+jkza+sFMmQd8MQNDmQB43WJfz0NGxjTQBQ1Pd9abt3BWICU+QwtL8xFpbdnYB9
++H5cHPuwBUFL+j83QdInQ01zy/na5rqhUQ5Rhx8b5s1hCeLdQu6R/xp6X8oqmVyCcG8mSv+ulE+
ZnE0XJZZ4CEFEJG9E7QGoq47YtQ4rxphH8O+JFJft0hwldZNcEBUWA5YCi15MLl0jHRY+iRumK4C
My/gouy/WOvemmNIP6+PjYhQHgof/vZRsKCg2AOdyK5tgZElJ5fYmnOrg/gCEFGdQBYqwgamynBq
G4qTR7KUvXuoR+uQ4hbsriD8hgndx157qoOKTTkKrx2d32Zbzp42ceMjILLt3Ssa33moRsSqG/J8
IoMIGYAXuACPbVT9if7q8shaobPksYubwnlFmkI9StdoUlc3lsF8WWXZTcca47eza5ws+73KAvRE
R8UHbHf1iV/F81q6Z9KQdL/ZgCDyJts0QnR31iT6Rbi8Sbk9ZgwTbgulOZ+XxCtGLOMWH1Mc2ATd
cEuGoc9FAUkbyHiplk/Pz2g3dsVcqXfNDjBmv56a8kU5Sf3a3czBOzVkjnxqJ3ZGnVTHcsILEVDH
nlTjJmDBtMS4s8mWfnaemV3sN4x2NI7st5ruF50Ow/cM4eDJKLru+2ICEYvlFF8+g5gQLPhOzU08
3DPhByQG105LXBMuh7+xJB7zcdualzZMuu+Cv/HH3NDskOnng2RoqfUbOFA1MXDsNvTfxALZh3GO
PCAi/N+BGBJG4aVoh7xOtlScY4tni2OtzbzrlGTJdZ1t8BGldf/IumJAOh6Wto/K9SFwhYkPmZQh
5vrDUj7BeyFQPj/gmkQzL1ccnITQF2/MvcoZkj+bYTvGlW2DaXWqZ3pyukxmw7mAV0do2IGCCAaF
46ZRRDH2fgjLdZeAv3lHu+ULbuxQcC5UelVHqssuzdtIB4CMR6f5NUexeQdbzgxRgHj7wCtRtPes
snPmz7hMWI7n6mo6MrPo3EeAy9HDECA3oFTWzbd1y+G+mrqp+W/2A3diJwtjaQr9FLopSx0QraiH
gVVqbRUKlwk3+csQhSO60vO9nbHqN++KJQntu1KbfEhRf/s/aRRG8hk/lPmnoPQ1+87bvN9UU2K4
wqSeerwQpv0SkdM+97PbYtCLfUhytnUzjOqesubBj1yyQ3Q0TE5U5k7TS1ZFiI0J3/a91U39vQSF
63y5RGMJKCaTTY48FgW9DO1Xl3t+Qg4IiTA8rzOjgAt0Gx2+bAjE8hedxjr+g8oUrXedW/npS0JM
Psgx8K/t1Rt79Vd7mStOi8m68Y79kB1KTh2hTg4G29lOpnLVzO7s7ObGjxku7VTkbPJHJ8I+e8Z/
66/8xMH9b2zrLLz6Ueq7/Fi9vI6qK8x1rnudkIDwvBm8K97cZ1qTrngTxBGKvcamvh4maLCvK27A
EcVhmS9Zw8j9xwiPl9UawRKd2mEG/015D2CJNEKDMeITl1ocPaSAduudTvF7skSMHQvnNsN4SdCu
ydrj7KZ4wjLUmX0IFvoAY5wNnEsdOsHzZFgqeF9YH38oIMBl3SOCMVXsTba+VLZkhxeVu9J7G9TR
Z7tO3ljux9Lrza4XRY8zOwJzh0VFVgR7qAkgIE5F8F84MjF4cDFe/QSw17inAl0iARrkq9fIcEfl
cTX6G7tERKP+RrDQUPoyBjOgaPmwDz1fM96aufaYrGzzGOV1g8p8X0nmen7UL+GvRMkl+EopPi8z
+xCYArKUpv0OQhvMe+qckVQBLwRuiEJlVyYNHl391ov7WrFhMicFV4BVHWmq9hV7HVA1m3n6HEKv
Qq4fpygiOJzIr6wdYEJMWzjVCFIKrz/03u2vUwQ0EFCgw79bTzjjoTSLReNK2wIJYKSjkfPi06nR
CY87FnhQrQHexTSgp86haR00MDqomwnPUhd28xOrVZjXoNuWyT5qjQVcOrPWccJ2PgFGalkrQpc1
3hiDeKHOuCEKZmILhgmvBreH8iTiec+q2kEywPH8dwr2GPB+MAASa1tALEEVLTufW+mfZzGVA8Od
xm/2A5TsqKCj4CQuGNPtXF2oZ0KeC5c392MFJzI1bwaXyTeEd+AMWa2NpXNwwYG5gcbpHNloPXvU
xuuOMQzhTgmm6WXGvYpVsAOZspMYhoIcBOTyWbUbCNGWwRWbVcI+bh7qLYGUkRBMwNUb6fHXNqO3
39xFCSwp0792m11OPDHwd0AcOC8Sy0xBvdbIa5BlLinKyPGBA7dL+C/IXKYaThB0x9q2zhf2ekxe
0ZQ1T8sqOOMKyF2C4W83fWC0gAebNKweYxTqz/tW3EbGHjGHWzoEXGieBav/IfzK/TH3ehwO6NH4
r9ul9/kmtF7/Mifp3yNyfxEELpSand8HCwt3GJzAoAK010N9iyNSqf32Obay+9pivwIeikbDbrw+
JMRWKFUwuGvjmAE6o9WdF6T9a2USTEidwW/Ln6bjbwtC9cyXFtt9BbRDEnura+foVrFgHbi9eW37
thLPshd+SZ6zZt6A002xvsRmcHdZELt1e4/u7G0ZYvnMzdnBI4w40IkvDuyxjzFdf/SuwTO/VuP2
c+ljPIC8mX21T3ScPtWepk6g0V7IQfqO7XaL5+MRBaw5gtcpyNQdC4Iu6Z4Vzr1Hg9AwAMf7Lz70
7G9/QAY0CflMzNMleiEs+UhX/27tMYT6zV1/JEkbQW/Da0UVx+dNyVYy+rQDWz3CcXGItVliyS4L
NJ6kn6ygdcHzprub2/LElpkhI1I7kWVvGIbU+4b3+QLOLpVX26EG7yowFsRjqxR7qyHm8mn81uCB
h/j6olsfWakbivS7IzsLsiQm5/s/js5kSVJcC6JfhBmjBNuYh5znqg2WNTGDEAgQX98nevesret1
ZSSBdP26Hz9IJeIPzzbo5jVX2BckTv4nRtZbX00x8MV0RqPkfu0kaI8ByN669+O0fi4yL/9W5gYa
JGDnHFqOnXyr1cDTBfwmfRBeQ3yYywO7Qj4IDmObJtylZZYs3XYpbpNI07ZckmpfdNm+m4IBza8s
erwUVIW9Yy5l2U4E5pa8tok+Tx7OkN2Iz+CvszrZX4p/tM8iP/bPqWjWz4n3oNkmQy2/lsXROTun
ongnCzx/1U3kx6S+QvMYw0Zyt10wg9qbXE6tTcEk+5oMXop+KwyoIDbYzPxBiWMdHQIXIjGqKrqU
cug+E4uodUn58H7jIgQbAjuOCX+tcnmRuFiLQ90BQ8ADMJp9a1L5KCLrmP0QNfmd3yy8koMlLXPQ
HJF6nIY2/m0Lvi4HAhmJs6EyyW/2sCLZL05sKZChWf7SPiAYQ1e1sHMy0TIHuyjSMFXZRXl/vFx6
GPrCJRpOhRnS56oJoGBMAbbL3QKquNt23TgDodKFG9abOfB9HhZ3Di8EzJzvBPUp4Qq+VA98lqyt
Bxogz2y++AnI/2Tm0FLexIg1LOralcjduzgJLP8Epf81SNml9Rs2PB5XRrj8ZNvJTZNPQf9pvLsg
d1K4CQrE1meJOUoe4gE2P1EgJBP9VGucsRsKlPj2tmsPY4IlcxZfs6iIf7m+xvMddLr/N08YD2gE
6eaRns8Rjufv1QOEEm4aT+n44QYDwIzGY9XheUOhDjDyY+ho/eMMytt81UQANNljChUWQEQYl6iT
SYsT1mqFlICHYRopfnW56X7JyCLRHyxDZHSCjspGk4UauGEW2Rw5fR4vJ9bNxK26SdtTSQ8CV0NZ
5XR1JUSwozzovwstdLyPc6+GqdyL/JfixfQtoQazth+7JGfAzlHtlnYkoKqRJ/8kiRJrum3yXo7d
ZdVBEJ/RgRXx2gRXLR+/jrQJ7yYOouYvbTyWoXYc/PbWAKVvkwzUtoaJQiUm+Sk9/GI7NNksIl7G
Ruboqza/Cxpcx9vbZQ5Af70QRLNkAAhw1noot2uB5GDq3CPiH6TzNyvpEOeBp9rlzsIzTyDF+1TJ
8+F2zYxrCETr1L9EhCx6QbJHUu1RcHMnt5wh0ZzNqvV75Zb8OdonrHosFvSQjayd+DtJgVhxKyNi
sGmxXFdPc1YNFLBUafVLorgmJyPH+N3R8WyxGwrSNEHTmX+9DcmINcAi+cU4kHgphWao34Pli/Ux
GfruDdeijjaGay+UilY2VONkepHvI4WGbzOobrwEQTLYk7cEYKwzOnTsMSFHrfZR17rNbpRj8MDK
x4y8CpBd4w15raq/zp4uxl8ZW1b3r4Nd3eeUGGrwOuS8j3OwiKdsRnD9VMXM1rkMXDWfuypuyH9D
SuvqLVpWUX8b1p3jsGtz4sXcKWxG+nbjkfdz7pht+HJhkpZ/JjNC/ONHceq7ol2DBA7LELFNTss+
ug4xDkw6lIq03IxhpGiSAuI0+I9U3XMNVPD+V/ibucAIF1RViQNknu2WrVsOiwtnSLPslVunGki3
XwXzI6+WvPkbsefWpxDdlp4Pg6i/ARqUta/E2Tv74pXCvlgcrChVyxTzBe8EsEKe1WIGAr+W/uuK
+J5zjCdT/g7KOVk+86GcujvXG33/Pqf5m9ddWYawE4gLpFeDlY82o4Y43F4K0kmEjav/90+lfkRI
KAEcqbLSO0VzN1fViAXLBqk9HR5jo6099XWnrxzvHDXk7ebpD4oYbUYR9iM8BzbFX2ZaX79ntmzl
/VxFSbRzDX/jz9qUXfhFiNSTzxKUK582jmRUV8BYeIcowjKPvMQ7rtZEPPGG0nThHmZjsiO38UJu
69lnz87jZ7pNg5F3+MYSjg4K1gjLY2pntDsYPTAjs3qZ+nfCUnAvslin5oGNQBftO4PE/sOsfEdq
fmdgew9YGuriGbwYC5JQmPoDz2QvNmNv58d8mAEateu04hAF3ypPQR2p5cpOt/c/ukGt086JtKCY
hLU3Ee45db3yH7uCJThrIhfj00DfnfroAsFjgpSC6hFhyOah/zOz1sVOJBvcGKs3SOChBqs9rZgz
bh2GkpY2BdjzIckZtkfqykDK2NVg9AmfKaPQ8XsAm4vMK06M9Efsi9x9AWU4QftiyL3AoNHywWBA
Ge5qtrVHpI+2xYSPd+FMsgRmz+ohSv6CvRmxzMH37DvnYnJE+caFEZ88HP5au9O2KcmxvMVSt+Eb
GbAAeiAyHAk+fJDOdoBXQWCQBLIL2hxkwFuBFUIcue67J5wRdfzG7o8KLg9bZbFTwvpPc1Pk9hTB
Orib58x7S5OKAKJDWGBfmba4RK2L9MbKIoOmUjRclpKRR3+7BFN9t/S3QIkwrM6eG4dV+mUkfkOe
l7QIUYPJAuPBVTg65xVLZE6K0QVF+BgMGUWRwTrM9oEtEk5NCr2L4GflsbT9wXeqjPb4PHF8MKlE
HOGmxsL5k6J4fJcSRYHqtlrqqaGj3iJYcMmVhCI2MuRsvvhoXP1927G8JxiWjvd94iQYAl2Ye5JA
WkI8VbO9J4AARTpPWAePeKXugyDp3/A4td/MsDL9Tvgxv40cEDQr369YpBRr+4+Ym46Ry2qfFdKy
LHl+Xrosf8aEvWa7EdrBsDVQXYGVsD24R+zV7OX4LRX1tvfL2+soIsy17Z3G30Vl2DcvqVWDdwjX
hjl1XLCuQkuZV0vdlysfo7iJ4kOVtAgFUZyziGinBXpH2vTJLmSnxFNXFHO3mziPnY8IRVd8jaPz
nhG4IUvROcdQclSELZ/whh4IP76n0GWdUG6CjmNdky/yubImyikfunBZCRmPVcF2Uvcs1GIrl7vR
p5Waaxrkcjo3ksaolfRC3N13tavfba/Vjd62eu5TiVjs3GuI6OEToPwqPBq+7foYW75xH53P9Woz
euDlYMwlU3Usxyj5keex/BvjIOZCsCbTn6oRDd0Og1EQCOC3v+pRNHRtUrXT4sZplw/mWiwdtpi8
u7DFKUWh15xzGelJap1SBEyS17ST5GdPRbCEMEiQIl0LyhaOBQmMb4lvwb7ekAb2McFzCtm0Z6e7
b2yRFVuBsbA81m5f0OzZ9L/rpHY75mxH4Zt0kjk4ZVzWun2Ex/+uT9jq7xDW3RlNUfkzRFXS3tic
q/pxsn3EAgkwivsBAAcIHXBqRsBJNv56t6wlbF4vSJQ5NWJQ/cG6aO54c3q/3lLy6jmniuw2A3pQ
guQCOjCKLU2MLoKgJOS0S9mCPUfcIwGIgjoeBryrpuA5tE5rP8P/y2XKfilI2vq0vN3jsF/O3ITC
/N73O/XFZNoMR98TEQyEwcBjz/x82JHSUoRyAKYdAtHOB0fSCbKhOtcuh2ZIdHFuCizvgE+8BMGT
Lw0in5jlckxZLzUPHjeE9RpFYor2Yyr9W61HMZXdyY/y8Ck1U6h+RAWt0XSF2MEcWebKj5TOMOBr
NetOUtkxDDY48rQTFL4zzoxLvg/SQHKjCkUvuG4neSbUc2i9+hyKunCg2gbDevAQx9STmNbhb4Lt
lQ2GtbHXXIcuszvj39DXqEvrbnLQ6q+ItWw3nI58w9MEjZ+eG/IWT7Ufq+LgceG4FZd0ZfjV45kn
fL4UzrcXuMTbWPSEzR4zngmK7QRroj6xfVhfVj/rk+Xok0YKuWAT0ff5dcwBi/lgdZwrjibsIU2T
ctXMhMMaFoQeqU9dlQdeJ84TBkblbbuRpHVCmV8lmn0sQjlt25yNAuZqHTCZmtb8tENcXaMFn9Y2
QXpPjsIEogeWBMpHcJWU3HC3thGaE5w0gDwzTHsL1n7BQTC30InZiKxgB1bWmSJPsL62YqmczxwL
4lWbWi5bAR7HHigOpPe0d7ANcKPkJgzHaB0/VzJBzQEnHkTk0UAkwj7cPfOCc19pBEnXZ91LLnis
NruWu9JC5KxWN+RyFDUOIIR6/KKnDk+Hh40IQ2ybvqcY4X6yS/RLfocLAgbeKD84dU3cPHp92H13
7Q0WsvYgkvskscFd6Qwc/uPqL2CUys69Nsqz5lfjFol6dskvHrgwK2Z6G4n2zVNNlF0ke+764iKU
HcMi0DgqltZ3nxXbQywfnvC/Q+/2pBSxP1Pz10Ud2JMgJuVpYR3Oe0ETScrNxHho356Xqd2qMqDe
9ELSFcQKIchf7TKl4a7BDSF3C7+Fan9Dp4a84mnuPDBB2ZaTftTli7bu5B5DQ9/mBgIGIgtrNRAa
k++S00EyN056ZJcs2BsOWSqjYzopc9uFDMH6EuZ6+UOxhfjbcyW6AwKZ40/wKas+DlpO6ztecm4b
kbekf7RR2XivPSd94oUDEAvf8ghFLIDUuglGbvnn/ytBvtzZckBigdep/3uUGVXPbk+eZA+YnDdn
o/LW+XYGgr2+r6v4scqL6IOsR+f+YLfaxi9zy3sSJyVHoUtv8qqirRe56/gjWCbXYWl0cz7s8ryP
U8wgJJc3MxMABvkmV/pcwOGVb1h0QkhY7ESdH8MahlfIVlbDCyw90lJJZYCOmygAl+7yD6CnRmR1
gFa1l9mT2bwj6F/f4fQbsnt+RfUPEp0VHRuDkhPtDt1wbwYIniBt1TRdRy+nQ26TB03GF5pfefud
oQuJr1ANg8/g0FY0ciG5YlVnJuLXYvj9csODoBXy7mmo3Y7BCdyR/YMSM5Jj+QnqIIl5B7jpdNY6
XtpTLbHrHkK4nPqSc8OLTm4Qpfc1k+T6FKoVz8cg1yWjHyT3szNTMGbsjcueMr30t+rtJywF63p0
i0i5jyaAOd7ARsMJ4DVgrHTdG26pLT8t8ccq8aPnNqj05ZaRXffdbUEALCN4EnCr/voWLW03YZLC
LEyN+I4AoHchFSzYwXVxlg1v1TQP0+/RaYZ2xPelpX3p4rx29npebg+67wtGB25Sb5lfUQS9mXmQ
vlnIOf6Pm8Eh2AM/TIMnby5Mck4Uw9p900hxWWmyiO4wV6IKxnzFx09ETFMfkzpwlm0+JCMcGKuH
HeiUetwPiBacpvEtBbutRSiWb5umAzhiHt9lXLeJXOd3B2538BhB8WL7TJ00cv9OWYcM/G1mu8fU
rvsHtEQxHDqGCkwYec3gjp+xWr5H2xqERa3m3+WsUvsUTUtPdnucEnpyeN+SbIvmaHpGSfE87Hc3
exVHTv4A8lI2KHAIauzy6dDa+pGd22f6OYf6mE/sE7czlSEXtxkF9RbzyFu0KkrV7aD1ycdbIpdx
iTrGcCMWr3GeWirI7CYKBppVxh7c4sGdSYMD/KL/fTdHTvZK5YfvXTD4Sn4Mk03NQUMReFt6ePpb
gOmSupRlytm+LZPM5KEpPOdCcRKWFb+Ex7NnE8ptSo2x129LmjwJ4ZQ4m+jjKEuvsUCDM1fvVgA6
4hCguv1yk9KmrCOS4QE56ObNBD67ywhjr3waC3g+ch/cQObcQANDsGjaAwIMG3ag4jfQmU9t5FaO
oMWDXi2a4plAzTtE3e4pK4ljb/t0YFLA4K6pQbgVAlsPvtw2Hp3JZas3Rr+lakz3PhL89h/Z+Lr+
theZh/MTPuE9tsPqqoErrtu1JFdGKVpTzhd69cq/HlCg7JBBOrsGUhcZ2IOgX97bsndwN4+Jcy0p
URJ3hRusyaUooq6GjxUufxNfmeKTV9n03CSF7C6saonKbiQLsucy8ZYbmNidURLjCQtpQIclveWL
YriY2ZgiRHlcczwzEqCltnrcp13efZFBXOtHfptteyFCRy+bLaCfndkhkingMQ/sn5IrD2eGEUOz
JdbnU0zgI2HvOGhYzzsqnWnlbmkg4kKd1hFlIxW2dkX8Pt54hmhVDCfXxWNbdJcadjQIH9Swk+xp
nAAdiJi1M1ihqv3KwvRlxRgoT2wJxfJej5IMygC44aRDXWVbnOy3ykl6b7qXMcO+I5K5cV7jhWQl
rzeWfU/IB+Gz06ELPGV8QrSj5ykST0h+9SidEo+qYuP13TU0DG/UrA3WAhkuR8c2xT1rez88lrxB
LrO7zDnOENibD0kYGYpSeAGXAdHXKG4fyc26R0GJDYTKrtXDweb4+V9ZV2Zv9Ka26tRWsXOcm5Hy
EbeP9aWK0RufF9ad5TcpeQPWLhZr8UeXDv2nYEB58FmQBv3nhGPjIp3epSJzIbQ+9U7W3M0rodzN
oqsArLEkV7+NCT2rizXAsNmCJVF9kMZZAO1Y2hr4JzNgHY+fc+dQ6YAqMbFNo0Ylyh4niHfLBZIP
/PUcuOc/WIcGKxN7vRd+/zk/XywLua8CSATYCcbafNZ12hGnluwMfSqJUSDZt7R7jkMdHkdOHYI5
9Dh5G21ruKMkLcxd07KrenI1ISi0C+LDFKAW3X7uSzCDLEBWrr9uPVJiOQ/puk/nGVJuhCQj70Lg
pU/5RGXdVuV59Tk2cRkcYlrmC8rU1+jRtt6Y7okp9RFhxRtze2WV84yHhgUHmm6AG6L0kp9kkODd
wBEZ+4cOUVxusNWonyDocpSn9AY2LLnKsRibCNA4oi7p5ysZ8TaRhZLwnMwuVkLfLdVzx63MPTEo
+J/RYDzWw2U8n6gbbdenxcWchQUNKzZh6tW9lgrwNv0aKk5ectnEer/6pUYWHv1/KKIz4x1P3h+u
1PMFnygGZJd3MWSUSbv/bt5nCidpUQwuvVDmOQZnFG0dZ8b9gzmN2Kil5+sGw+6pJDJV/ccbCgzs
W2528QFiS5i+mXjILx5Ey/ov8aUA3BzpVx8jXzH08AdnlHn6uYPFnY4G/MTyETLMun9SL+iLU4zd
CVGQ/DKEfK99m9II+8waFhnx36yn+nPHumwar/AwYkDypIn2K/B9kgptaF8HOCDctJLcJj+o/pMA
dnw4gIBN2vyBTgXLV9oGeI9yR/oFlMqloHixwEp6TeOi/DdIgcVMAD4bEWXi0iOjcKvWJLvOpUhO
Ontd9DrdzZZl8bajgzbdumNjaUgkZ/boc9YMb1Ebp91m6Me2OLaTE0KESJbsgZUaP7ivDV16rdf5
12QEAbjR6UpkYMbAynsKr8svbtgm4z8cortvtKHy8CRrYB8nMzj9sQsJ6R9pJbjdDB0W7ee+6avT
ojH4b20tVzJ9maevcGSXX5h7mpq+CG5aD7YwYbrLhy4GVWywv+9gH0akUQWsAzz2NDacXB3bjPaB
MKWKz2uq9B9yEa8MUCEm2TExO9/Yopke886F3JiGoWk+KpuurJkikuuvzPWQUh3JyLjFIYF1zC+l
f6Ixz9iDWDuhLnOdR90dV72Ff9F3on/Q9UaAVYMvj2kSx+C9RIP9NiNN35+pDyQ0Z2GNpUjpfGAf
8VgEb1DWYzbEglgVWJrMB7dR4hNcCWHoE+qGGr+yWEkprgHXZPujXRftnBeaN+8H0ZBEQmkMPwQm
FrEthpBmLRAGK50Ls9MNOABFrvAEUn0JB8BNtDjy/cnD45xUUPtKPDtvg6aN7ATxPIdHp0vj35oM
QgCw7oCgx6KOod2fKkZDLzGVQ9ZhMbfUkBvvQ93bR0hCfog5Nhlucxdp6r1fBul0AHFALQwGfDDc
3eTGekOXLAhSDlxzR3vljWeFOZfZxC4OjKagXHesEYzeJbPVn9NMhRN3GPxoexQswgex9M076NyR
mknGgB9GdyyTFV5iXuuQ1lx8/LRUbVLGmYRG5WF8gWhFFQUzqUNqzfXVRQ+z0Hcuw/ANrjjK+ei5
bf/A1zRfr7aawp+lUzG1U8oxrHdVad3vgR4itU1XJd+HuWqZyonyU0TKmzTfEp9uLAt+xoE9yEbx
znCcUZtQBk5PoYibPCyVO8b3Qz1zQEPN8N7zuU8eUKqrgjMvr9HJ23m+a/2OLiiwKdNBr5DR7qu5
KB4Xb46zbd9pqvWc0rT5hYOnemwYW2l+9GQS3y/IrCS1gzH4VwLfOHrSVtj1QUYeUEEccQGAufCy
8NP8icPMnTcssoW3n9cCC2bewZrzccLwOPW980Wa3/8d1z1tmgSV+yPtP/Vf5Tvdr3akKw0TUooQ
zyRbli2Q2cx7iqirBDAU+g5OTPh6DMO+RaXYDt6IDT31Bta6aTBS1Nqh3t5NdLf5W77UQKBGteLm
20geXrvLVhuZrQqB9uy82akOHUJesG1UEYTPbNErs19obrqt4Ced7tcVsjdmVadR91waKPnbTBQY
vvLAtBQdol4yRQXp+CGqjquYW9IiReI7wTTqTXwp9m2MJ30H/ICg+EDI92/oT/F7xbWWMuYlV7/g
SuIW8ZfZmns1d37/GbDx20tdmwjJ0GFxArJ9/KTBAz6TwMr46Koc0zrVzDh2IGt9NlQ/JVuSF4Aj
Ct72EZuqabxETby4u8oPWJBU1DY/2RCx+zSU4zKe56GIXyAaoBuEqBYJf3VDwXDBZ069EjSdDX0U
TPltklKZSCA0j09xH0msPD6hyzPN4HiRYZD5NPvRGPkRMEM4v7AYp2C5Zq3vl2jOsudgkliq0e2+
MPpg+IkiUpV7lKecJXtWh+3wGXVpsp6Z1swEWbRLIKnH6eqeNJ80+jflf+4NmhTVLxRv2EdrJGNK
Tt7sTMQtaw6KgszugVVXfAW8G/HQCTI7EBc6MNMrNTX1tYHM5h1T/T+OfYljwKQd7PuRSqx9sqah
PhYhVI+fmPT9x3nhUrjzaMAwW18D7uL2ZWFtbDGA5HSTLLOStd4ogAPVkZjgRA4ycjyfwyv0amoH
gvV58gOJ+lvNw3MDvg3FeIyIcH1ELjUA3w2ECnFNwMrCEktkZjz1FOchluod/7XWOhzXlYd0geYZ
sAzlQJxBIMU1TccrmAEe7GJC2/cw17xCVJi7w7zM8TMXy7Dbj+vSXtVQu9Mu8kKi693KheSLsSjP
jmwNJqTwyh8uSQA0b8dlI0j29SiG99YaxgOVuzPQIVtEp06iOe997Ys/ZIQNL0fD8bFRbet/lpMf
X0FPll9xR6fFhkYWQz2eFv13p10m6r6jXYHmWxwzm4gFGROON0ZPeDlTyvFkN8T7UQ9tR+axq84B
Jhtzsl23hEfkGYqCuEKyuF0qjNZHChq6HyuVnc6X61qq1R2geDXzTDqdKCtdnhIyvhgsnL7qvh0H
l+42gXrAHVZ0WAnp3HOQPnLdBD+h2K7VeaQ/4H6Ar7Js/NSO/4BalGK3hgFp2VUQ6D5ROzGLPepZ
11ymeb0lF+Av4Vql9C1hvUeOHa9bNPyWXhb9ylVP0jt2xnolXUfbcz61RCUIqdb5OW8955lwuyaT
FmO5uKOOIXWv3M9TnNDW7+fo2NGZlZ3p5K138CWxa2wBH6XNKUngkVznwEKhAUeAkS1E0N4y0TT5
lc2tfU4LHtITaU7L2SxyCj51xBGKpQ+MzoGbPfa4Vc599EoqjpbOJjN5sCd9RIoAo+o8Q8YIKV4C
rMbkUgzo5wDQA5MXeznWgrIMMEV2uY0QxEuglOj1K5nMHJ0dtx6K31VVkVB0Gu3TtQJ9Hy/fhvvj
ys2ePwdm78CGtdLeriTPEexphaJuT3QhA23DOLfCgSAdSFEU/8c7clU49uFDjHtu+8lfg410xH3c
swjqQsaFTcTYj46j6+wzC1okzUfBGiZ9pR6OmCWMxoTcJl8SjDBXWw8q+MstZC0PEwfU347qmx9q
pDP7nMQ9MKuZBc2KscFna8IT2CYX0hX6QglBll5UP3ivYyIavpZsK7xDTZxqvlAVsfyjhNn93aIC
1bcvTB3vyd4IlqBjrNaddgFy4yV0hgdobbPz7k8koVJboDKgN1YBg3JWYNlCHavMWwNfxr1PM7Ts
P6qiHeBosSTymUKxCr94AMlebAdAT+kp55fv/9JidL2zLXDzoW+pxalPUgZuRXbVD/8xRPf49xd+
RZd0ERTH7hwvHPFHhqhwf5yo5AIe892jGyEdtHsGgEWe2MHKm548y0N5SQm7kujwMY/yRvKBz6eR
GypJcStu661IkXLNzl+AxUJOAXPCJi5wIo4xE3AIuWnuiHsFktm5cubl6z5LYK3voW4I8eJ5PXtn
0i5TcXAn/sYPuKMxZ81DpM/CcURwXmVUo8mFgqTWBKgrYJZxov6Q9bJ+4DlNKTSbUOmBHlfwZ+TY
iH0BHCvkI2WZvFzcHBMeGnEUy/eGiAOcuFrLgAVxZ77cQvnfPd6Z5G0gnAgHnwXhJZkHQ7muKOUL
73mHQjM7I7WCJmjvJhXSu9mvDVZ9ADbJaWBJRY29NwZXAzZ4OXLFZNhWThyjLhJraXZRvITRAYuB
rD+DktXHOZ+5kr8lOQSTjRmzXNzTLIEJGqK0KHAXlI3IX5FkI4b3CqFAHMceaDfSbnPjUiQReFZI
6ZLdzW7NHGbWjewpMX3FYBU2DyuYquKAkpb+ajsYpUQWsaMdmpFKzG3jzSykGJGo7VukWr6cdVq+
cjkL56QiJcN7NDWifFgpq52GUfKnNSrEzijKAJzr4HnOpiHaPeMtFAhNK16FamMnl8h8acwy7xt6
bhJqrELVnsJuTeI9iE76WUBzKYLhE1VIl8xU8RttteoBQY2FSXJz4+8AqA81XUA4rTl3VPBDlrS2
b7hEW0ChaYSBcSV+QDNZ6NK5E7tp9JMrBe+ZoeV+dvQtMsYmxeaA4bam0+jYJCFd86Q+4Z/6YzQ/
4ciO63eJmHfrETb+lR/LBrwvMZHsqjQBuxkEgHuTWtn6R0J63YIdUMXkvIihxfxSGMgrRH9xcXxA
8RXwBYnz4MOfMQ2IvTblUFxTip2x5jphXl2tmsP2xyoo7/vmL6XTbxX5vfS+24GN6omIepYcumAI
HsaYqYYceJ4526mCdHHhFFpBUnIx5L/pidZ5KQFYIdqsql/H17lzuwpPuAFDcDFAy8TBRAhjF/YV
xn7nfjV93fCm8GfmdUKNTFN3B7shDxFyvCbLz0SrpQMWWEm8oWM2uVdHuyLeLlQQqjtRT9QrJghz
yMpFmLUzDWi8UWFbgKPLt16l44fbLgYvU1k04CYNlK8Ndl95Lf00o0gczA1meCrEmZSxSEF9vc00
3bTK8rjETRnuqcDhKyUGyC/gFDsxvaI+xwCHbMIbH6aJM2+XDCcbDtgk5Gzrxiz9Ta5lSp6V5jy+
q5ZV8PkI/mzyWApjhzcK8XT5LHDt3Dw7xku5S1CWQ6SZFee5BYYFnw9cH4H70hYCzBVJ5YNcEp8h
ApK9wuxXpOmxEznE/o238DkRrChAq667Zgm0T0u4DNtPxt/l2RVB60GnLUgnIJuJi8t6yWG0d0Ls
8rLyX6ngXinsmmtoHnvyjA0POy9bYjaF6o5G9L18D5OCWZMV5Xogm032oQcENGIGZ3/DTmpmt19I
X77z0sUjTpxY8C3T0tCJCH7r5zBJ/08OYw63ES9Q4KQJIhLmC9f9zJFj6aXER0g/uauin0tRUV3N
BYV6eGZP2iZTRRsPwBMO0Se8QdR5BV4bPPZWRNSqwSDnFtkNkrfbpk/B+pBF10Ag/Cop3L3F7HRr
PhGRe1yhtr6xfma70uK0ro4CoQNzWPZ/LzIkP7IiRvvuJVz8pIRJL6ho1g33G9aGIzWlo17Cn3hT
QJiwRyN4aGPUevCrfVRfk0ZHhwDpgm6XvhbLjgulz/uWQjr85qJcWMUZg/2Lt5KC1k5mAkmaQzvd
gtrI/haj29O62E3wppM1+GMKqviyOi1+MRnBusCZ+AekLAUPHsHxc9AgoG1oIS+dX7ydMfinAw/h
nqsj/Z+140mMZjVIwruuC4HUhYHp21Ox4JXFGge9/CFnCP/ZoGCVO6ll+eaq8HExS1I/6nLx76Q0
1bK1OgooirEStmNiHTc49WIJ4X+wJEQphwVR8IrAwfnK9D6KAxvXtYCybrj81LUtuZ82A7cu0H/r
3JLJbJgqQRdhC4Rr31bPUvlTcW/8tfrtrV3o7ZuGwIPhJ3MYhrZM9euvyuIsPDZroJYtnlX6tzPD
pHjxEASHbSu9Um2cSnQYIdrG/dRTNX/2Xi/7QxPPXrLXpecE1y5L0i+eiak/AjeNss+phtK9lc6A
bC6lFfeNZdLYxbgA6YpeVEbXU5/6lnM39d+SeKahTiXjOn3ofobLOSeRe9dRc9LsoJdQD4ocFiy7
zgvzj9a65LGCCnYGASS2jsluSXDhbd1lGJp7Eicd99y2xctjPeteXRvRWK2Io0LMiDPj4oErG26E
by5xQPdlIphVXGlJU+1PxPQRWLTOCVBZnsQlrV+Yh7MvmHxIbgS0ULqMTLNwG2WuQ0Axa/AAN7uB
8gGsd50ALrfVeeeMd2srjdpapqHidYp6zUtskVGySzCekS6cEP9gnZFUWTAf6z6tQ17qxiUwNziG
v+PNeUJUBdkVPhQP+OQN2bHtBiKxqm5UAkgdYJNiudFnJYpaqUj19GpGsmwLYbD/zk7sYRonm8eo
UQ+B17nHnFaTeb0nipyzpu0dMvj6yVdF7x2Yx1T3YVt3pb4rCNSYHKoiHQiXi5zg8iAIPr80KjR8
sODmIFFgPTZEMFlxJ/aiV8yNh4XOnOa+j1sh7spi5P149bKwo14F/3Y8wbjjPRcCQ1CRObKsN+YX
26kl+krZm5YfOm9wONODAkBh6w002+5Krdb2zkXCx2PWoOvCDovTEYZUL4nMTwjr9dFr+eOveU0K
Cu4aCwzsu8pEzqU0qNfH1W3y4qmvcXBukAF6/qX/ODqz5UhxLYp+ERECBIjXnNPpqTy7Xgjb5WYe
JAYBX39X3reO7qhqOxOkM+y9dm1tBtkuJUQAJfxkbgd3rubPIm09UticRRLeIKpmG3eyvxBII9dn
AXzOv+mmCmKU4y5TdB5pj+dNTmFKhigpFUwemnChCJYaNtPRslT4oSuyOAbKyEV6RmmJvopLugEN
lMISor8CKXpjWLSO22T0vZWuGc72zgX7CR4hFLbZDS3K4l3sOWP1JAqC/8xGhyTo3pmFiwsR2ADF
6Y6lRDg+FZ7fN3cIDpb+LbD0xEw8yzTdBc6Ml9BHngvQJGyHnyHw1+weK71327ijeUH8LeqTrz2Q
YSEWEcEYoSXTZvGpD6vGY0LUuo1gP5Tr4baYR+DIlU1mFCh6umLCWuhRn02BZhZzUKm+S94vu4c2
GlZEtFCIboYMuhgCVRGDReeLkdHR1zFa7xw+b3ha4rVnCUetWG3RcZGICr8Zj1Kcx2Qucg9StLGV
sd3d3Ho0742GME3e7oyisCSEJT6XgxzVh8sw971FD4wSBmnOXVYV+XrvTJOo/8IdMfkjMQicBOz9
7YpI3FRx9DzSvekdAAb71fYOhXwbUJmcUMknHyiGuzMIM7T4qOUELz1N1u1Ua7SNw7VQI9uROdQL
awgdXaDs4jYQSDLdrdWzO59G1AbeXtfuED5mPLzYxCqwH/fOSNDDbuba+1YGkf3RC4MxwxfJyHFj
XBUWO7fpqviGJ1o/BmD/rqENtvtkX1KZXRDSIYAX6Zebme9bbG3AuPlWozZAywGQdriYrkvX8RSM
q1v/WwO1ODf8H6L6OXf1/Ej86yxuHU8E71SGsq6IcJ4LGJwgG1CcbLuiV+77XMt5KY98F2XKehpT
YcC8kZzTv13mjwlhNlHxlrNgJWut5OXDzHelqj+zxowzluJxM7wmRZoafPeewVoJH69yDwEVWnXH
UjpJ/vLyrj6EXNb8KBp0loodfefVzD/UlsxkXE8mqmEDeEXxNZRQPK9nJX1REXjeFYBSBpG381TF
uG+skh5l5ZjnUj9b/rE6lwGnMGco82j50q7DfJPFBVwGzd1C5k3R4lvuQkDykIOD66NWFuEXzZns
32vspjc8YRZt/aTwa3ldSHtIrLoE/ZtCJv7GnRXIU6QKguozcPfde8U+pSN2im8dh//iIj/TcAcP
Htrx94DM+HsEDuQFAsDq7YG4MW9AepF0MwOSqB4YXCn5BjcyJLetmhz/FeW+bI8WOZJ7Lq9YIMop
Mo2ewgCXz2iHqTpVENGzfRG4HW5QJHMXm3VpTLQS3ou97+IHpHRxkrPoZpxH/VqU37zk5q/F+w5i
NhT+B1slwukWUInxMQs9kpvZrXUfTZS45NhOffq26np8hD3FPLvFA4HojXRpfB+tnJpvqrLY/paO
z/3SBWRj7tLR5PMNlpP6qYlH9V8Gk8QSzO5ZhURWgcsqsqEptwjG5/UtmqV37glJ87eOT+e3HZjT
dix2uIqOrFkTBMLNCDolbwL53CqzlHiwwFQZt7pWTJ1b+6wzrrnqKNGLmSEiWaNnNUyIbepuqutD
Psyh2VkqM/IgwbQTK4z8mNDfuWOZnMVpi3DG5Ew0YVYicaQ2cw2xJaN3GMkqd/ZlEAR3XumMKEFW
v3jgemE/P8WeB2DeRAHr/HYOdbTNHU6nA9Eqszomc3QFhkPcLob3pLwiiCqjUoOaR2DP7FPbf5Vu
DotNQRXCBkxEwoQroWea6vn1S4Nch/ecQk5uLPYVULKYpr3+yY4xIoENCvzVu5swGP+35vDDt8ZK
p9zWCxMeMAkE5NSg3tJnF4Q7qjwRL2/s+6igAQM6UCKBtQMtzd0WYW9knd++0PlF1m1c3rRr2mUn
J0ybu6YkPRsroJ4mbzPnq0+At2TWs5uwmX3O+ObSmzwE0/dG5VBcRmGa4mqsjds7S5yE+FkCjzwq
3LsJHB7HMx88NsC6U6wLestUOYB5FBbpm+9iuTnq2kN/eYb2Xc+fE44BRK1zEFfHkXnaE9hA9W9C
3Ic6f6pd+WmTYZzvyP4hzxPVLBRnAP0toWAD1vyNyryO/aPb/OC9UHfk5SJr8PF+PEfWI4QYJYUU
D8phFKbP7ipWtp5QWcb7xg0GwmSEqd3HYJ1z/xhwG8UIxB1Zmu4wTmVlNdJ0ohRGiGLICqngm0CJ
5RJT+UVwytxIThsw0aVDs8JinyWiFuofXikl+SEIgT6h0pkiMo8R7G7qvGf8gMvRwsgR/YKJOnd7
6PbNEoKWknRL+PBqPDBUnvNt3BHPfZBWqBtwE8n3FMHZ3I2V63cf1JFTQbA9Z8WXBznjDbbJSFZI
2vxGZrLHRs7+G0aN6DfjRib/wqUjwDlOXhdp5/cxigPLgAZAHnYVKAr019NymkUBw68jFeQNpTaH
PjY7bmOdCPYjkfaY0mQ2DJIL7OD1L1qV9Quzpv8X1jG/jKdY9jDXw2h3iBAWXfN1sOLlJLysp3Wk
ZNjiMsHQFFMKfpAT7a588nE8n4jnGK/+QZrzB6bJRfiIpqoRiF+ouPRdkHvhegvC0Fl2eAgjXObk
qgAEdK8wLtPQJfFuR9ACDWqr+lt3oe3PHdQmiAeRX1SXBMiVA6WZrJSnQPCnik2CVpMRMQp8js8O
ue0dVNcSs+Fkoqe1G4jeQLyfE2M94nbjbSAWOecKffU74fzDHu/6pwhomfgzZ0PC7Y3GgCQV3Grt
zvh1XdxfNe+vvCWEzPRFtWxh4xQeC9qlPHmuLuFYlwmZXT84XJCEDoknTyNZKaxNCznfhnHRy3NB
MiegNmp+EPcYkYhcyWOW+e2bUxU1jVhO10ygLTb5vT/VJPDIcfIGYGyZ7f7OxjPRztfusB5Z55bL
jWKuxUYeDHPzD3VxzAdR8H63n3UIXfCI28C3h2ti0PIWlM40bIvyCgQFeUHECMsuncRPfsF7TuUq
Q5xkmP4hLxGutjVlR2TtpkDBshGto+OHNKWcugnjutfQeVGiJ4frdQ4hpiJey5PDVfPqu95LwxIt
Yze69M3WJ23d266kdE7PFZV8dgCuJZ7aFB7nRly/Zcad9ZAfMf2UMSOOlhO1SgeLvsjW4lYIVZ/I
niTAghZp1SdoPsgHCkr7z2KJsDjEnLSnCe0rvy+itEcoNWHyDZAsx1GThpqSJzHkA7J0Wu7YahBn
kWSBAxBzCsB3KY7cV+stSPFG6bJFnUPfgG8cnGUvPF/7j9kyrdw2+PuRCKGqfhkyb8GfuOb6bhJc
z7HX2fiQSZfJFGvaZkX/W0lCb1GCmCf6CYO1F3fRr6q1ry8ED1gCDOZ8vOW9ryPUuqJ7Qa5B+jcq
D/oX45Q2gVK4jNl+bIPgoWB7uALVxEaaG71+t7zvKd3VCOyYYX3g4uVk/QceBdBtAksBPyz5BdEJ
Jw6bcegygPg07R9CLD/2iqPPqdOce7qwaW/ALzfjgZVK7u35Xl0s8JlVbJyq0V/3mvlO3O9My/4l
PKL1GDgfRQ6n0n3yyoIuT5vAcY5D6y/mGHg9n4KXs2HgUUxRjRTOIl5HGdiKZstBn9AJZk47kedJ
9DuvVZcQDUWUB/IzDU2vAY6N8srOPa8Yk9XqCTnjstwXHaYrnmXYtu04dVymxCfcsSIdGYiOnG5H
sAnBF6sPhtIzffVw1A0c+jNCSnRXeQlnYRvg33i52sMy7mdHY55opv6ucChwX0ZGzSfjzN7AbDgd
qBqHykMCSPJBin8IlcNwYx0ujB3WGI5OQtia9CYkBBeCfa/SB2btgIEs7h27j5Rc59epGAhSoWzI
YNalpFR+qFJUd3EK3YBYZvw02LgRiA++3DIs5ThPHK2+JTITMHkaZe+uZ17OiKHJxj9r2hN7wuRB
3RDHQSZjVybpxS0dFb9pMY6nimCQchOqCcEE8WALGrOY7Cj6QWtWKZojIE/P3rKTzaIniEhgfZnS
q/vaFaRXtTjWftecrnuHrNLKrbiaF05hnc2AjoKYLtxB0GpRW/ny1GULaNcxIIKAAqhR6kD9MtqH
jqikfUWDHu1T8Bz+ba9io/eGdBO5mUYgBYey8Ki4JkLWivMMK+1XpzO6O0yK0DcJC/zPrITKnbIw
gvUNx4WYlRMrqXw968lCKcwLCnbeZEm6Ouwskx4H9jkseiPNFX3foTKJfL6NvptOZdn3f/tiHgJ0
ToQ+X6O+gTxwb5uxz7tbHLVaTaeQiL7+phRe5aLu4Tr9cHWHJ6G2kIgQaumar8Z6M/tOjZNxi/wd
qqOhjfnSUVdO6BAWvUzINYG+fCaiao8wxmrxJpGIl09QPRJzP0PHIqIVdj/YQUCM4TU4NU8w33ks
pJktrvAXULHhJN5oBm3Fc1hHaBIiwrUV6/yMirigdse9VKZ9eI+TgnAgNgBXcstK4tCybb2eLUNZ
Tv3VzVKXBN3lJQNFvXqQNfqkcc4652VlFlQxOyfebiD/Bu0uxz/78mphYZvsZaUa2iieSpkUBy8j
+hJqywiD+KmshRtfsSxOPz/FCPcRX+igq4dNSbDlkh5oMCqpd+vSxn8DpyqznXadtX/tiHMrdxU6
5XuMaPNz7iSF3eCCZdAz08WrbQ/O+K5hIPlUGwplNpa9vfGVj3YzwM7/lDppTjdjSWo/EKVZnCOk
1MuxA18rPx269YLgFjRBxXZyihTm35pXwCr7qV8/V2mR5255uSvousKzHZpa4GTfQz7W11Cs2Ib6
3me8xX3IABRluwrKKmGJitB0GTZ10qFyEVEOpE1mjIjvxwjRyUWBlmNPWCeoJnfcdYE8ENTtKCIu
yChv7zkAE4nUMw3YSmKvh7aFbhw0ylEyZFPBCVwViNAd/Vs7ehuPNSQ4d9RtefWjfLRpnJacy6jz
CeCCqlaS54hQkTogc24dPXvL3dikQfePYeDM9CZxRYilvfVy99gARUK7V2FzxzYPDnpVwx5Rfpl+
ta6Kvb2cszm9eABYRuIu3TlL1o+Z6+pfhkZupozqRfWHxBdcCrsO3chMsdtX7n2Rx1dHFc3vm6lx
7z2xjfTlR+cPDmgPT05uftuK1QT7eQbyskdEXI6/kh5CJqxaM4gZZuLyDe7Z5gY1Csc2AW5LpeNn
D4qMdBedU14YLHjVMpl7PJ5TueccrJoHsFEShSHcu/Q2DxB0PBqXBvs7mXtoUHu3l3PCShmxZ4aD
niVN+BNQTnhXQXBSffjcbDg/RqZYN7EAxPyxYNhDGF/3ncjZu7XsiqxltdftPKzc8Z4iHyIOfyMM
4q94HtcwfZGYHlgqsmLJo2PLwnn67qVyDX7drHMOtjWhe1R6oGZeYQVm8Ikigjd2PTqxmEQslViB
lbqmxNp6DsEqbL+zqL1FGx6nJK7lq2ThgtZlSs+9awIBzUuHdvluCROOjpMMWZGC6cWv/FkW1M3I
Mb0s3U2y7RYklzaub+dSey3h6Rkd9JRABvl2bQDdxjKKGpBDcAkkD5BAuB1w8rmssuJMOCdmv+68
ywCPR4do6kC9QGtWnXdci9XM94BpI8nEDW4OMiAxx68zI49q39fxEh1HnDf9oUOxXczbOhhqYu/h
34hnAoWI22Q45Zmz8LuetOFclhVnHkYfH6xJm0wMnuFPOhHx4TO9GRaL1cuhCyIRQqkfU9+AyIXS
cAA1qJvyVIN+kC22DA5DItWmyOWtJU+oEJuFjXn3WQ7DEL6EGvksIUwmJKvIRkRhbtvCZn6PwZyO
lv0xk7C420UFhhP+JduK72ZcymaLB6+3mzlNhPwsVWaK7MJ7E/mYpUvU+jgHGk7UH561mg57JX7m
LhUmAWUWslLfqEKHkDGNJMOBbdgM9QmIEYYDGuaO38Vwb3/MjD78W9YVpfgNG+T26HNnB6QxCmqp
CJgoGYZCMibRPBRo6UE5RvLkd+nooztc2Cjc1CGD1pOVKr9aIIXPoU58CDlYOGoQ5g2M/LcB+o6/
FWXc9A/RA1M/Yo08NZKQokGnSLAtPTeetc7TQDAGTZW0PPPS1WEYYgpnrX4XgSOXj8oHqzPC2YXy
hD20zcankepLxzcMs3vocVusoDlMngYPcJXfR2CEbHEPsLC16tBCXtN6jxnYq8EuNiISagtKH/P0
Qh6CRdKuinU6lE0RVZ8JZcB0UTx4w9E2hryKOo1zyxa96ePTNLuDPXbCJZXP6SUMI6YWuF+tuywk
Ll3Jo2em/cOENjhD3Gn62oMZZpUiVT0FAbavx3A+V7RWSET5kOpdjYiNPTJiBeZlRZU/IZ/VjPmD
qSTtSNM1bBfMEd2uaSj5d46NByojxhc0a1lDYh1yam/T+8uQnZjXBMspYvEndmy0BHqKIotPgqDl
bw55Zox1Ecrb1h8ItkVr8a4r4Y17UZeNxSveY+mSOEgYKQUJIgIsCIxFuzmbzsRGJb996xOx3AWJ
6n/RjATBF52N2/GVIIvbhmhbghOBy9r+QVJHFM44+yAX2qKvowNjPbjIpe6dbUvcGts+f3Imdnkc
SP2uw+hncZ8QqfxdKtteEIwUUPbKlSbKpWinHqqCGedH6uFwU2BKcZHrMr/0vWnjCySGqcXiXCFu
Swmy9/ZspqjUojQlxiQqch6syGkLJJ3tHKycieAc0feq7MMZ2nw91XAce55tt0kuHAJop4ZJDT8Z
S8cXUYmZjS82NOTzbks53EjUH4ymKBOYidOvbVSp2mAz46GDNLGEvAMOGFQil+Iw/utCDggeF586
ZE9xE6I/oT/JbkiciaYH9ONFfu7jYBCXaK6WYE9aRPbaT1IpJMG0gHcwzfVboVBcfoVNylCuCWBs
7ZC/+OmhK13nb6qC6nfAZt7wbbj96+isCz4rcgDrrUX+9Q1BBt8/2bxsELrkmsk5hUI/4VOuvfNK
mttPlYZdC98J6jgiv27NSRFMrceWr7CXHiLn7zAhDINQGsfrH7K0socWDNRyTOo60FsWvNdAm1ZE
7T4i4ZngGRM1J6THmdy5XRtrRqAoH/8MHqumw2CIqnpYBwb7zyyrSObg88laTlsikzbsC4IjHRII
vawv3+Aq+P8FbV6c0FmDvsfNlb9IPab6pgh9eBhk78BKD5Uj7pd0wg5M3Gj9NAk5tYc6XFxF6lIs
idcDf6s3Msz7Z93MJbNpDqNDgeK5Oaq8TR+UZLN9mnyGXUTxVDFe1Yn4yL3T6xCilMwSsfEj5s8P
WVPbEPz4KHE89INiHpMWzjZ0c3wJghlrdGbEMp8jx0XNNNpI0iU0KY4fcqH1PaxeInicMMKG6qId
IrgWvwzRFHHoHBuTkJRRIhQoGT5LRE44DVlDEzbqPLZqhlQI7KbwNyjVUqSa2J+upzVOt4MOeY2/
khR32y5KnOAJ2REg+7Gx6R9di+KfdApx2zAlZw73f3KXEwdo+ct1vR6IGPJRKtbLAJd9KJikgeht
bgPYFYjGhl6wwsT9HZOLBOOsvJIMhwsAgggNWr9y24RlbX9clxI4It0A9EbU5ueJeILrmAlLIPrA
SZLX5az1sBNhp5cLgve0u0Wxhk9iLrJPir4lJNirS19GDCDBjQ0yUrCwO5TvjTN03wWB8v8K0Jvu
zTXd+cUx6DC3LBmbG82vlO8y/OVMa1wyOF5at4/fUs7Rp2Auuwr5F4evQJhvxEsNZrc7k9AzHVj7
8SmrJCKc0O8Cu41QpPfUNsBkZ4DQyTdTKx81B+iy6iiCwvdOQqv8ZxVi/afYLZHCOK7FMYZqi1XP
qYQ6UektbCljfntSq0WKf5VXJ6bHFTba1Wg/iPtKg/52gC4oWY7zpDA2aQNwnrJkZEYq03pjxykC
yoX6/g6l1ZCe+QZ9QM4uguhdI4KSPUcX09DNTpkA7h6q3r0MGBvzzejPmK24eZv7xeR2wrNgXVBF
ntvs/BXkzu26Gv02qnL8wPwIYyd2VFnuo5QycjsO7rVBzNPur2YWBAglZ8b22ThT/8+sAjd+PFgC
ktCKFKG6VF4TTt/Y8ZjOAiQOv1O78FKOntTzht2e+CUKdfll0dqMt3pN0GhuwiZJf1wUPCXwurX3
Tyon/XvTQuHhNEUi7x3QlqvmbtQqaA49XZ2/9SMdmGdZJ+zBibqLD77JRnI/iHe9vrRmeLEpaJY9
W9QrXxANBaFJlO2kqgGFodktmszHhoTObWsHiYsizTLvM2QbHNz2JITNLw2Wakg3flYT5YtmCQe0
M8H68RPHPasxroh4KQ1VcTgkQXNBVUZuKBSK9qdwVobROXX9s2pl+YG9LP1OgOPZfbNwdyPmiGlM
hynC7p5L85B0FInbNJsgqbeDST/BbeNJguUUsplrE80sKGWHt4kYqyUIbdZxF0Q++ViEV1X1tpRY
/wm9j65BhdKRT2h/2DeGOeHMM5Hd6rF2Q/8fFIEJ+Lk0/leVISc54cGgIfZbtD4EgC3RPiTiqHnw
8ZKU3N+5KO9dgXvv3uYmuKJRgSLgrFJYzndVoNYzJPYZbmE9w1EUddz5u3x2McF0tuzlzuv1CC8T
eeFw0lM7QzsDseEe3RiBID9VTaDRAJ9kl+E1FhssH2r8Yw0dz0YZ/Ks3bR8Up2akSbgsOtNAww0D
gM1K/xPsM2csaBUavZzpKCQKYeJdQ+feSrwZ0Ukk9Dx7XKf+9M5UNBMPdcca4T+8Npi392PUQSA9
TCis8/SO3R/B0kf2DH4/7IsIoynthzcFBZ9zmT47swhyCE1xMprbZgz8Vw7xKNoHWVb02yWq0s8e
G0X/b10wXcs9o9zB3YYWQzch3tKvv3RWhZdxwFOA5wQlQU0wFMLjXbnIUd+hw1v6w2iXFj0hihhn
3gVUYglPu+dgjdQJk7snVrzYJAIAunpTLpUXA26IPPMeAn9tj1hzu/Z+wS7q4KVMgEBv4XI12SNp
YLnH4HtlZoPoZkFRzN4U1AOmc1JyQJGF1bZ05GovloMxP60c0Mi8iBJMMSajMTojHxnoJWU0XcMH
wphDAx9ctV0DMb9ma2wkFuC+NgdURW69dxEkPgUpzrNdVJMpxDTFqV4LUgO8u6QLKV6ZR6A2ZbBv
5CtDufE35gWmVlbBREzgHHItYwgKBctAwmy3PDXX4z9qdX0Mu2CKTp3LZJmlFlybE7sdL/1H5Bda
SBiGMjy0XYb6O8L1m51I1Vl89ubSiOYSZOMw/uOC9/I7SBF8XgUuvitZp5XP3rVef0IIkSbPoKeu
C8VllRALqoXH+nC1kWcHu8L/4o5LlXeSQYrmkip2fI+WbMmPaYpweaP7GacZDTk6dlp5wVwlc2le
QkpGcDVhpeptoah5tw0CJfcpoKdntVATr148ZArXKjcAXKlyBfdMUQQKEqKDUoGCVtQtj1Q9HlkB
ClTUHcTH4LeH2rHcMsVQ/cvkCoLgGIlr9EORE53rEnLSH5tT+n502CjCk58yG0JB1Vj86Nk6bZY0
cMb3LAtUe9Na9LRbBqudYGKkTfzgt3Mv9swpBXcDkZXtf57LRvCAei0AfJo1GRNQH7jnM6L3qTpP
mWVixjgmRvmUouyUf3z0p58jJjH/zpBkPBzchAIDsIKHB2gp+boOE2nuV4SEma3e4vjLSNU2Bs3J
DwMSzOAkB8hbtICzC0CeeANUqU7SZS9drZYv6opl+qNjQp2JLbJucEQA5+Ejcjqp6g0C9Ka7S2mb
iwsJDlFx37XsfnYxVEM21hhAGmY76Mt9XJx4A4Hyez7IVebfCjgTcqxOx8QHYGHrb1uEL4P5M9dB
UryM5ZQj+udr4dBaCnbxXDNx4jzmoRsZ80KnYYkjTd20ZgHlrAPhFFomQ/je4VqZIVuMGNn5L8qP
3wcVL/2/IqaNPuGOGoMTgzo3f+fKc51HBuY2eZJpofsTZQxpg3aOfIzkvsuVUge9bB5npNnZ/rry
cU8iwAi3D3OEW/TUbLNZNQlySRKJBz2pA4pTypye6FnwF45BcyQPjKYtFbZHwJG66VJcOPswyPv6
B0oBsIs5i/IPLW16Nk7nMCMJXc8j4COZXr2QQQeaOW3nszsVGMVkasOfpOjXfmuYS5NIVDpcolE8
efchtsOEgHae1d31BguvQ9fwPfbgDTHvBh7F/q+FVYNKCCJn07vmtE5ivCKsNC4rEaP2ZGOzlB2k
AQWf1DRqvUki/E2MvGZAknpSQkMNtGT09IyF0m05oE8xlZr/Ok1e/VmyOMtwU2UBgk2U2OCcAeW9
zx33Iz5Jk76KDBAMw3nr3Dk4H7Av9bxQW/R4VPNo1uR0jeXN35BbD//ltkOM5KDAZ6Hc5QF/BGwG
83Qnh2NOAfgPNza+5AAxccIKGQPgLkhG/JGov1EmN3ZV72VYFu1Oo7b/QNbPbi8PZ0v2LObDTyQ1
HiFC5Kucw4BIu/3EXPxtWK8rnt6rl3vDQ3oH6JC5ZlW2anyHNVp9ravXXzlrNnG2WTT6f+AH2Sfr
JcMnOZbNf14vy++EDNobz7MjZMcOXf5m5jLH+4ay6IvZKMIrs2jT7Q1wBmcf11XxEY8NXDwX+fNn
jnnt2UEan6FuRn2ys/gY7+uMEK1NbFrkV5DdzE9fUq1ssPm2rxgqvNdY+N5/ZZ7/P8FpHKPtqmqD
OHsMtQCH6ZbEBSI+ZnmXNu6OR41zcUZ5Wu5YItcXhTATHBLRx3qDgBHQsoVh2nDoaUyNi9QkGuGZ
ZI9RJJxrJKWwN6pViHPIkwXn7VosuCh0hnZto3pBR0C351TY/GT7n5FdH25J2DS/1FltvvdsE+UU
MA0oz6LxosuA5lBgr5IswlXb8btqAm9y2ooorm5CvxpwG3FejQRIoVtVAokKcsUimY4cBvWvnbT8
dizn7ZUSXjs3Yxfqn4gNX4yEr25Ig42Zx+9TBxzWflylvh98Vz1z56ThiXQ+Mh0WZLMQMho+p83I
uUr35uSRORsmoDD/prR6NronqNLjviblt2Vnu3fZuPwn+9F5sQiCT6vuvAdAy1fkDqymnpVZmaE3
4Wrf2rjw6mOepDjTlqxSF1Ot8WsDGmPcjsAdEDe2La6R3KNIQQSC5zdmIfjooJnRZ1sr72mahuyP
TlzuwlQSqgWJIJ3v3X5qoHWgJPc3GcSyC06/9VtMVOfbzCf/ehPOdOEsWF1stnKa5zcrFuCZNKOs
PVlZG8TZfsNIOIvrc4DWadqOJhj+sFXTL0W6tHdFQ2TWBskMg7Ogj/o/FShIxjRpNP/nlgXSERZh
4dEvh6o9DILM8oPjkEq/RXZOqKXS8/oXT5V+VmZKqUdcgZ3EU3j8DtRNpJzz3rfTVjiUU/smyFe7
tbmCeYWWTmyY8ZWPqk0L2qGVMFWg+UG+w9hYPMU0thFVY1J/xUIiCh+TFAAdjwLBWR092VMMA4if
w8XHs2eJoC/x1aawXdPaYdS2duWriRd0KrVjg9u0cxvvEFM66U3UF5ygqWGSRJYQB+smBln2YeY5
wpIc8gBQNiQ8G9xoCIQ4HCC2j13uPhKQyEEFpsv9QkiJujRbbXjsl6H6CEav+gDn0nwOg4+wkg9C
3rJwKF6SJoQQPTSM689TXdTHaoYBuJvZa38iw6FFSiKNlN+uiKAoHgrq3shr4XF6qM2zE+wHluM9
ptfpLBv6Z5Ug+Ab6tLDnMryNQJu6jnpgYlpPNx8JGMc0j4RMlmv0Q8C7scDNAvNR024++6FDEjMG
EIUdSPt/FtxC897BifW3yrLpwSqse9TXXkDVNtVyvQqxGIMBmqteHYHSa4OhVKCJTNPY7hj39MVe
IAJCyNkzCN70Y3yFsrNtYZzTRu6b4gVmoR425bIJh4wgelsuyF0E075T1IM93lclcoA96glQ0CQe
l+8BkWBis5aWwPPS9Ari3JQRGqH7hEZMyzLmw0jd4RFhTDfvoOIX6WfRZ/5/OVKncIOGq2e+Xg2Y
MOqs/coBOFxEbq+RANaFWUzbkSriVpbmHRqwuzz4iTIcEAIbqXGtP5xNyoe4BeVRAzDyNLzPgs6l
PTWmuAovIVNAg9JGpHsHIPN0AWDJMlEaFJ5MK9zgPlz7+L8hbvrn4PpTI7GzLtxhk0LxXmoX9Tt2
PTwYU3CVvJYGUmFcdPq5nOvoOza95RrlEMS9CiFkvwhPwlpiFnorRwl8kw4NgI8CpUaAJARGFM9s
5VjUeF49E4gAVo43EXMhdB1dHYkxbq/BJLxop5HtGsglS/m+z4kpaTewFYjxojvGgOvSDJH+5vVe
jl9RpDcNBxFTYyJk/nMmLr2tA/SFfUcIGQgfTLNIVE4FqXNeCUB0I+IeAxI83e51ADYIh4zV+S1L
YfZYQkx0d8K1zXtFZG4BdL9N3lDq4/ZMUusfu4HNJd8ONnOXtMJrkuasrrbrhu7N6+pPU9VNdqGE
kA8qWjWy8K7IvnEmt6+1qhlAd4lM65sU8AajeUcwI8jZJfUHM6n2OSE4hwK6TIM7ic0JKs8c2s80
Hbin2XJIs8tcL432U0i6/UZ4dYewh5n1zrLqUpupwCKJUr83Dz6tL5b9wNHfvOrEZIRh0v43Y/sh
ZRaNBUpVORZfKsZY7Y/0kodGZOChsOYNf2JSiBg2Fm1zRsHeTUygIsLIrmUn445o9t4r2PNsRFgW
Xy3OpNNAsVTNuUqz6wKgLxEMjniHiTFgAct9pDPktr4/85jyhTb3MxzunxR8ERk4q871NhvK9K1H
Tzrz5jbDvWrr2WGNwdu68coR+0rlm4Hggzj55QlnoAOAuGG8Xohnjsb6OV0b0+yCoV/+ungv/rBy
GIItA3YNARxM1n2yDlftAkl271G02DP5tVJseQnEFVOVwNRw06lM4ZXM64eL1vkOOyDOCjHC1+Dj
EwzeomDqEOoTQW2BjWagH/kw6PeX2QXpJdisUraUTtDuqtjx71yeRiJc8lpdyATHq8TX6bU73/js
DpfZpxwbiJ0UW8cajyU29QleIHeN7d6UTmj2qLT59IF7Rm+VzJnaZqh7mHzo/5F2Xj1yM1ma/iuN
vh5iGSSDZrCzF+nLSWWkypRuiJL0id57/vp9qNnFVlJEJqTti2lgqqHIMDxx4pzX5PqhUqap5Yko
jqZm84BL+pZKRg3i+WlIJq4U6a29SVHdD6dSD7zYgqQW4lBs8DBrYA0cSmg3+LgEbfsZq8P0had3
+633wwheUYV7jkKxIV+nVC25TDAaV9femIg9El54fFWap+fkSmn0Cma9fK0Q5Au5HicqQ6AMtKwd
NL6RaQix+dLbwPpJVLGtDeSTEOpwXHdvPmJZxzGnAbsydeq4W0zkAvNQ2DDL9h5Z68fKbnh8AQ8P
AX91cfCqG9AXUOjErv7Wr5T0GWChD1gH3jxELTftv/g52dbaT6lVbpBwFDeELp70FSiUeKOAF+gO
cAm8D7C56Gvp1D4Qawy4d/ArS2S4hmxoOlDzA69e6/S60U73su5bEtPz2UGNqrYCRwH6hAVoGwqe
ZalsaOO3/jMVZo+EK8+UTQ8VUv1Q9yEdcSeNAZoNNo3amxrf0U8QeqsDOoIqDcIRvCMNW5qs9LC1
sNmGzeiiyMCR0DcI9OhfGqVGTrLEl7K+8W047rvpuEiWl69oSzsbKQ6eoIhYAhwssepSLLPYKfCe
eUJhEj4gMYgXeZ8VJFixbSAZYRt4HoBSwg2W3mqloozoZN3eFl3RrEk/uTvgKRfPFhZm3q4QZv+1
CvpJCKbUYAzTdDWAMID3wM2rbrI3qq0GagYaPJSVAt74c4jODeIxAme9VZGCvtwYUYREj6oGoENK
hLZRrwsy8VbnaE+vIelrH0dkiMDJyA5LqRbQFvastUHwtp1Jbbbyo268EX0YVLs0MeOjPQy+XOWI
b4HAIGGID3WVO3hLQ+Vz91h48RChfoiCacnj5mfYhJAgtRo4102iWBUihuQyVB+NznAPHsUSGO89
rtjIEMUP49AaCqQ3r00/mRauKBt4E67zISQ+f238zqdblBW22BSp2/GAxeX3G6UBJEiavsopK9HN
05+QjMnLDYTL8DGISr0D18AfNyq2U3wXcElw4rbJcja6VPzTaCTAvr1A9x7jNtXrLaZPxr61VKyW
ehk1DyR8fbDXeFQGK4OLSOXrbxDZqZRIfEf3KXwTDRIw6zJX0vIT8u32U6I29Ba7USvVvWyAhgJc
Lnne0UUIkPVGmIoqj1aEb/BO039gl4tsHasupA0MKcW4VQzTV6B0Qe8grAcKVRVeKgjwkd35eGG2
Gy7MklQGwa9TG9no95VNbb4Z5miXkGN0ARLT8yfParNpD24jDZCQONulO5uU9x+dEqS3CQGSk2HC
a3mEL8SFKzMad7Cw6n9sijQlRQnNQmMJWpy7b1Vo96hVyOQVyBDNu7yqjS0lFSAh1PR4ysUIMHyi
4pbfF5TlIFnFZdp9StA5tFYgcui3AM7Baxkcs0ZhMrTCScUfQ1IvkcGhUmVicYqTAS18Cq7NjxFo
VbitSkAWGxFbwykiuv9ICUcvA8q0wTqV5ri1eXQim5958lVvwvROrTA42RiZTh9dl9nXxNLB0SAt
lT+id+Z/HHXbgGnQxMNP6rT9Pyp8li+kkvmtTcU13OQo/yFmZdTJNkaE9NVng59pUwEVihqK+4Gf
oWdfOKkBqDyZam1O3lQ9bZwENyrYPNEHvjCkjkh22y5HCR7D5+YH2RdVVD7KPIyfQM34JiBVO2s1
ihGE543wh4YgomqydV4cyGjprvZb01ppYugi+DalarntKrHpRDfrUfRDfR9EWkaHGaRV9RV7AJbJ
iugyU+KuAlW/8ZDvb2jeZEMB9IjCMp32dNSoea2FktADDjifk7tGrQf7GhfBnm73oPKlFMJzIoNb
DzDsTVc1cANp/KEqUkeO3j9q2KhCppBEsOLR1SyN9g3iAia2bKEZN96rZgo1sdcNew4FtAglfgBI
Z6Fu+RJiFY12fpdbzR2Odo6xM5ohlHsTn8P0O6RWzUIwQsurDmnGPDO3KDugnXirOwi2kvt7okGL
3o+FCY2XsmdfP/h2Y1XpwXawYjLvIOzTgtgGvh2wIL2eI8SzrSLoEcYWhcIedRUfO7uVSoVfnV4O
vPEh9fWkao4yPsbI9yd7MN8071D2JEgmRs2Fzw1VWbchtoLKuhdphhkFaCdsWGFaTRJhHfrtIZ7k
Izo6+AWvfR/OOpoLGuEH+o9/DB2Ex1ZhCTCVzCJIBSRaU+q80Mn1NgZGph8k2PqMxj9gkbgiPq0g
YCtfS0puP03DKF+p5pbVOkRrgIQqwb9lXQeuPNLWxtinyTQBCE9ihb4JMhg0G9WzY33dtmb5c8IM
Yw3QGeGkhlJKiPhg2XFAj3SUSNElN3iP9cNP24RpjT120tMTAtdP5gOnIdpCxFIPYAo1SREiLx/y
RpHDChFw55sVd8MOAXjq8zht1GCPmpo6mmXowOK6pg6+9GD0v3r45wXbPtVTKk9IP2NERmdMHvgd
dN9txVDHA4wpsnx0g0nK8r5A2d0bZWPwfxX7wUhgxVA7lBYwoLGGctibZKtrhEHdcosQErbxmcRs
JGhT50RtHQALXNjEvDVp4oOprCIQkE6dKM+qaVChkXpY/PS1VB/WyShlc2eHpfZCzgd2y3NIjFej
iqHotjNAvaykRG/JUFU9vMESBUJJntJSWcN+BH8UaDbO7rqhWMVtPR2RTQhvRtmrXT8GCEsJTENc
N7S8Nb5mIZofYrQ/m7xmaaeCpNCw1Gs1mGCAP7EYKSI81rsBhFhPI4scTqPsk+cwwAkP2KLxAAbh
jRxBip9I45e2eajKtL4N3cozN0Grde3alq54w8nK4X+N3I5chWnmfgNLVB0dYKEkqbAs/rF0rXwD
59g5a542nOxcq9GQ75GzXQU1mqYbuG3G0VGp/+5S6tRPQMaoMDG36NAAsn9Cean/JlM9f9BMbG53
AV0cd4uDjeFsQdrp3Jj6pHikl3SuN4YG83gtgTbTinDNMl5jtkFdDYlXR10hwIVogd26A+3SMPyR
ximWrWmVKh/QeoqRhLPU8jaNUmSXLdMu9kmAr+ONA+f+Tq3L6GT5BGSsQ9EX3CB4AAgReDMIJlGb
hrVyxyA5gvIQEP3Q6PrmB9EAEtDC9hY+ilWt5OAFwYrSMG8fz6Vbs2I5uPkrqqKfTV/rvmhjnT26
ko2iwphShEgV5OxxFtNR0R069S1MZEqjvgmeIzHVWINEH1q0123Om4EVHfy7nrINrz1YBCSvMAIs
rwvf1AwtVxEFLaQFBSUHiE9jcHQGYZkbHzShs8tpUecrEgJ6BWgtS1h6gssa3fPORykC3y2ov/Dn
MHSzuu88/gbMk4u+vmMfeZWHwg2mVxf1uFVDKELjEgkhexJVsL5Ix5h4yWOCHA1vrxRAHDYVH3li
9dkGQoFsDtQmy2LdmEI+ouPTv0FgLN9CXizf6eZ6DQ++sT/FkIuf6YDWJ9S8y5ce6fJ8ReUFfR2h
m8wYbUgW4j+gvgGSJ9PfFsiW5odCtXyUNUoHMcFdk9MKug0A9uNaZUIk0Lb//tf/+F//83v/n94/
2WMWDzTa/5U2yWMWpHX1X/82/v0v+grT//fmx3/929KlqhrScMBVWpQ8AaHy9+9vz0Hq8T8W/+Gr
gV+VFa3mXE/qhxaF/Nz128fLg5jng0geCKpjOLbQDOnopmmdD0LR0KJTakUnnFTLL0Zm2x8s7ov9
GOgdMrQC16sr05r+xXfT+m1E+3zE0Q6kjT5FdKoydXgk/mEdqhTeU+naxlofRigDSNH4+8vznP7V
30Y1dSxkdNpeQp+NSrGgtRv0U0+OZdVPsQzNF11PFWWLSVkAiWwAKGjHpronW4W8fXnwxUW2dCSi
NYtzYMx2EiALJQ8QrKewKof7idJmP5HIufdIyLrpTV6WHeypy2MuLrOt8YBC8t7Srek3vTs9IsFw
2KzV+ISZF+zskfbMD9q4wZd2hAs3+KLbpZ3Ah+fysAvrLFSGNC2KcA428efDtoDbclkE0cks+ufE
pZbd2hHIIHJMUAM9r+BjJCboExDe2FlfHnz2xUxHi8FtGz0nuIFCF+eDD9pAazOtolOsFaS+GaSa
W1DfcXO4PM7C2grVMKGjWBoTNZ3zccySBy7DMEkFsx1F8blJuAIp5XRt/dohNblP8X74cnlUyb86
O8ICmCnpoWkZBuSP81FtOty9m1rhiUM+6Z/CAx3wMMhDoI5ZnfsPl4dbXEw+F46sAR3Emn7OuwME
rwKnICUnMpQeHVcRyqOv+/RHLg+z8G0I1VFNwO024UfOD4wYqx4RjfjkZj0UU4x9Sozd6ddZXHBg
tgpfc3eXh1zaPqFyPCEIgPKV09/fzUyZEL0lyKdT0Bla8NzZEfmjwkjD1utyI/tqF57aIiXKc/z2
8tBLi4rdEx8IQd0CrXE+tFchiY9CN7PNB7oCIfq/BZq7XvsXJ/T9OLMTarfRaItAQkoB5AenvPBe
gNkVW4zYYDf4AUK/mRd8+4vJUV7TTLSeNe6s88mJ3B6pT+vxyXKyuv0YRYXWPpnApzZ/M47umKBk
bdZxtoiQ/qykh2t86nnwoUBeqaP3nJVgLq8clMXdMgUNFVtHm20+IfAAAJmaNDkBepb7CJcVb4uy
Kj6Qlye0eCAdTaX5qgrL1ma7FcfSpcDnpycztrzPpCy+2Oqq7iD9F1YWb0qpVwLkXkh+fHnkpa8P
/s7/HVlXz7eMGAYHBBzeCRVz9aOwYkQeCT0CngsKxd+qmsra5RGX5qqpGnpBIOY1PoPzEdHQCjGz
rNJT2AAkdklyHuqyT55UFJZRkMxooFKkiq6MuhQ7NY4kgAPThIA8GzUojDHvqjQ94e3igPJXx/wb
sof5ycJA4vvlGS6t6fuxZseTdnLWw6tjNwO9fnWUetLxKrBI7uEsP7VQ3J///wacHR8H+L6qt2F6
Suy4ZHKKGaRb6Ez5i6g040uRQqL9i3ND9EINmRIJT9nZevqYWWo5nnunrIuNPd06WT/YIQ576zG2
JYJtVmgWd5enufQ10ns3uHY1IY35VwIcHcZt2cQn+s9VsS5dXG63Pf3yK8u5eEL/3zjzb0KmYSFC
O44RSPXfaP4OUCt8/SmwI2l/wou2C27wErauJWyLR/TdsLPoWSMv4rdWFZ9a5LEE9ZrEBQtV0Gbc
+25vBFdi29JwXH+27VhCYytnh8avUfEYgyABMKi6uwhu1g2ZoYfSdRJ8urxxSwuqC752adqmihPJ
+SfPdZh7MGtJfzWj/z7xHW5THbTDKra9Pe/jA4rgzZVNXPoICS9SlfxHA49xPqaZ0DKQPhdgR//J
WqO3lN/ArLLuMA3zKFmmRXl/eZZiipXz/AzNWt0CN6M5mq2dDzmgkFibisG1ZNf+mwXUoWzbG6XN
AIKA3poKUnBlqUD19CkVO693spscPi//jMV9NQGKIdPpWLac/v4uuRmdupSJbocnxUOJY4ViR3OH
oA/sb14cVHkvj7a4tTbJsBQ0Ednb89FkqOCMOPjhyQUOfQMPOQfQD6/52UyoOeZxYR97ADBXIuxS
JNARMZ3yN0OH030+qoFK21T/nTJhX4XAMLTVpqJ22W8uz25pLUlkyIBtWFhSzA5uDLEcaEsbnQxc
ie6a3s2bXR+NhcDStnCvhLflwSRfo61pUzp8Pqk26/DdcIbwhICq8YYetXKrZp6JOqzabC/Pa+nj
MHRTpbJAz8ExZkPV+gCuS9HZNaHamNnTalr3fjE8YjwChB9SYnFlx5bOCQU0QyKsYKu6OvsciyRT
EwtG8KmpS1Sj/azvvg2VSWGn0anr4SRY9uWeCpC4lgkvLSufA2R+g6e3qs4yHLtyCy5EQbJPjwDD
0SAX2zGVerexEZi4knaLxdGkRlUEt2lO6Gye3IhuOoA2OwGpLdc5ZflPmrCQFbEKfa9A4NoQBBpI
5ubQvRhNYyI86Zv2YwUx8Y5OpURkCa83mmlUl18jpTBvLm+9mH7BPEqRZ05lH0pKpNDnxwwL2CzG
eTU+QdkHHI5gxCFRyvGfCPQNmDkRARSW+lPrYJyJ4Kio8Urh3aftfGw5Lv+Wpc+Y57Nj8XGZVORm
W1N3nSqQUg9PcYafJBqGKlooWadW/l/cde8Hmu9KqPVVlGc8ZRO1+jrmCMNstFYIcdNkoN2vfF1T
9JmvMH6ctgVMQpMw+c9XWK0kuFC7oApBJypbA85VgDuVpkWjCYk5yoH4iwIMDz6gfVStL6/ptH3z
wVEsmq686XmrTR/iu/Bf9xVwaGiSR5zRFchRtWNDGIm171UIOf4RwwlDeUHXdwj3du75xitstEL7
fPlHLHwFpPh8A9SfYOWI2Qo0eeeXFb/tKDWEsRC7jRvzYNQyfc0zaA1Xpryw3lwBQAq47SiNzN/U
cYusBGU0Bw5QU76gtYnimygQNtlJmAbBxkorhHVSryvvlRKQ4F/cgZpFnkGyQV+Ysvz5kms9xMWo
MJyjAN1vT3Vywittg8J5GgQGOq4BevpZYjmYXrmflsINIjiaYVpgh2itzT7mCZNWhPRbjmZr0t1r
G00QZrzRecwTwM07KtVe+gxrCaij7XTKkQwaqoaKi99WcR20wvW67fp7D6EgbE/yodEfhh4Oxeny
gVj+ofYUgfnWiXizY6nToITbqrlHB6GnbE+VDqNsVbbDIzIiKqoqA6040dr07ey6H5sbF4hft/eD
oKdfn7fS3XsFVxaO2k5k7TkN9l7Eanglh1s6uFSEHG5gjS9YztazhBDZublqHzsFtqgBF+w+wA/j
O7otzfjnqZNGOsyO/IrD8/pahBCnp2LrfdRblJdpvo10KvOiE3dKm3oFgqZV5xvrvBFO8PHydiwE
ienrlHyZusFjeDZNnCN6jSzEOYKjR82hqTG/6GLBq99IQd58rEqZ/URlIP5a5SJ+7pE7Dw+Xf8JC
QkCBSLLWkHoQUpiF5JgWKMR01zmCqaMzjFQNnOY8Mz437ggdR2tD+yty4ZG8uTzuQupDZoySltR1
Ppp5woqNdwO1ULhHODkdCBfu3XRSrkNy2xujYI9GcZBemetSgELgWAiuA5vuwyzdGo0IkZncdY8R
as7Bbd7S2QtxeXGwH4SGC5uyKelqwd1G+M1vv1ye8dKZxtuPRoBDpVrI2ehIsqUCbppyDBNFGzYw
++IObyC70MNDa9TlsL08npj+wdkVhHoQq2zqJgHRnn3rXcvpwfndpVxcgRiGP23djG6UiVcv7NXn
tsiGl7AeJpeAoADL12vhwVZSVBcTnI1ZmjRTt4rtqlcK2kupD1kPZWZV6PrvFzO2KThg5bpylGh9
vHrl2D5ErA0NXVQjw01btQnKgLWJDmIaQ26l2e48xj6yUfsgnpbr8kItHEXaFSq9a6rQVGhm94Zr
UarC7EQ5xi5tAx6GMjT+GeMAhB6VqXJD8t5rV47/wlHkJS50pG1oQ0FLPb+rEstUsYP0nGNTWPpt
hoc9Prs4btsbxywiwHEdcrF7CiCeC9w0iN3Xy3NeSPmYLrVUqt+qMIzpsL5LT0SMjR4wEOuodFGC
NaqTw3UeWlBal8dZWls6FxKFLLrxujYLLwK8YIGhmHOMgwS0VjoI9d7yW+xAKhRZcRzI2vbp8pAL
EU0nplDBYVzq37Op9aJ1Mh8jhSMIruou7PTO39eBFgHCw/1wDWSLxnbmdUSdywMvzvVX/wRFAaLL
tOfv1lQ2AGecrnOOFdrWt0nuFoCxNISSLdWyPrfCQ/LgL0ak/E4404Uw7dkpammaD2hpuEckl51b
BX/GL9B3Ye5QuEUCGQdWsbs84kIQ46biGT71vrg0ZvtZNhlQYbd2jhHBdOehdX0XacGnqOybz5dH
WjqhZJJELj5JTf7KZN6tJqiAoiaDs49DaQQbGFDYmSjdMGp/sWvQY0EWq3Qrf4uSqIdSa08U+2gU
Vb03QJij+dyY4bOuIA+7SzNFfL08s6U15IMAivGrMTu/cs1eNAGcBc7JJMgHx4g+4hoXUhRPihZ3
qz+vZ+hSOCwjNcapGnV+LHvfD0KcvikAAaUDwpmN4Jf8DmEV1YYEc3luS7vGjW6CAiHLJKE4HyxE
JRr57cA52hzGraRRM0Ge0MD8i117P452Po7eFr0et6NzREWqe44d/Pd2mQ7vBWmgSbfB1urkx+Wp
LWzb1HGxHck6CnK28yHFYLe4nej2UdG0N8ONnOOoj8cyKsynywMtFTAZybZ4iXJzI8x/PlKS9siH
oA5+dGx8LZO6VB8wnfKslVTKdI8oC96z0oHgmymBfZQdaH6tyuN/Lv+MhXBmUBEgW5Ekoda8YFPz
lMNiqufc1Kjg66EpPndYS64ZL/kgMGO9Mu2F9eWhTLGUao0Ki3AWzDI8WoPGdZQjQv4k4KPtPUWu
L5DR0eAEXZ7bwjGd8k4pqZhiEqjOxnKiwk1SzXCPypgi4I7r2IB9bzBVTS8PtLCIEm88QbGNhJNa
xPlWoh2I51kolKNhV2B+EbIHSVomUqkOePyl1WcRAvq+8qxYSC4IGdPnroMYoL13PigUI9cr69Gj
KYQv1oufevZWaD0WKbJDKH+DW4rmP+S+F2CW3RfXDs5Sfsf4FsgPGsMAkGfnF/tPsyx61ztBsxHt
TuMgOTAS2skBAYThk5CedkNZIgABmuJBFPVx+gXyNWrW0NFxlvjzPeCn0Dx2SBRVY/bhmiBEtNRS
vBNkF4iKAtlaGqspqhcRiP1QjuLT5QG1pV3nViZxpAQEeWL6+7u7C9BdjoqVxQbYCgLE1EXkKeER
VByGTvgWWof4W3qPAEd1jM3zPDRObQylDrc2jJ12KpKf4cHDwgUlBHsUwQeEVdG+7eiIlTvHNBCN
EonhYSgwcvt3x54b9CG0K0V8tKuJ5MXNokYARuMOMKybG9Y2B9bh3SNEVpffLs92KVyZpM/SJNsC
0WXOYvGgZIjUNqF36kryZB+nw2fTM41wa2AZZWzNCKEsSALuadDtnecDYtzJDKTMn6fUoGR0lQoG
Sh9kDOeL7iH/VXVGoxzxanetCDxq4fQfEzGkn/o2tZ4SYSU3fWxa9y0+UdvLi7AUvHhmofOIriEH
f3bkiwqsfeCwBqjgV69ugHgRjnZptYqouF4Za/q3Zu86UFUWKaZFpY1H1PlEEcFAxUAO7hERDZ6q
KE24JVIcKDehP909WLUHzV9Cj67QRu/UboUavhFe+agWsmy6zURPoqhGa2BWM9a1qimHenpcItKG
rS1OX96Lm/rqMxdK3G0aSPkPQy375OefrzS5xdQMYgEoa57P3rMSuElW7R5dVO62ZgV/GK9bmHiq
L8f95bF+QTt/W2oHXBRNBFDX8wJNUUjA1XCGjrEanIAfBx9ddGdugjxx71UFCCnCQ2H/KDIMsXa2
XWtorUmIYXg1gt6GK1r2+ZXS2NKzXtpUbGiD0TD+DaiV4iIrMCyjjmDawX2DS92jljvm3h4EBo2u
kr5Y+FTgLGKicJNI/dWM8WutSmUkFKAxtgp6L3Ou3HNLx4FNMali0HMlsT3flcahgNG0tnvMtQSd
cBPYt3rI8LRXV7hL5GKlogeJthCR4PIWLQ/sSJoE5NTGHFDiWU4hctyoj0FsQ2K0qr75qPqTVZ1H
S2E9KiDAtthy43F9eeClGG+DypOSpit4lumHvY/xfic9dBKdox6hcGkjz7RSGw5IGoobVOa7K9u+
OBzKq+SFk4zR/Dmkjhlk79rn2Dtl8tnsKciu8lDR1r2FksstN3HQfrg8w6U4QyAlk6exDJhs9omj
NtHlTtiwpy2+1qvANd2VikJG9CGnPQivsDASKHFRE38ujSrdGX5tv1z+CUthldkiH0zuJPgEzxc5
g5ZWlb3pHAOcLw4tSVuNpKv1own9NttcHmspa5quDRIW6hVyXgYKIir7Zs90JfowB8iMsJO4lPsf
iQq0RmAKrjyZY400t52DPL0SahZmSmES/AfVSZNLZPYBVQKwQoko+rGeiGm9llvFXnb1W6sURXBl
potjUXRwAAhSC1Vnq5pEI9JcuBacxqQMbiK0eFC8xOlzJ6XRFVciw8LBnboNZCB04Ki6Tn9/9500
rdrjqhMEp7aww6cJjrYa3CR+aOHl4SuWXeupL5zaX01VkBdwe35Df8DGC2GDFsGp0SMdmnUY9Ahi
l3UZ35ve8EvNbzC/qclo3MJB8P27Xm3w0718lpZWeCrKTLULJOp/Q0ZiZh5hAQKGQJna7ADhsk8d
4M+TUan6lcjwq681u6TM94PNjk7dQkxqei04oernfA/AJ6v7JBTNvhxQ7SflRnxixVWOfonkLf5S
Zy3C9aseahk8D1hBVKF1ab7ZSjZqawjCQ3nlDCwuB5vB9QCAwzH18zOgRwYQf59fiD5Ej8xT6dvG
PtFrZMsphqPidHn1F48cuHeVyEU7Up8Nhz2fBHTnMFwJMXsXa7hf7XoksVGtBPTj3xtm8+3ykMub
4Jhog1s0Ukj9z6fo+r7ngUjxTqnmgLJawVUzn/HkGVA1QB47O7QqMkI3NTJH92nimDjzOFb034I0
/Y1KzkB5q4gAJmGblf+wG6MTVzDPS7tATWa6sCjeUTA8/4kp88f5Fdy6j+xDiCSYgZkEpgcHpUQc
6MoeLA429YFBeU6opNl6IDltJZWpBCeBPaj3sRqVut6NuK3W+xFJuZ+Xl3+KWPNPYGok6FMmCtxs
dhkXrRwsfA7CU1KkfryRFdjFZ9TqxmtheikjpCFJns9bUoChmY0EQl322AWiNFooaIBGlLzfkIyA
vabhu1ysQT+hOaEBoKXoHPY3rh7mW7CtGX6QsjigZ9/uLs996bRLANjcWFSNeHafb2tc542vd2p4
sr+GQdneylQpPgjXD1yEWIzqWjxffO5RJ5X/Zzw5K3NXRuXpqGQEJ8MIRXuD3VeT7Bq9h3Oumv5d
QbXFfcRew1ubZo09ES8QePCJX2T+X0RZExwq5X5Qb+z/+cynu4TMBYE0LU2KYYWLbrgZ01b/IWmk
rv98lSnZGiYlVJUcbHaex7pzRmiqITQeiftA1VsJNpUNED/EcAr8EkiJ1Cs5wUJGQiGVW0SneDSF
lvP59XiAaSJLglPC2zJ9cNw+qvcCycUHdFq9aBcUnTfsmxzRTdxa+hTt+7+YtAlkC6woTcs5MAi6
SKMNEUFtNEFNYBajwE5VfX7rNmi9ye6VNox7ZdClyAE+VdgUQKl+6tPf3yUMimI2rsrnfNIzpX3t
8gFT6NjhYkra5HR5fktDUXshsZPkfGLehC5Jo4ERVv7JR4AsvDXR/dviWaHvkjRr1MPlwZbKYqBi
eDBAP+P5/uvDejexrs8buFfUAhON6gcVnIzLIdXV8davY9QbaEXQ80OGSFH3NM1wfYD7m4MKlLCW
w4pZXMkcliIHJ1qHhAwiD/OS85UO9Ca1MnfwEBhUrFtvJC9qCsMKtvmA2MiGDkzyeHkNphM7j9MU
SPh+yHUZevakyOsSIfWy9E6JFpUSrecOXfQBab3sPlekty4Uu403aD90xZVYsTwybcH/HvlXye7d
4qtupOJManOUbbvRt/R0ZfsMcdoBwN4r1kPiJOiTOKRA6fYv5mxbkkQbdBSYlvNVNrCZUbhOvNMA
jekJvKF7a1fofb61/GnVgvixb61RLf7582F/ITynlESzrNnmCnCLlCBrH2yuqHct8mOrgMB98FHd
eG3zrq8Rcgij8S9ma9Mc5IOCk6fNX1Go68qm9yi2ZngNvLhY5rxUWPrdFioabLsowXBp5cUKBn2X
p7tUFiFacK9PQRqA0/Stv9tg1JMk922gHBtVdMOdjdT5DaISSOl4am1hDwn5PraD0roDYItnsmVt
lILDsBZlMyJIoOba5xpgtfcXWRc9HJrgnHuNCun579JRTZqQYd6p7nHcWXGxwhNPPTc8tSXGCFeC
59InTUlOt0DyTHFmNpqJaAzn2PBOXtzhE5y1Vt9uihL2kNWKZhMj8fQ3G25wsnmhQ/s2p9Ts3bpT
YIK3pMbBabLdee5HHG/tIO9/aknUIhzMC36jKlf7jIvzNKiCAq6cIvjsdKPkEKCT7funcAzGE72c
Rn3snEIfn10gTeXGQMb2Wrd9OkHz4EVGS+2FIgHX4WxtkThCtFi2wQlRk+pLGVaTwuVo52tLT+zm
ykYuxSteywxlkG1yX5wva6YlaVBCHYRC61eoiWDZ8oTNBN4SWa+X8S62IgRHyiBDPOvyl7S0tBMU
mKoL5QHKjOcj62NY80jj/vURGHprI9++RxGrRcBd878WAw2EK6nV0rpSYOVSnDCqbOf5gK4Sa8g3
6P4JCCy4aw2/G/U2qmRebxGqCYMr8KOFrIpmJpr9PAyp2M+7U2iW5ZMkEM9lnubVfYUzVk448AYE
1pKxGj40TYQpiRVP6koBDqz57vICL8zXAm44EQxpSdEOP5+vjkB0NuLWdULzTNvkWs57oZb2jwGE
48vloRb2kvcQR2hCdcOGmd092CShtmQk4ak3Ukxpx9EQ+a1C/Qc3Q7sH+tk56fAXVy3VBNOZSJSU
guffptlgXpJWRsATqRUbxyl9B1FGYf1EYU7eoVsZ710BxvXKMZoCzezz5PnD24z+PLnjnIxiIfTT
Kri9HgHVYn4GFLhsn3Dn6KIrEX3h04RVYALfMHkDQRQ937/BdDXTK3twzgae8us4tvC6iCjduhsb
be34CeMms1rTqwfd/+f7yXc5UZsoMwh7FmwNX8NUZoiBV3hddo/smLFrw7zGTMDQNrVQhitRaGlN
gY5MrBsemHw051OFp1XEWHMBMmiRFb4RMgIga+VxdwWjslQ+QSABcAVtHZ2n7Owph9pYqjio7x3B
InY3IZLsCPYp3c1gDcoayZ/ok5YgwLT3ygzR5E75QXkHeRvPrE0U+qSJjtho1QW2sXp75VwtxQt4
jjoYCFLs3wr9RTKiad9U9hGkkKPeFniSegfNqrvmU4gbhLIqFKN5BkShF3uDTpB38+d7Tt5ABQ6i
Ff8923OrbSVCfyBlMZbBb8avhs0AXG839KZcY+zyF8RgC+gPiEgih2bPsexlInwdSzP3WMEu/6bm
upYhtWti/7AJ8lEJkOakYnzXj9hwP12e6tJxA6/AtT7dPEAGz4+bi0Q13YBEOboWaKy1rhRNi8S+
VX3/i3G44yCuTQiQORTXxSYpQXuU3s0Y9IcoL614bVCUu4b+WIr09FYRbaA2ZYl5UTBDQxiNDaCI
KB7WawS4kjtdRf8RQmDw+fKUloei+EiiyRNz3h9Kk1pB65mhdCWKDm2ifovcsvucV9ylfzESmAYg
UCS0lF7ON0lDIQtz38A9JoFfb6I0wxI3b9V7zrB75apemhRVNqoP01b9JmRQRLIdE1q8RxGgRz4k
VYKbfIBL7srLne7KXbkU1slCQKryNoUeO/2Yd4ksktiVjkeAcjR9D1erQO2wmbfydsTME7v1G4cW
33jr6GN2Zeum2Da/uJwpnjsq6bMxr7LoMTVYCRj4xOOkfOP7yF9iS/2WN5pzL0LfRRTenPT4g7y4
r6O6vJKOLMzbVslHEP2gFvBbj1tx4cPWXssDJXHSF6VK+mE9tE5+p8k2/moWTvBSOghOXgmrC6kJ
zzUulqljzFU6KwVECCIOnh35p9iy0y9Jg4eO3VXSXZlKZDyTNYRXgsvigBzZKYTzJp6f2xp59DaX
IXkt9jyvyG67j33lvYikiQQXSexdmeDvwQwMFIXJCeXOiHOIdzFJ+WZIcR0HyjjP6DxyX5GE6W+X
P8fftg/aCDsHBoOnI63Ladrvjq0eqkmqYJJ7qsAnvDipsOtV21u5v7IGvUbiTrcDdDnlH2tlzMad
pQaodIS9wL/iBL+bS8G15BPCidk+oaiDrVOgoi0/uH96F06DUsERwiEcgJ4/n2zcczB9rFROLbu5
4elnbKIScV9ctLRnZDWzP411jMfzElgTfNkphp+PJ+BAUh1FnsKEw97Ckch1dYXjbK58DAD5xH/6
KU7DTaVBimM2N+8sXcegI9OsLirQareRo/G7bIO7UHqgVlbus9ww13gGW1e+i98PEJ8/r3fiM3hP
0Dnncxz6LE8M2WenqYBy02vOXeQGaB2bHRXupAiVVeh35RWI4m+RXWdQXtEmzz6irZyd2s7NSh+t
2OwkMI6yNj41qud4CNVhU9RXX0GLgwHYZSthedBgP58havIDah/x/ybtvJYjx5Fw/USMoDe3ZBmV
bBu1VOobhtQ9Q+9Agu7pz8feOOd0UYqq0G7s7MzFTDQKIJBIZP6mPjbkO0+yquqvTg0SBaFxdfxs
xrxM7K+xVtlan7hi0KeyPuYT1jFb1NIR/gVoiDrq+XP/LpwtAy2QOxI1FnD9itTnOqUVNaCcUtfu
1yFD/xXD6ywInUhHdtSVF1L0j7YJLHSXqh6PAQDQp4s4chsI4IrlseNxdOjYHAfE5qfBx9PUunGq
VvnaJN32/CTf5d5M8u9BV9tEsxLMO420Ohaimm/ZGQoms8mIU7iLxcyTbPLoLcaa0++xiLoQWD/a
NUgOgScE2GfYzvqZjl7biF5DBZCgbMFO5W6/GXs0uze0s8fn8xN9d1ksEyXdRv1vUcpYa4qFbu6A
Xu+qI0YAzdcMe2j016uyjDbnx/lwQWHgw8R3YGCtD7uuGI4yt7I8zhMtSa/Aziry5n+EGr6NlaNO
qMJaMa20uswvhO53Wc6fGf7fkemhne6fZu71CEu/8oievftUuxTP7Bmwqy6j+iqXvfc4G/WIbR42
YOEClFYez0/9owOjwXjiHcXuRcjx9AeYEsH3GgfGI0CIG12vzXsdu2tMFjBO7Ee9/Hl+uA/OC9ga
xCOJqTQN12Wm2iNoc/ZROqrMzq/VscCc06UoSfDIHhEmdW8HbCB250f9YJJw6ngBMDbU2XXZMEPN
pPSkWx6B6js3iVqFe4h15TWER2wWMyRBms+mOUCWuIhBVoO0cLhDTpe1qQfRLpnjsay7bDvGQm+u
BGq73aev4tNxVvGnQqNlREq2PCJ7HWIFBMd838texzqko/hxfhk/2Kw8tvlufAzQvOtcURYJCUFS
FcfWqBsNPrcnD5oU7a8FRX1sshRaMkYFPMZ8sfjKfEuxrfT253/Eh9/SggJF9sHtvC7ECtloCcVf
viVS7pSWsnkfdaF7RUKCLmgHZv78eB8EPLBnrgb6jTHfJTtSU2A690Z5rDPMR5SOKOe3dF6v5tkr
ywvb5sPJgeNF0VCFvLbO5HSrwco1jCoCUSIxvKrmb/TR1YNoY+0ex83ownH8cHK8sBYMGidkLQqk
ORH+tjOTq7Je3I7SVFq/lkNcbpRk9IwLx/Cjw4/2JOVBWj/0lZfZ/5WU27XuiLxNqiOnAzfeFM+X
OXTUr5or5Rcu9XkbGq3z7+e/H6p/IGDQ8qB4s8oeI1stM5zhOSGm5t55tQbFC63+n6VTXFIM+ejr
waeAN0+PSSXQnM5Pq5DCHiZMhboORfXbwkgT5brCQWy6I0cew5+qVOguXtgzH64qjFUwXRQj+f/p
qJgNUK6GuXNMa1V9BD3mGvtOHbM3rdHdxybM7io1RpT6/LJ+cGVq6P8Sx//UVtblXqczgUkabXFU
wzb54eGA6ndSr92NOyQaLqil5cV+PLl6dRVjmh1fyPM+nDRMMCQCFmGnNbuCXk8VagqiXXmO8noY
YoTUe03o+kontK2MZ+S18x497fOz/ugLW5Bm/lAiiT2rsI5oQRfj6EswGEQBismdsXIq66u0WSTd
wcj8F9NcyAxAuAh3vGNPvy1sNqPEDxGxPk3PXzDKaDYCbvKXWe36g9WBIg0yPaovQJw/+rbs4UX5
gT4FXZnTUV1FDQ3QqUiF6SFK2hO6QKRB0bOmYuQ4DlLZSsPsfmVdnH0/v74ffVbSaJdqnc0/1NVe
xo0Gb8oWkbKm75w7RNKxksP2oPDrup42uijqjWfVl7TRPrjXiC4LHoBRadpqp/MVvYp4RxIxX5K9
K8uwh28DzsCbcoJNuUnaGuuXDGdmjMS80PoWi955Oz/vZd+cFLsWdVlgAcAz2dB0/E5/wZz1mho2
/IJSn930OumL+IH+iTvuzo/zQbxnnOWdQtdCewe20dPYFI2D1FCDJYoIcO+Q8iBmkVX4w+GEcPVf
DAd7kXLyIm2wBuFRg9Epx9vpEckLdlIFd0u/tUMznOGZVTmCfp+PSuzb/z/gKtjPw2zzXka9WxJp
sRhylNGXitc+14JHIO5xOMyNSfmWNcN8AcTzQWhgaKA0tFEXCs7qqDqi0rPMQVfJiDAo8m2Jof0O
nxD51HiD9ztD0/7CpvngsDDiAqRGSQ+Y/GpEVMrHzsQ89SgaET+oRuyA0xpxXMUZSvxbKr2HdZiN
o875j/rRafl72NUayx43Qc1UsqMXideqrpyb0uwy3GuqvnmtQ3EDlOgBJzN5jT9r1WzPj/7hMlOO
BlaBkBmJ0ulJactJD/WOLzz3dXQEb3jTFNH02qnmBE3dGT6fX/NcALjDE42/1jsYye5MSYcsP9qy
e2tFhRuVEWlHpdesS1LTH0RdkH0U9BEbQ5pr/UjRpAxLT43RgM/V67Cpi2tDhKP0WyWS+6RLOsyI
43BxRf48BnoJP38NvfqkXuNmCfrL+VETKRQWp/GcraeY1nNHGnhhRT/atdyToMGBcRDxVlcoGHR6
/5mZHqtC9tiwzHrXX+tN3mMiqDjeJlN0LNP6Bpepq/Nb56PgR6GLNh4cCLCjq61TysjrcgWkN4jW
6Wa0oH65kAF+mbKVF/KED4ciB+QV+Af0tRoqRBVcarGSHoEdi4PbzO2hr2Bb5qiJf/svZkUblSlB
geIGOz0QSjVZ2YQd6BEjXlTTsCP0x0ya94nDRfJfDIV/86KRSBF/TVhwZjautngjiLnBnrHPJnNn
xyZeVHHuVOOFOPPReUDw5f+Nttoo3ZSNyD8ijahjiYdHXA20604LBzNIcjwCGnyWQh8JYWdfW215
IQV6j+fmSAAPREQEZQP2y2pZZyzU1ahn9EKSEGLAPuSoeOr6gJYClCzMPsNRv6UMZ30vcA7HFARk
/3WOw/gl3sZHewlRMkIeXGLeMKvcQG/khA1kWhyLoR12fZw5NzTmxda2cKL2P/+FwbAjDwNjmJOy
CgSYWMOw0pScKwXLh6SQqRbUSQuQuuloPZ8f7KM1BodjLlqU6H3SwDjdurnV1spUVumRvmk3AfrV
smE7qbPc9rmQ5t6wNTkELZaz07WGt9u9h51bvQH11Xw9/1M+CEq8D4m9GGDgmrAGCEZeGo9tjrBc
UuXObZkMhhc4yuBb4a+wyJZvXuiX9vcHNxnNbwwL0Y1ZsGyrtaYTZuPiCsCrAXX6ZgHN03YOzrzO
y5CKBlGAxC2zz9+edPlAyKBUvWT4q5Sh0ytUV+cxObqyTK/DeazwtvaG8QpKp3of9aryaSluED7L
09RiuEUhZxUJkXNQsQ0F16lMiuND0HUPWH/mX6CJuoGdRsOlAT9IpcHM8CFJEZDNWDenjKGrVKdn
wFRL7UB2+lhtM23Q1AtL+dGWQZmaBzCPbi601eZttcgeI81lKXsl+6qnLX7jRWUO0c1AizPaN7VL
bTFEX2L87MicGFpTC36NMhGohtNjkySgJXQNWk85eDyse+rmMdJNRp0D5c0itEiwDxeB5ZXO708e
k2XfcK3xREPYEUOT05ERHlKRGvbkMdJojwcOhlySzrQdQ59O7NEItHLudlOvXQoV72IgAy9VI0Ap
QBSprpwOnJaum1RjMSCI34m7quqvI4kOMfbzxfDZktiSVC6KvDQ5NJqNqw2LrxTu1l7sHDOznZ5x
qBy/JdhYBV4/OZ+NtstQtISJOAAcOCWns2rEYI29ljpHSetz2FYKeICtEVvjTVFiPHf+270LN8u0
qIKRNYO7ATd1OlidGmRUqZm/uDDCt1Ebzf+agz09x61a/Vj22aV89t0BWSanU1Sj2g+9cS3hPtdG
3oouK1+G2Cq2pmhFjFeXV9zkXj3/RIBsPCCz6f0X0+QdDywNFyVoUKvPF4adXY6QwV8aT9ibslQV
1Yd+kvuIARRX+O522n81ooVdCl8JkdNVC6fmJKY0w/OXop4Hf4TXe1c4MrqLsVXc1ZU7XBjvXV7E
upI3u4vKxSKhu5rhZNj1oIxu8TJCCdpOMlG2nWqNP+i2yB1msXHjF9mY8nDwwk9aGHFh8IqHVQse
mbj+7slZlGmMWfOUfq81gfHmHHSXzIvWfCBSHHIuShRci5AJSXpO9ykSHoq0W0N71cZm2lWi7l4o
9f3Up1mFlGzEL/XYKrvMzbof1B3a21S2X4FDdY/nj8sfOaC/SjL8DuB+f7QIF4Aj8fb0d5RVB1JE
nZuflp7bSu0bSj72N7g6S7TWpYfIlF/BKUi26E6oMCWyNDJa3wnbdHiYcxMj+Ei6lfzVdehfbAqU
jp8cvPrenAxgFwwXjMiR308qgAxgW73+Xgx2+w9YXesZy2S19TWz6O+N2pbJrwtTW+LK6dQwUwMZ
A4FuCXXruNPZ3VAnoZb8HAfgzvcgHbqfWOliTE3aC7Z+ctRom6ESbV0lRmMa28Ye1dzYlkmZzzeT
WmvaFydR4tyfY2eIN1OZRhPszmSu98pUZeG9BqS6OqQRRQ8sMtHXOdSFXmhfs4x/6di9YV1ATqyi
G3c9wAkO/EIuX9Qql6LFX62FGUBf6DjN9ArUuPqmSy+RvqdhrdDpXrSzy/4CSQzC6noRES0FOAHU
jwIpyeM6niZDqeSQ8X5aeVJbe6WdeIj5AOMb+3ouRifaNr3pRYEDLEa7ExLqmIe+0bS1wkorMe52
zGIn0sj9qcaxom1CbypSH/hX7wZNYtfxLlViUX4rMNzM/KGaowdLwv24tdzOwLC+84ZyH7uNVj63
ZhhGNwJFo7l5mMeubro7jGiLvWnQY/k2pwhKXmWVxI4SWwKlxlPYFGO/pxsjrtW0LFpMhkct+TJr
0XBX2kJ3fUeR6ZvdxtgsVqaYH80S3ZtNq/ScydzJm106TWN/hQ9oFu6rtNfbYMyjCvu4vEnTnay9
UV6P7iyowA3GFNr3VV/kvzLKYr3v6KFoto6Bd+HrZE4IyrdZ7qRBXmRW5I/ocJrpzs6HMPkODyR/
8SaW7KakUe4EjVXk6V3doNUtKRaYtOb9zmos5cZoQuenQ3oUb43Gyx8aMcsOWQWMz/cW8mnRtvWm
3DyMeM3Wm04HN7mdezHUWzxu887v8tH7hrSqXvvqYLXeHqReFvqTBT09GKPWwLq4NqZuB6dHJgeh
UKdBzWBWvrVcZuFVhdpA4QO/GuNHrxlqd1tqduxuWgm69bZU1TpHbtsuvH6LioaaBGBxR+emNyvN
oXmAslzQNGEKPWga3SeDMql940y61zzyejLlvVVZpQkGYM6udYl2wPc65szeilKM96olpPRzK048
dGpnER2aXh89LkDRWFvTqLRir0jPSe/UTM/s+zrpbNC9SOvPV23ipp7fuTEo9mIuIeWbo3KTSBpy
Qa+mQ/kzQhVNBiPX/Jtrt84UNHZVfyF8LquWmtGInbgeTzcGehL5vVMN8+9o7mJ0srvKqbEzRrIE
wYdcFaGj+3WfDG7AnWVP+wjzmOJ+HlRFy30jI7jWG6VANuDOJDEJH7G60eShaSJPuzNVoZSHECfs
sQoM2ZTFY1QUSrQb0T2MX7XebsqHVnXyrtq0XR7q2yHUa/SfnCJR06dQiWWs+4PWOpUeFENSWN9V
oIf2TVEBsTo4TRVVNI14PQQcPdk9qq6il9FOnw2jjoIhUZzeHwrbDK+HwR5xKxFJlAkY3X3upp2P
nQgSjyLUs3ij21NIZR1jpWM9xZH6I46E+m2mORj5griQHhJCs7ZD8l//J8Qz7MbUUAfYwBDH6VTv
hWo8zrEyDa+aURvAUXpVpj8GpMbvTcWIm1tLcjf5RChEk103wtG1CQdvDCJL78Sm92zAOYNeFeo3
nJLTfyRQV+teVXkXTVT2bH9U0mIO8Ie19jMSz5qvCsd+s+fSeG6QwNDY3jFe3fY043Uc1saQQwN1
2tavUBSKAr2JsENtnLZqUblykZMwi3oEcDQnGpK5s/zlYsVdBG2mFF9agIuuH9uVO16VNFsmv2+j
EDNgp6yK6wZLqnanxl18mI3c0Daiwzvd96Zu6lDBU1KpbkmqqmKDOq370Cuz0vitaZfaxgytKt4b
ZqqbmCtb+B7vBJzR7NDDXGrBImDiaL0gRlL8CnuTc53LvI03CNL25gN8vE5e5wIt2lvU6NO+2KXq
bNrXiQjjZytPp3aTz4YVI9Sv41LuNJH1CPU8HTbKPDnY0qL52FeR37i8owMdzeyHyMzC7ph7IJcC
2kR6ikOgusyuqntlQ29fr3dkAQhi1ZIQ9bXq9f5KHUqdR5uASxIUY1zMN+2Qh/IBCjYiCTkc3aOg
efQv15sZ/YjKadqNGkpSvzrHjvTAamegXqj85+3equfyi+plnhVUtkitrTGast5NtJz6oLYbc9wp
NDdBcGc4YfpTBvLxKqdLEm/K0HSe8YNNppuhW/jGbm6Z8iA7b7FBhYvsD3PXlbciA/O1re1ktA+l
NrCfoWzrtk8fsRLfzKRM6j1Ypt7ehmoJJr2tHUW77XsU8rRNizyU9jYVSELdqxBNEf2zxjTXb6Ol
kAoaIGI9Pe4MGYS8ZupnmQ51leyhquMKvcnreC6C89nQqp1B42/xQwLOQs2LatRa6J7meSi9KZtf
08hq+6sq6vLHBoVp+RAaIWfc5RrBR5spjruq64zaL0rpflIaZ/kVVPjIW6iWIM+yZvvhc6Bhh21r
r6GR455M0D9qnZeVUEwuCVG+S5UYirc7FXDYmryozdNUCfJCGkddrb8SFctjO3XRjRMn4mdXz1O/
rzUnu2RwsnqxMDmbGimQYEQYecevywYZslQZiW385uVmbPmKUw/3Wl9ot52CJFlU4ybgVDXuCWOn
1Rc+76pysPR1qS5SrPjzJrTWALvSGugMCSV967p6bIJsspOXgpLUxh7z/NKbYVm6k8TaBSj8pycH
UAi+9aqk14rItehPpa9R3CnfUjhR3R13R1VtNPgM7saKKOTuS6u3vIeigAC+bdSu6bcimknKMiOF
WQCnrDmEgPIfTdDAPWXezuv/DYfYrcwNZH2ZPA1KrKo7eCaFekg80f5uStvOiZtuUd3MgBz7K3K9
0riAdX23caDrIyvC04zDyGN3VXfq09FukZGyXmeyZbHc5lr0JdNjcTMovWDTNrISF2pd7z4fYy4E
9oU5uYi8rV5hQpbupFPwfV1uLenDjxiSa6lQOvErL5KXFHCt9dOIxaE0stT9YcGydVZzjAakRuc4
UV/HFCe0XV1rpfwyKi3e6BYPmWFrCW2G1cPXszalnrs/QWf0ekBzBrbUpOTJmPspjM78e9wgeGfv
YZLO4l6vS6ldYa9te99m/MRrHNIXd+XSrw0jrv9Jpjq0SM972AkjSts4T/6oucmibYgUR3HvuXlR
BDrQxWyrS117Qddx0HzbbBqwkzVdNB45ddpeV0U8x4+mqC3xJSr1SuLeboyy2oDyVqNAwT9ccQMk
MsP0UJiASv0qCXUMjyFtKltHz6y0Dzq715wdSsB4ngej2Tro5RAsKJBvi97qFzvzqitpooVp3bff
zJkr7NkLo6J8c2JhtZ+sXRGrFqIgzzsVWgy1q1XIQoE4TQYxTC/0C6JtMpc4FsWJe+/MxhsWj8qF
Ptf6SrBhv/FAhstFIVWnpXUaITsRj9oQd+qLUvFW2NlTFu0mJdO/qLmVR3vVnfuN7uZG6mex0UR+
a1eZeWHjrw8bvwFVXkI0JRDabWsl0SFSlSj3Sv0lsiMjcNwseyyHKvap4JukHFDZLhQj3xVe/ozI
wQY9gX4AlYHTWWe1Jq0mbfUXxySrSDrI+3kskt1QhaGvDPa8R59DC8qke1ISJb3RpBkFbpNfEtP/
YOasPIceyQoKTfqqnlZYccEBz42XsEuSgwrzamv2YvoK8Eq9kZ0crs4nAGvxKvoSHE7KWkCxWW5u
i9OJi8mRgzXY5suUeu1vp8vte493j30DncZR/USmrrfpumzO99h/KTxxhSK2Uu/reRMO4NN2YC3C
CwWNVfX0Pz8KHVd4DNRrzTWxIMJ+R0J1M1+AAcWBjr7S1q0aqfpzXw4/iwotgt0sjFB9vrAay/L+
fYctq0EHE7oNt+Z76dA2m8C3ERlf4tgNn8CYiGKDkGV91cSd4W3jKp7mTRam8UvmVeKZ7mm6hXir
ap+8bf78DsYHrERlmprg6VcxvaRKrWG0XmTbu19SoTtB6MV2RxLYOCSdbpXJ/fm5r9aczhhJEeR8
hNkoP8J6OR0yk0NnzFqsPxvfCTCKj8138uBdqByttve7QVaVqi6GL20pkf5s4W5vaEGkXCM36V7q
mFyYy9om1nZGKGCoCzKX6Mr5pn6fDpdmsgqT65kYq7sSRU6r1vNUf+bTxLda5yv49/yKHrsf+rfz
H2ZZ+L/25LuRllv7r+peM+qxowpG0h6ya94t1ta6i68BsJ0f5tKarSKg7qRpVQ2sWXhXbtKN+h1u
/wWU2KUhVrEGS/cuVMJEf7aDJjA3oR9vld35WfzBfZ1brdXJSQBtgs9nGs1rc9/sdwli4778gaOt
/TtR/OToHaKNcuBxbdUXLpF1VfTdl1p2/19fqkhQa+wG5pdGe2FetWEwFV/UdrGUtZDj9blB7y13
GxkHzVB8xWp80O2KejO3O37zZiDK2Y88Z1vzk822d79s+TJ//TIVGFWaj+yh2Hkrhq9t+SLF9/Mr
/+GBgHWGAiJQekL46RB6LPWBqMX+yfzH4lr76f2MNtGuunBhfbiH/hpmdRqqKU28OGOY6t/sqvo1
HZXDtD8/k0tDrE6CYtedURRsIbmNtss2xXpi878NsToJqOZRycyXIa7r2+haPzSH7NJJWBb83Un4
a6VWJ0HEZu0I5EGIG6Xn97fF5INTF2+1wNg1yH6rb//bnFa7v408VekKdn/173yjPBnX5f7Sx19r
gvxnH/81p9U+djItrhXacM/hz/pW31c/7S9D6o/Xvdh1T/EPc/a7Y3wBznZpO6wuxi6rRhEnjDlN
AUoAzUapA+/R/vG/rd7qZizrKKcmxuoN2/HqP5vOOJwfYvkA7zcEWd7Sq6XKstrXYBLnoq0y/dkR
15Xy3TW/W8PsG8PL/zbMam9jjBwiEMMwdbz1rH2aXdd1kFxUXV1vb8w7aHFCpLNBYyCit4o3nSPk
KHJ1fvFaNy59LRnl19DVqeLQlInNXVVW1HJ4OyRXCvCmcpNR3fo3yYRJ2gF45PVzs15QlSB8KA2Q
SqNqvIpL0zAKI+1C7cXNcgDz6lg+CKVWNhZmZ7505vFCJrWs4t8fk/HgalIzAxhCvWWdIvM25edk
Xvwzwj/d9MM0yeHBhs50IawvUeJ0HOoeC++NVJSK2brBj7E2jUxTD1/6Vncb1PQ9VarXslJmVwuc
umo/iXEm3XcYis4+VTqcGf9csn9dVXkUO0kk8vqn0RQWDsx6qQauAv7XsWZIk2lXXyqzrA/4QjlA
YAi2B9pbWPOujl6HtJA6J0by2upKcjPHWfJgwwK5owXkPqDLVd3mZehdyPDffb8FUb24pUGPRFFn
bchTGLk6KrSqqHnq7rYZcV4FSqEH53flu68HjoCEnhXF9R5Ky+qQKLVLi7rQyleh4OcX0LSsvnsL
CXU/K0Nx4cZ5PyUXHsmCrYOURLVqNZhbA9oAKli81nYpbwVEl68lbhkXFm6dDrNYVN+WwgTwaV4q
qyimhvPQKtTNfmgaHfdasa273km0K2cyu02f2FMamFGGyW9a1I/nV3ON2aQ6jSU7IgwUCHh98lDk
sPy1Ny01zxoljtwfTcyV4FfZ6IpXZ1SleVdWsaQP4IrF56XBoKd8pH6H8rdvowKu/JPl/GcXFvxP
LebkcKJsBqVwUe2HoQlu5PT3cBWGtLHN6KlT6BSlQZi1Trm3ZNdHX4s5cpwb0ZWmtrEMV7RBRNvI
81WTnfddoOlX/wPjUU64PFJryDrfjku6JL6Xt3Z7XeitVW9KR+v6IpgiGv5Xk9mm5ieBoCwphX9c
a/Tlb3A/V5umyT1AIENm/pjQzbqnHEQLpqeM/CzcAqMo2kgVDKjz3/HdgQcbtcB8OX4q1M81qFiw
eWPXLtwfVH3SABxX6KPu7FzTkTcO4Ww3dyam8Ifzgy7f4vRbcd6hlTFbHtgU2E6/lT7ic5WlVfij
1vvZ3gp0uHN4R61hXdGpd519PiCMeUiKXi13tjKP0Z7eq3vJffP98YHLAZwQf0NOI4qspz+jX55g
phMpP8zGKedvg9J5hg9f2zYOcdd4KKiIoam2lUqXb1s1tRV+Pb8O70ISSwnK2sGW6Q90dLUOalqb
VqLq1dOcoetGLzUdx53VhAihltKOLgWld8Ox1lD82VzwvtD4WR0RNxIO2CQne8rxLgaD25Yo8Stp
jcpBxrpfiBDvVhcvMUqIZFd/AJt/qm1/BYghG0VkxVL5ATh3+ppLQwZ1bpT7OosGhEFtuZnydNyY
Jezf88v6PjZ56AotSMPlf0i9rg7SWKpWKMxcPBmxUO5F4Xm3Zp9699UkrYBJmzdGVuhftdCM700t
/lfXumJ//je8O1fcZossHor7UP+xkD3dW55VZKYSNWTiXDSpXyRGtq31Ifs9DFZ5bTbRSwKoaHt+
0PWS0wldhNAXCD0NGphRp4Na5rBkE9J6EnVVfmkjWX0disHsv9Jonf8dUOWzN4U1N+l9GM/hJU3W
d6MvzUQevYzPsmOicDo6feQm691hfLIrx70N86SUb22te3mQGKlQfSDnY7Hnahr21UQL4bNfneog
tzp5JyJ4y+W0WvKwj0Y7sZPpaeBhpAVxqrvXZebK7Nrogez5VZdP9yWonu9p09rXZT8lb0YVjp/0
7oZZtPikAhyGu7XQ21enWrG0wZtkoz41bYe1CAlCLfaD3uXi0Hn4Y2GEVNQXqsTLn/l3REVICzg2
+DNI2KD51vxgORZgYgA2PGGy5m46s/ce5sb75RaZsukh8V7Ipda7e9HtWnijZMFomRJATz91ZiG9
37a1eEJfmJpf3w13c5vMO8XzIt1v2Oh0RIr29/ntvXzA00lCDVmUD7EQWYwTV8c6yiyjdkijnlBm
l8ZmGq302TIn49Kd+NE4HB5aAQxGp2m1kQs5IISdeAZxsleS6xkJXicodCEuiRStA7KxsNYXDWFy
NOLkWlOvBU9m5LnUnqJsxAtPC6vtQJvTj9Fj/2xoWIYio6e1YWC5uJbr8WRamkBStSfawdWtMSP0
LQcz9DOLLapmarrpEJl4y3vvEq7i/dYEpryg9jHf4Jutq8Ma5Nu8lbr6BNTc2ZW5cFAJJeNwffxc
7EdDAjo9v08+GJE26yIUtLT7yVBPd+eQlWrW9mr05MRZuwttp9t5WukhihSDAXea+UKb8N1pALG/
SLPyFdErJh8+HS8q1b6YSjk/pZWeYytESQmPrDhQOSOHqFDtbV3J4/k5vtujiAOqyCGiYe6ASl63
BTEYK2NXlPNTVnnKQ5Yb5s5op+rCrvlwFMQkIO2gDEh+ejqzMAIDIiFYPHna2G0mxF0BaMbj4fxc
gOWuTzZFAjYo3MU/2lnrlqPVlzMW1mbyI1SE0t2EYoLeZRtVk72NdpO0qh9nKlqhvgHr2Et9BDXQ
XphFbxVL/xxe3O8pTNvpyh4wMUAvOo/hBKK9UbcBXu6690YbxJky3xuxKDuiJYV7Q6DE9iA830S/
VuGKHm17Dox5CIuH1qhkGqJH2Hb2XtSxpMiVLgpOwTCJ2Mo2ITS4aQxGx6mLm6gOQVngyWtQ9d23
CMMC40oR+LeptLsALA/g4Jq49cPKQiYrQL6gn0Eu5mbdW1cSyiSQpqnSG832YyAcmUNVUiaW3w+G
KG69FDzffU5jXAybrEjHJttaTetmN/g8xtUxSfWq+l42gHfSA3B4My2DwVZDMKgTXslR7Ncatt2o
cEhRNIqPuFMOlA/TrZ53jtLZ2M8MVtMcqGpo6fOc6igA+HFY82r156GObclLiVrFVaFa0/yA9XEn
cHwr3exf1SDlqHllNr3yEFqTpOQJwSPdCWDEya8wsctym4Ct065S2B4Of9LIN7weuEHCHQ9vO/23
GrtM3TVxPgyB1cy9/WTMnmh8w8r0Yjcm1ax+cSPs8271KLcSMH9GLbPIz40YvzugNZCvfMfEaO++
08Ic3uUoYcJe5VniKFdRZHT9N1PkUfGC4Tv0L2/0cutLJkC0vagqRZYx0NJCa+ZAdVLTEGySssId
Afe1f+gxIhVZNfqYbMPcGKydFYGH23teqaibSW/H9jssjLbcT6S68b6mJj8dYrtGL6IejTDd9GUc
tRvHVSIzGMIBbWgZGfjjAWrzhkA0BiBVM+xrcQ0xx3a/Z64i3eMUTp6Yg7RHAGk7KnkVBYmQsbVP
GrWIAXfabr8jH5uzwHJbKIn57Iren/izk02vqWOUBV4CvivxzbganMnX7cHNBJsdwPG2b+wGKgO8
kG76osSKMl/TjYq6h6GXevICiNu09kPoOt2Puc8NuPVRPg5+kSMS9BqlMBK2IMdkUZLUtQvcncJb
qz7GZpPaPhLWse1uTQfFK5KuyjR2tg1B/04B8GpRkrB71cV4t8WHqvTNfAKJ5uPohSOTgeiHeOQn
uMNh5NWaI6jS41ApEVsqvlWdMtf/NDzzM+CIlWl9mVytsdQgAW2lgXIdHMBHbD8gis1sTlVQZ441
lYGaa6Klq09WXKC4XhoJuPkZqNl9bcYOjNM8CfvwZ8NPAsaoAEQPrU2ORrv3NjRlOL6a/TiiLBMh
6TDhfkMguEuzsIgOrYakoR1UNXYLY9BPJWpxquJoFdr4ZZTOli8cS3KnamWkaFd9H4nyd2laOKJe
ZXrKSmz0hrfQ71mTbrItYyfy3s5H13e3IULR/yFC8Q6jRrrKZphGChQ+Vx61vC1d31AL0whwmRnv
7P9D2Zksx61kafpVynKPLMxDW2UuAMRIBmdx0AYmURTm2R3Ts/WuXqw+KLO7xdA1sbVJs5sU6REO
h/vx//xDkbLVqFWTfnAgntc1sBRWN1D650gEWbRnhdrcGfPYdkr5kiVOK3C3171uK5XUmF4RkFgf
OTudXzzMtSI0GAzyK7TJH9fBn26aRIqCjmE0xnCj5wUyarrkLZ+Myr3Iu4HdRs8zZ6h45Ivod4lu
TdrL7+f4ly/8I5QSlxwIQ6uH1nqO/vQJLEdtCLPLiqcGevuTlxjJNzTr/a1utsge/ngsVFdAmdxx
VCgaZ2ey0SP4mIWTPckic/Z1Q+BaCBotBj8pWyLWfj/aL3ML+4lbNGA3URAgbGerRzdnBYa7zJ+0
sYZV7iGJvEPHJ26gzZc7hBv6CwVuTlCDU9RPvx/7xz3954J/lTMQvoRnzKrlgVD5flpT0wKSoT58
mpMxemjsDOBi64kWj1u/UtCSbIsYC4AArZH+WndzPJXoaRoiUAN9MSftdnAiZfoAdP3RTnj/qbDw
hC+7KuBWTfPZlPS438FO7tTHdM39SHeJValINiqXmuSG3Wqaiq2YAReAcrLFAUXMks59jjEaq4O2
H4q+DvqITBims63ceA8UWNlxCFWd3cVoRrX40/eR2zBYPvI1fMId5Kzv55HYpnn1JtWfp16r7R1R
j7m+HxuPGojaKPnorvEL/kJVqlMzUg9jDwEAsi6qn16HtGUlprOlPpfZYhpXgO76FEau0TfbdGpL
rfTHmO1hp+uKyDTfYQuKb+LGGo1tZzmodH6/jn5Zw6QCUCbj+7Ym4fGR3n+cqVX1WBDc9dz3kbPR
inxC5FIPOyvT+lAn7WMbLVYbTEpefdCZ+mVfoF20ShdXp8SVUHoG0PPwlbRxy+SZCxmVpkGganTR
RJ6JQgKqY/mHKAAWbBTQ/A8PGheD82t5KcZ+KSl6n53FyQ/I1tKD3XvKHQzh7GBLvfhDEgvjrYlh
bPdsQwAeZxOL/U9HlODUQ1GvIyih9lA+4jsXdaFoa73z+8XqEEyWkfmBK8ev88rlB1wPEJN55VV8
/0RHmrfrVj89WykEvWObeUp1StJqyUKnylDI/X4B/cWCXo+01Xhaw2EbduD78SraYuU4jN2zggGT
+pBmtF3CvnWr+kKdYzM7gg3gDltPFgVGWQoxhQls7TRw6zT/CJ44P9C59GFByYUJ6AX8+Nznr8xL
N8mHMXnmYqiFs2VHh9646hwjiEGz9r//6r/ONPcK7MTBjE2S0s7DkKdIh/3Xz94zjsLtp7oZtZus
sWVBTbXEd78f6xfCEl+M4FVo18BnTOT5N4vsSni27JTnUlQxNyrHQmmUBhhyePQ/66Yo59uaqr4k
qVeqCio56RWPTUsT77IxlDgWtH10txb0gI3a1LYNFxD1koyipDiWkNTmZwmB2vqUTO54//sPfzZR
iLTUtd299p7Y+UB/3y+RxcjiiXK6vhtlZhxQTRd74alU4cRSfnAmnw21Gk2wCLE/wC+AtODzCkDE
CPucStWe6BA5yZGl17643DaTCw1JnxL+0RdjNIigKEVwY/rRJFk/zU+buVF2am8npf2E1Zf1hK4Q
rpqtWJsWcc8H79k6R+9O1h9D0egm1xK73PMG+2zNSPsiG7sp2MTrNS8OUyyT9mXRLiTW96afsWoO
nOrZJl7MP7Sz//FNkVrSrl3xTUw13n9TaUFFytPWfSKAG6rEIr0qp8IQCVf8WPU+cs785T1GeM0G
SpMAiito49nESkMh1kpXlVfXkqQNDosRZDKOj0xBv2nzKvuAvHM+HquGUCQa4HT2QYnPWWl5irIY
O3n966DbN647xMeOpOOHsS6fuGp9JIz+ZTR6HmsrAFk0MeNkL7yfzKYfRU6zYnp1hEpDf+lU5IhO
7aU73WnSZjNjiPAR1HgOV8GBwdSQ5j5dYDbsc3eQYhDdKPNFffW8qLrBKqu6kBlJCL9/If7imwF7
Y+3EnkhG2nmfAdVbWplurb4qMhoe0fDgY+/1RVjPZlb4uvJRVOX5605aDVvLaq9KM2F1CHk/kxLZ
9tQ0Uf6Kolz1Wy8pNgOBlf6QtcsH9cqvX432DQ+N1x1cmmrx/VAgXMxtV4jXarK7nYqPxY47z6mh
Pj3NUzX84VWGGxsO0rS7uWOoBi2F98NRI2ftjPnR12kcc0KDXbGNzbgI7Nqu/vAcw8eK581Mrq0D
ipaz5UiYm5kzudNr78gauXy5HFJFjy8T1KqPf7g+eFB4hqEY4YzmRDirfqMGza+xWPJ1Fl6BwVJ/
dGNieZDfiGTfxfYHp+ZaZP28aWJWxesFTwigm3P6fNGTugPxwUun19hpnGfSlwnD0CZ1RF8snana
SDAx/ATgM/1hdic2WWhE8P/ndyk3YdK9f3zm2Kjz4lblq1dzoPoUiZG/cMkOpgFx7gdr5ZelyUj0
LTBuxp96XZzvB+tsXBTmzprZT2xvH+NT/d2Rcnlyi8j6JOP6o/3rFwaztcYtWqvcaE35+uXbgZ0l
hRZFyldMEd0JC4SiWg64BmKYEbhFF1V94Cxz3uibpeuL8dCQltwEVZvWyWHGvHtQ/SFlMfqNdEUZ
iiHNKuEjZagycZFxLui+pqaqIv2qMqJS8yWJ4Q5cnSL1FARgnaQzY7ZJMzz82fpcSSZrDBb1A9iM
aZwdc2qvleVsV/H3OdLmO0wdin3hze1m0u38xdLIrPj9eOf7F5JcEBHqdRqUiGvPbwmqbJRIbzvj
c1SjIoNwMvnYDeQ7LPKcj+7m5ycA6TDABDhvk94A+eA8NqlOeQdMbtpfEXMP9lujYkgt/XiOpVKE
Mgaj2MYLga9bPbM4DYMhhVk5+WnLUY21kximqghKJc2MLOwhipmXi2d20mf7dYuPlvQv+AbBRKvE
BBwBWxkYIGc7OydnMhRRU7xKgmvGN71F74fZ8JCPyKUBiRVMoHo1fxtiBek/Jq8ivo0RioJo5lTI
8a7iuC8/qkvONpRVuroCG+sEIl1lb37/plmRqURRo4m7WlGmUDcGbzsXojhMdSWDvE8dILTE2/x+
kZxfsX6MiiKYEBpuGdianY1axl0W2YUl7sj+qbZuNib7gnSTY62DrXTWOFxQQAxbk107sDGlvEaN
9hHb/WyPWT8DLCgKT/iIvCHnGmGJS0kdmV5714x5kwXCjTRST+Xs7hxSDK5EnCbFB7X8X0w2oCHG
fzCR1hbtmcgNcvDYTLXW3uVyNm4qUtB3ypBPpHB5Aj8HtpwlMvXd7yf7LweFaklLD6YEKM37J6zg
gtGIcuzuyiyvDmiIi52qtelJSSviiddGglJn4wdP+Gwb+DG5a0YjiwoVI5yr94O2ltsA7oj+rs4r
TOlorQfoJ5fQbEvlg8P+/MX611g2aCVtKYSb53VMkSkd7RO9u0tqxa4OEnxC9auiNqOLBYugeFuZ
JZ1DXoNMu+u0zJzDJNK7zDdx+hC+hqC5/QCDO9uZ/nU/XE9o9kAwMe9szlV0pPqoVvVdWqTxSfG0
YSPr5KMK+OwG9WOUNRCDGVjrjx+N1p8ua0JL2RHaprqb6jk5ybp/XUpluhdqnISxh1kodili1yRZ
u4cw+fn3y+r8Ca9XYLBiE4k90lya7++fcKbETjbEZnqnLF52y9GpBF69DEcrpeT6/VB/MZsrd3A9
nVeil3lWDdBumgrFKus7ZZAGraRJXOuFl3/5/Sh/MZsrBwQ8An6rhUnf+y+EC1Gk9qnS3OUaurwi
UbsgiyI7NLAF3AzSbPfDbNKUblfNN+L0j8LDz/cjPLmIGGAVs4g5Js5P6qLNRwNNqrhD9Iaxd9TQ
k1aNVC3C2dCbz5UVRx8doOtb+FM1yQJayaDcw/FogNZwzomEw9HkSavLu2FUlItkjKd4My5K/w2S
D3FLMIm1qyoS8hUnjfFQ0tV6lV5SvmppP30t+Brpv6qH/3yd/lf8Vt/8a+z+n//Ff7/WzYxTTiLO
/vOf181bdS+6tzdx+tL81/qr//efvv/Ff57S167u6+/i/F+9+yX+/r/HD7+IL+/+Y1NhoD3fyrdu
vnvrZSF+DMAnXf/l/+8P/+Ptx195mJu3f/ztFWm9WP9anNbV3/79o8O3f/ztx7b0nz///X//8OpL
ye89/Pf/7vJ0fvvlV96+9OIffzPNv7vc5QnGBNimKF51sePb+hPd+jvnH4coXAoDZvjaNqnqTiT8
kv53OlRrjYS13lpP84r2tVx/ZFj8PYvgZLwO1sOIa+b/+WjvHtL/e2j/gQnMTZ1Wov/H385WLuAN
VECE+oxFlUlT7P2b43iyJ37ZMAPO0ReZjJdD4V2ULZ4p0/jBS4oJwPs1+2MwTu0f9wMm4pdcQNnr
AloYdgXAtMt9mTXEeJMZkSY+beK28vVm0rVTYnnZdzIOKndXJsY4bLReunt05UpJ64wq1sdiKmpu
FbeV1iGP46y/0Tm2qn2VEliwtZa8Ug5tX9rTBdbkot3bzuicjLRo6+uc7f3S6lMRX1UJHIBw9Lqp
vUisOW63i6kXSTiUbkx2hVisfqsRWdL5WtYtm7zVlypEv7P+kgXRwMfNyMh3QgpxA3nE0baDkVfG
UTYlKaBF1Zbl3oS7VQTQp68pbflLgss5tXVTNi9e7sJcr/PFACDtndbEZwrNlp/J3rjJ6tjNaIuP
FgmG3eI1fssfCEa9GOItm7WqhQDq6kCDRE2U0zhN6oELYC0xFRlp+QWLaubtrrLxEbscmhQjsrCQ
XLj9bLEjcdC9KouCEp6t5+MtKEkt7TWv2yULHW9fG0kUDPqYhwgtMvMc3+pl/DjOcqkOSz2YT5mC
7ZlJvfsVy8CNpim3UGTskHZzQ0qnmKk/G2Uzcgfz9R7fq2INKoKDwl/KoypsFEYcIJCno9yYSqUF
hdaLUCZT7NvCuvIa5y62kybUIvHoKViRiclGeZvoz4l0HhBM3DV6ejLnVVus599IDCZYV+bDYdGz
MM2XbMuKP7Szax2ApCM/jfHS6xfs/XKG9rO0Paa2PHozrm7DpG8psnNfM8SuLtsyUKw0yBzlephG
qAALidGjuacrj59cPt5ObXaxqGUaJpmy7csaostUhTKdohDymRu2POex7GNf7d+0Uc82Iy4h/hSB
jy6lftIn686s9Nyf9fhL0uvH2YlBboomzHt7CInCLnda1W/N1rpZbZ2ySTZhpilXgya3sEfuZi2+
yvHp2xeaflzm2I9cyWBOj91K1p1sM9sbapKFUzXvnHHeL3N1ra3obFPbl+RL3Fh68gaMHMRJ16H4
GO4NHLusar4iPiXxSxl9gopzoZrRHlu/ZSO58zB3EW5fGcSlQsXUwknDRYenpdrL+pmICkFEHOhQ
NLDG+YS667rIVc+PHfCGSixdoLmK7Zt5yR2B1yMsquTJ7GIUxZ68HlwoII5QYPSoauglsOoV75um
eDWpftOVk+LBk1j9Wz9hC6tGg+OPc3KPBiLsioWeoDb5GM6fGq18sHMsN6zWuxj15bJa0ptaj2dU
+04wLOrVFFWxX87WyEC5CUEEBlbU1NM2MurSx+DiUW+8IkxdLF28pd+5hfQtWzzzQS91l6/iCTBL
JccFKKlvljT5vsTyXo4E1mvesOta+6Iq5LNtTHthQIAyK9hcqdV/TTAwCxIc5rZQYs1griMlhH1B
eanjGMiXXpplCkqIdxuEwtlJNADps53d4EVk7gj8u+Fo14mTaL/JMVd8Uh8Ii2yXvVRqqCKJ80Yk
2ras3foC75M7LoVTkEz2uCFjewGcqNHPdp0b1NVyaUJrop1cw6Ez8u/DbFT8Je8r0oZgEArfNTrl
02wdIm+INsRCBQjb3urUI11YxxHcU+BWmXKDDZiCfVw6+R1uG0WKtqh39GvQcf4fkV70idrsUgze
DAK2g9lxE16KYbtkS+Am5TGZjUMc5RdqBjkp98RGHaLbnhwEf0FDxwIrb7Mo63Dss8ZgsAoR5Ib1
iOtYzs+ISBGj6Qa4v80hfMD7qHZudCt3b7ArdDaiqfRNVjsPptZ5+8Q1thimPfbYtgcibvd0+Tfu
2K5kP9M3Ohsn1NxMYRlqy13OMe3TwThxx/R2ad7EPmSFYjeK6vtcVI+17XyrxpkLvZqEi5rg9JJA
IzWiRAnZNV6XQgubCj6eCRYcVLkUm7jVtzCzp0u1b63AROBwqAYFq03EKoIaC5FTm6uPECGTvXTk
NoqbjWnQTjOz6LZw4iu77F5bi4VeDwXmP4m18dx2U/arK5wbqYE6pw+l6oV6Pzq+PYqEa3jXs+/G
V7Q+N/PcORu7TKYNh0R1xaKvN5o6dtppKhYv0JCmkUVT4nYqkxhmVwajr4F+OAw0VVBVOZ4ybboo
svzMGy7qtji2jdEHned8N0a8A3wtzzkXYx1pkKsJl2lpD26l0O2t1AvMT2s/NaN8L+sp2etVehsX
3QviwlNdag+o1lnWtbPr8Egfg2XB0o6Mhrc+K5WrimIbYmNxAg46VQnGkDV4bVBY89bt269ekzzo
Y22+zWWhhpbdXju2nG/zdi52k5FuOfy+Qh57EQ1btFe28yFT1H2kF1NoRc0+kZUO9RTXz26sDxXy
SdKfo6/zFO/H1vo+1DxcfWjcfWYmzc1QZuOFZjcG3vQuII+2mllGnJiSWwG5TIXBRPGQKnX6VDmQ
JeSAlLgfJ7+wmzvdmo3QTLXTUhffywrzBE82DX4lxlWa81KVZi8DUmLhui6lgJJmccx28lp6PTz9
mJDYEK+mJ6QbZtA0QBwdOLnfefIxooMSwEQt/CqxFL8qo/nodA3kRa87qBSupKOmFxlrw69iFX6u
k71UopKHRrXoFTfeRq0X/ELLW4V9KkJ1irLK6056aemhkebmpWrkS6BPMvUHWFJhyfGC3vRIx/yW
KLuT61T39DeNjYZX1noAYrmV6Obd4s3wBEu1COJFLe5de3mxJqn782DuorooeZYqMudYaUOs5eRt
i1XZhakrp6ZvvJDu/UvMG+GnmiovbdBBtnWbkJuxVL6NBkjcNNVX2pTeWSnsxcih5PFcRXsE1txW
o5XuzKZWAgyfXzAIa7awppwtYVY15oc89laZjWujE7se912/AtzZDGp0yIWxgQVyMHV5DVPny2hO
J1a4eQlhYgjtqNhK6Km4YHhXssSYwJjdOsgFp0SZa5TMDnTFHAcJc7nQcg/SZTV8q9ViA2p9UaRW
5xtcfe3cuF467zoT6UMzmKGmFqcuUXGeBGDMvdaH4Fn4cW2rYbqo+yW1bsD1b8WCJkc3n6eF+DyH
EoNCjm3QbV1/KtQvAr99bMisR75tjQfi9HUY9U+qIzo/dcaLstMePBZiqavd0ZT2ADQ+KqHs4hRj
u5Kl6HVDgDL6Bb9hIriWSL+q+TDTIeu4WvpmMxdy53ZTk9ziPltyvLiKA5PSHqu3dNShsSQJDrb4
9RXlXazq+XRiYx61IM2tMgm7xbIumhSO/U7RIuzAapB1Z484Sa2+5KDMT2MmyaPyZ+SIAzxlzzj1
0lQpCQFqgqzr+SOmU1X9tYqJkvcB9H0GtK09bFy1uTTDPVodHc8AXnzXmD5wg6AuV7wfd2Qiy1l0
l9WQRHEwp/MEpGBF/QeN9B+mSD9d4xkY8TmMDXSFdF/pmLy/fzWdGCQEAkI9tNWgXG8UM/XHTLQN
0RBubvhooPFZzmbcj4LMLnnuFcWjyjx7fUi3J78HyMM/AP+t5xwSyHY0tQr1RCnicMmFiy3orACq
5XBcLxKV47o0cifD+qcycHfpLPVBdnXcYGs0TH9GO+LLcbPFXQCJBxyBX1rLbeUkTjE4MhBlVzz2
FhyQQS328Pw5hdd4kWe7zd2Pcj7OQcX1YQKK/OBygZrSJX0/p7myCCNWR5W0kqFIES42xiej1Uzy
qqY1gqjThznzayvlTSrxb23CaXYVa91fioA1T1fn9/DUCj+9f8iEZ60XdnBrWunnLbEBQG9Q9E4N
JKv5onTgu055r5zwok5vlKZRTm3tEAasjMgbfj/0L/f7H6DD2r0wIIWAG7yfCyKtXOkZjQgKZ4y/
DrHbsF2Q2hgHhp7x1Dsyotzw92OewYuUlKsxgY4XH2RGCBNnY4761DlOZMahLJZj6eyxAQdCff5g
kPNXFjR87X6QOQCIijr37M2Bg4jNooPJsHbvbYtwOVyXdrjr/a+fh2O1JR7b1245NAjgVPUgcPds
+tvffwRkNWfAo46QcrUNQEZJGxkK4dmHICMwJai+jgKRtBdeXj8kEeVXk8shNJw6up+SsQsBQI9T
kl83eOs3gq23dNN+PxcNRiZ9up7LeIG0gm2udrz+ODnJd1vBijuWRR6UENbZ2A0Sa7olCbWeHrHR
JU+icXK2ebPZmTiJOljOLb297QENrLm+rwvr6KT2TYP3sb26Qiv1lej0vSianvyX7lC3Rr0aU5D7
iseOGDCdB9dEo0OJeEliGM1SPIap2McbaUTPBKvji1LeA+m9LsgM3MElRaCOrgp7fOqs6WgVzLI1
D0+RHF/0fnpRh+YJmwjEEtWFwu4aZiLbOA33y0lrD0OJJfSkeA/xqIdlzDOK1G2e2rvanA60OK7x
e3Yuetd9zXRlu+BSHowxqNSC7N8fiuxeS0o0AfYWOfaud9xjabgYxI6IBtTPY9TeJ8L+krbR5ZjH
+3k07tIavvmAzYFl9y+lRnFodE/MykM9YMMOO36LZnVHpsKxVKxnKrQT9lNXSTmjHeEfKzGGWI18
GvA/zjPSALigQYFQdlaivOacr+CpJYfk8Fab9QP7tEec97Ib0/EYYRoZ8HaGCjp6WMRIKBqxWZI+
gCB3lxj6s5UnwSjLx8Wrj7I0C99G5+eTmrF1oIknje1nUX6oOz0cGu+lQgcbL2wjWXulz9nTGKdr
bbyHabhFHfGlHL0BWVJ9Z6TjfQEQ3ZbGhl7yZ8V29m7vUb/yYIdiue774iGJtWNptgVt7z5YzAHt
iOHWa/O14i6TVS92quBRngFB2JRpgaMm9xSUn0bRtyGIXBsUKquIFo92KxXghVFcC6N6iOU8btsW
tWQadcVrVRvOtlO1yyiDYqRXF3Yp0euTJVWicwgjJb00F+c4ecvgRyXPGHnkslkpZUvi7pRurv0q
px9SLJezlRqBNPpbRRriqkJzA8CQXRluf8GF+HoN/w7tuXS3SmIeM7u54Hp69BbeMzk72bbx6szX
hsXZyY6EDHz90n1S5vN1XjeXQ5bvokguIBXZIHx1RJw0YMgje4o+Y5kPZocJAejYwWylcgtK8z0r
Bkz3hfIkCvG5NoUTLMqMQgly6UHytm3SOn0Rnniwy6gMptmewp65UJ1lx34ggnlGLYeVelCV9aVS
2YGI8mvmNaxqnNoxmPYCe0EUrc+owNp6stEXUfep+gzFaO42ZpGenD7aF/WiP84Tjft5lg8e+iZ+
HKEiH+ont+EwbIHZLjvMs0l1lRx2jSjCQoyu4WtCXvRT+z3SrSOZiy3oS51sWmILfMy4Tl6CkqCX
T3jqoijogrhPFlx7jCxwsLsB2+zxv43MZ7NT26PSJnuoJiOYhEXAiHfCf3gD+eYBvsimgCoLtWxR
iChWfXuwrlV7uLKm+KXPdV9q7a7Tp71WWrsmopLGzMPHBf5pqeerVGrXkWdtcbu57OqUGFOBE7yy
0RWJcssKlBbvX9x9qjm/lnP6taw0nC/VfVqYNxNhf52LSfscW75WFFvVq3etq73I5YuWaE9yabKj
lwmz25lloSRPfacOOzE6pMMYXA/GjniCihDleuywhWr0mA+XthvpeDuttN9sZfQKLvyNui202fHT
LF0OEfrdfmPDqfjiVNjKR108Bji8V/eFk1p3ksg4IGEm3WNvjPXmQlOG6rYVaYPPejrtZg/JWNvn
jyZ3Qxb/nD96ZBr6TT9NQaXr2YPm5e0NIPI3oWgHurRohD1sU0blO3k8FqDgMFloM1MxHpY8ijZj
J24wP3IDbTLU79MCSHJMhATpjAqAuMlVT3XOTQGHJlAGYj2seLXMT5bl1KTqJ0sftDtVzfoIkwTn
EylGcpP1Ju22YtRv0PYUHoLJeLxwuzWjznDEVwwc2mOWNfNJiVQkX0WcRwEuxHoYu0jYwFN2bdEf
bC+9qAbVDBQRCb92ISYtEberebRP6TC0GwyDL93RvRGjbgar/i2EV98Hyeq/EcvsWMWa6VMLYK88
UtomefcoeuO5ReDhi46kW8vp9QBmknI03Paqn8bbeRCXJjnZ0nccUb/qs/hmQMvfaZGtBUOrgAaX
RHsoeHRF4sVThxoNaVUoX4vEdNFrCkDQAQ6VP9ftizo2zREOEbbzicv1/K7UlhSooyzSa7Aq802j
67Dttb5NNllrauQc2JUFtEgHj3geU2RG2C8zns9w/opHPY2uOy4NyoGtNRlAYzytDPvCJfFrQOWW
BnFkTp/TxHyVsWqVe88ZtSvhlXI7YSsWOkoZbWMFwCLMhj7pt6k69cjW8yY5gZ/YCDLRu+EedTs3
Y7eFn8G9i1SVut/wLqebGtFr4hckwV/PS092XFu0V6XU4ihsXaUP8WtQAc1r92svS2eTD0VzNzVl
dIjT7NKKKGYMdbpykyFVDoNlIF6h7vbuBuqLB6HE3bHTi0VC4knLW9gULORMCydwq9CFvnPJYsQz
q5u2Zp/czMPk7FylfhxAticXC0p30aNQV6t0k4FSIuVrdm6i5EGdKuNTYnV3mifrIBnZANNhtG/b
tiyCfnC8Z0UkWNYbaWR+r0BaH5ayM+cNFMDAnLLrUo8CL3M2ZtOqON2QPl237mNbN5qvsBwDp6ua
oO2mbO/plQMEK+rinlKk8BGqu4dktIo7r6yST+os5/nBq8148CHvHhCdTacxbU3CGpI24CIabfXS
jDceSNeuyrwcr6NuDFw9mm4ybbR2+eKNe9OTudhb2CbsuD60yDGzgQ1dM0kbMHif94PXtJtIgJFO
8XBZudP4TF/MDqdF3tNLXPBRIhyyViPMLaPccx/Y9687Z2yPCMlXsSwFXtDl7Yj+yXZJoq3B+wz1
IreaL0zNy5R4V5nUt/S+Dh22Vdky7bS4d8LWGbNti7JXBVjvnD0ODO7bYCXVZRQv28ypEKyqljod
OtlFu5h1uZ6ew4LyXR+Ki0lnE60UhMELHbELekStn/QRjysbkNiOw3KAR3kb5XbPzBf4rjpWc1M7
845I8v62ghyBrgTzrMHb1GnRHOiNqP5oFjVOCcuJN2QOPE12G6Udhd93+RdO/3IvVaJKk9bdpnX+
RcQ8HFifVtjq401PSn3iamtrwPHjUb7FtnVn60rP1aU76lV2Oeqr5tmUN7nrvaJiWUK8q/wZbCYc
LBFjy9NhPRxryGCzsDOAfsmV4pIdjye16jCYH71jpgAmK4k4ta57E+dKkC59vscBBEXTMO0mMx02
U0xLj6YGp2Ha7WOiOXxFLssnV4s+mbGtB7TtpN9V40MRVe3GsGrO3aqoNPoP1BB4rZDMhInD55Ei
LPfXitIYs2Vf2zENwizVxk3TmgTBpJ6V3khEszR2jIJqgLiY3HJvuiIyTg5Z7LCb0IUBV4pj1BM8
VJWOv3rEbERL/UpAEHGzYMEVqV3K1MKw7CznwCxUvme2c9BXzn4kTSooJDTvrkuSIfZpJH1DklPs
FOCKa1EZt0VhTld55Rr36kg2bju5N01flFsLp/vP9tifhqlELe0lu9FQltu2olKNrfwT3gKPwkpn
8l4zCWZqXjsRpI9KazE0MeZj3IH/xmP32bVFvylV4RGy7Dr9dS3n4XuVt03IzvKSZYNzzFz40r06
PFd5xGVhydPLMuY9itR23lvgAdu2Izsz6ilZRwjCYa+nGVLw2t2Whlz8cohv5ojoJQCxq1qti299
U063ZGY7oeY0G+MH2hDVB7Rru5w9jyqbNnQptlWmPC6ETNdDx3Q329iTgR2jkE6r3g2yUWvu0n4J
KlFsenUSpR9FidhN6M6/CjgMoJjkBdYk7oHezPYhKYYsDS1OvTQobDO+N/DTuYf4Mj7akEKaXQwO
L28Gu65zvxGVEk6ELm2WinJezmCFtslhroZs9DRMOSz1kWC4MdvIwdtRXzf7xUhv6WP6Sd1f20SX
TV22yaHdSJNeNbDOTq0NIg0dWipd733vcrf5H+rOczluLNvSr6IXQAW8+TMRDSTS0SWtKP1BJMkU
vPf4P082LzYfKLEuk6pWqYucuHcU3R1NdxJ58pi91157rdZusuaz2gud0w+GA4wnnlSDJyxHKSyc
KC8Epx39ZFlHUNrkvEDQYJJdLNPTlY+Z+VqnXsTRsu8khIhiUT7LZRUl+3wLsvRIKUN1ORDd0DdU
hIi5r3vASRtyDNQ4esvtYKh29FictDUrIO+i6yRDVYWyZ2rKk23l0NkrLXPkgnqa4VfnZSNXu0G1
TqDXx1dqUtMokBE7eEay6cp+l+h+bc+pV0kporTbGOObtBA/h2PDKYlK8tCJs4ssXkeVLO/LRL7V
BE+7ovJOQIWk0hdDQjjGCCt6G7PY51NOaWORNUqa+CYKgWlToFA3YTjdCKOVX1o+WihY+plur5m5
3YyZt2T7bLA7y51Q9oslJiSRrXtBSTF2EBfgjBKOXmRtURDciznhotVllIq06BRbt9RtNWLsvj3j
4kM2QishGGQYl8l6pyxliuK2FcqXPu3DnsC0l8a3SsYe1oisS2PQMXMoNWKhvPUdDH5Oai07xwJP
XiVmE7uJ2Dtj1uyCyTrR9DzdhMQ2dmCREOG4OW2TIhxdqGcRVDNOCr1qrIMSCjtUr/YtPYiOhuyj
UusnOGBVuzgHG+iMu4YrmJRC2VSUpDdJrWyljPKSpPgmm7e6K0e5sBtqN1eqGe1i6kxnnZ+agMg9
4h19e9oJrbbC+IuyPDCq7LTWZJyUfQXeHRTbUeeCVMdi4lYea6eusgQnSHlcI1R1TXVDsNUGHJ4g
ZOkVeuMvxUi4DCtt0wpdeg/Z36fDI+/wElF4v5m3qAIqmUUf2o3YXTdlBbfCr8+TpDZvOi2iSh5P
/gJeRugWiShxN0w5n3B9N9TtsMapSN/iEkxOVeM0WdG24gSZt5bz8EGdsuEp71VkEzLN2g7x9CBi
/bdFjhDSW/SlLFVgIKP4kirVbhKLzG18XdgYaZ+4UJXrRRoXN7BuDl6IDfHEGetmqbLXQqQnC7OR
nIEaOQ2bhmtGMBqGunSmItwGdSnb8uDvUAqLHMQpHA3txiVioecGomnOjDzIandtDlgw4TO16DBu
Hbp2XbfUewJNP1HwmnM0r4xXJccxwPNF1Hk5EXZhXQDUfqU9AXdS1bwdW+kb9cYWXmu+EWV1F0id
uqbZC4suTV+R/wpu2FYl1TA9cwb6VlZ9n+xGvAIXPtIaaysNuKdCCqGKWD4UNag5RhACAivCea2q
O5Dq0smK+KIuMfCJaMG2NUF7oJmZlzBUHM30yXdombuiZdzEuJ4LR2rFkyztVnEStHZABLgNeil7
SpJMXjX8SadH9y3djIQOxikqGuZZUgzXcQDWXtK+bLd1cS6jkuE0U0i/qVzclqV4O1rGzk8HG90U
hQeZG681oXLokL6RtPCiLdjQgphcUvb+qjXEQpYWnRTKMDq9giFb1YYnaP0Miq3HScWGmR3JBulC
K+InH3O/RagJiyBWClYPIWJaipCPQgWQubMGe6zmNMfUBGfsO5X4HF/aiRtlrGAzq3zPTrzxtB6L
26BMricDnkQZCTf0xH/O1WDNLGJ9o/F/xmQ3FNk9we/GKslwyT2AE6shXozwOVgj1rAokY5ygNGo
cTQCijjFdddXt8kIzCPU5SUqwISpRXUSlf6ZIvbrNuqqNb0wOfpa7c7zpBN0Ic9Mq77KoqSwq1q7
U+EYOZUALTcS08/ICIK0JhfRFNwaKuWrIoSAno+bwUv2qjncRpG40i1IWaGS3utVEt1hX6TbfScu
AybmlGpBDaSX5rbOrW37TXQ6tBmkDmBGPnE12oia+lgOcM3p0F4qTbYLW4PX7e41AtQ6ikkx0ki0
/RhfObwWHUFWwdBAlAbUpK3uQsfle2xruDQ+gjjqsO+qfD0KHZEHaifLPrE6vgSczQvxuiuCuzJA
oAQbuxM1TxCnCbzE9b3SjevcAyEzL+OkuzZYuZZErbk3kB01u2aNNuiFPhBRCrjT2dogkAdSUyD+
op5PYr/EH2ZHYkiv7tzGaArmblTTEoiJhgsqpm7a6PG9FaELVypJvug5gvDWsWyzEhRX0dPSHQWT
5ZRF+8SvTyHvdSvS3GUhw4dIM7xls6HblTr6p0mNc4DfXfWmdl9acPkSXHTZXYsmsxaTni6TAXwv
D/nDyAKiQ5qM0JmeoTyJCR7VqvqqDdVjEiDITYY1cSoOgqNOPpBMosievAgyrdn2HMU0Pwz0pVXi
DgFWUHVPI2nzvItRS05HERl5JT7zS+AppWoRjhEH8wq9mdt+6CFaJ+2XFMdW6mTKStS9LZy+yBbR
erFziYDea5FeoZP7PJg6C3KevjdbiRbympdNvcJzzba/nPuT7AYTaVtLysaBr7CNrf4OXfGbvCZp
tcr0lHafcBGK8Y06qh4LIlsnqV4t0K/SHKqvwKL9mS+W50VvnheeciLmgrIIkjCBlNc9NgjcIgyF
S1UmrvBu5LzEd1bOy27TqxOejDUxVEANuPNov03yOltMuXjXqNzqgQlXPpLDBlWsEqhcThZdHxq2
YKI66BdkFNAMFbJgFJlAaESrXg8CXBNYIJfylA9uQgXpTFSy67HsERFSfXPtSyQECp38TJWsuZ45
3AlC5kTxsLfCCYZY7Q0XYgl6puYpp5qy860A/3dsEK9qlevOjuVQ2I6D99RVMCBQ10kfhlQSzoym
SJxWtFyp907m5hdQ0Gy8krwJLNtqT/LK0mEs5YUz1KJ1EuSJssoKBO77KryoIxGMDGcurLc4bEaj
vak98ATU+wTIhIW0RLjMochbXHgsWVsNdX0x1rPqTGDC76sDobiDLlvf6F5e78ZE9Ha9IOVuUWXt
cOrp8CgkKW4Vgq22p9UH4bUTH4FQk+Nz1YCKkpx3y9AKOYCI5fLyQdNb1VEo+p0qgWUtq1xRbequ
U7owuqo6RafsKhzEySlTdZ9E5rjuJtNbE/eR64v32eA91kKub0pNu8WILLShZZW2ZCZPceqHmFaC
OsV6/2WKoX9Mgb6LB3FcSHJ7B7fhc2jpnR0RRUBqmvdNUYQudbOn1C8kV2rLC8RaQsTUqA0pheqv
JGEwFk09zF468tfElwS2LG9fb5p1HwxXFeJAGyQtZFdX5IMVS5HTyRJpdpCcCN3EIW7CvUJAFGBN
Kj+XQUzkZ+Su6JsncOGnbSH4tyqJ/BISIs3TU+ZSLmxsFWUvu5WHaFU+81wAx2oPFrKHWkJFqTSb
kn454dvqqB0EmcSSNmnAJxUbnJCozLktsA6cPYK6Cs3BRSuqsAgN7aENvHNV7ZHlikJjAXFKQ3ys
Kc5w8uqZmBHxCy1gzqRtgTjPuQAWtlD8Cphbob8Lw80slh1Dq7ggFMFwssyvoWwU5UXZZ7d6Pnu6
9UkiRAueLYlxMy1rQFe/zB1dDynySI0kpyutC9PMrWrIyjStzNUkndwc72GafrY1HRqOL5VQv2YY
O5Bq0tYY/ya5OM8mPKY1T89duuFg8iUUPxpd2ZUFZStOnU2XGcsCZZtzpfOmpZWZJb4ZoZaiT0Mg
ROOu3UnktwZZ4aIVRldO+y01yM+doD+kRctyNfLSKXLrVi6xMDetawEIPfFvASEu0PRJzkfYtot2
tEra+0N0iC11PUB/g5glEMsGKioOyJsFlS1PxIKR5IFACbKNWSIyqgWQRvpF86wVeDiYk5acZZpq
IORlaLYhNJt0gqqG9gKs735V5dZNpZCsxJP8Rei7OyyzzzqdzEInVwK1GFv8aZgv/HVH/7MXdPdd
P5HLgb8PqSkupcm6NZT6umfdGkU7LsDfgXAtd8jYnQExpV9/TYNOpNaVqa7XGxkirOTaqolHspff
wVhxmy7bjJF31nbi46DIV9UgoVrhyeAMNRRf/DedROnOM0hGljEtevzW2wItMy2Pr5K0rnBih2rJ
E3+DPnsuRkG9SrzuMu572UE0ELJnOiS8ZOLSzbj2JxMdRRhqdARXgLTdXsHT2Q46aaEMuCeXClW3
AfSp6HZK8DVVZkODVkD4G6FMmiV5ss8UnW+8+tCPZL0kToGQOmr16EcNV5clYwESBuvcUO/xo7tC
JZzKm68suKNPfBDUWq63ZJVrrCm+StPk5jVmt1MLjtRQeTWv2jIKbKNpzmJ6ZGsjuBiAB1g1G/KW
lVaEX42pLminH7NNMhjrRpOgag6bQFI3qREEK3pwrqcB8lMt5ycI7WbLEg4WKeQENyOMDonnfyu0
9BvusjtPUy8Iyj/HYXIiYdQIlq3c+WICwdTwEDPxVUL3SYC5YsRSf4q0GVRejYhPlfvbCNURgrDG
lgNpScZxYqUJXWtAnaKR5/oy6nWTiQH6dWJxupDVsD2TmhGMLe26LyVdtRdkLOWVhk7kNWcUJeq4
D2NnVKVtXFSU5xuJNagU6UKNBLD+wawWmWC0iZsIjf6tTmT/1vIrfxlPJSid3DRO1oppv8FY15m0
XHHlMbuVw2mCOCvBlaPmiwu42/aiUSyUNOoWGQ1OC/yos1WnF+JiTuFDM/AczzMePb8vr/MMlNRu
A91Dl1LrQZ0ko3W7SXNpHuDtRoXi6MG0aaquZ0lqRpg5UGQGx/BBZZK+6LBfFr+CllbsxmBtcrde
TIbCEVGI0orA7rFODOvCVIr7SaWkgz7leRPUGKELTQ0/zYyWYoPLUKCKV6Evawtl1E8nuAZQIRCL
gOyjomKoFFVxHZZ6BMk8ZeepPeK1kKGVQniSi9BcZLpHtb6GqzZoRX4eFGhqCqa1gii9Eoepcw0E
n+DVao8VGdM57Wo3hhdcegaRXDU9gmRqrpSXgjuhDMg79kH/5hxIMfynFmL7QkCmazMG8oUe+XcY
LWwSq7iuC23bF3THavl8TIrpPkOlseWcnmgwpohKiaXyUaJOq+KeVBzj5gG1Ug9cdqVErfAQodsE
cC+Xy6JUTBBLhKPg0ulpbUOkBuxDTA6lRF7eb7KTPqY5VhSQIR2DU7ofStuHFE3PZklJX4/XQUOL
SU426GBZeC8Iwu2kFxfiaPTOgFZklrYD1Uddc7R8kJgowzUmKrAqtoc2ra/VQpNJMSbrkghhQWml
tcNAuU4TBCu7oVv4QvbZz+rHMk6J13Jqg8ZpOmG84qPuKNFRmqjNrs1b2TWwlF7WSesmEzc6yDu9
2JFe2aZGrZNA9CQqaPNQ/BHBNjxrXVGttoiCusGULaXGQ1hDpuZbTNa0rMt2M5pK6vKZb6MRudIq
ByGPPATeu2grqMpnutH0RS1YWOLW/m5S2u5MGKMvVdjczhKYm6Y2PQCJyHeCVsPIimZj7K+XVhLk
Dnbgg9NmMbtEVJcVwpGuBlxC0U/lOvUgHLRdeSJK7T1Mc5YZw+S2x9tbmFJSOb2aTnbmRcZJ1AjL
os3wvxh97xoBq3ZutLmHTdM6BN27CJ/MPtY9aD3q8CS2wuexbnniVoNDSp3FHj3FIDkMgxWzQUuq
aUb3gyoegkpprtUuo6UhqzmQY3miJg89ZBwI7jPmV0SLFk0zdMZSwXKwst6Fga9cyXQDoPBfa9w0
1K+dCqaVEwSjNR9xt30VnGrTHIHUBN65eVenc797Rb4aWzFl9JJbsQTCoOg0tgvwzk2SBzJsr3KL
NQPatniALgYxvSHtvYxTPV2EViKv6pGCnZFpKLFDLsJbAguQhOy+Djw8M7tChEcn4Gm0go4po13I
e/JP+OwnaxkWmJicedA3sy9SQgUQOU9pxAsDswaAVXSEtZMkmIEusY3bhQLZncagOK1kmkBFLT4b
9ZwXyaaBrhl0V3E8xzAzvBlksEl3iOlC2VLot9CC07LGQULMUtguCuXxmE6oYEEQNO4N2UBPucml
QnclnYTJpQk9Yh2MeutOJgoUFx2m9oeuJaIRyoJDu2wY9DTUjLF2DY2QjmabmK1YWwQXZFBRdMAu
PcrusoH9TdsFtKIFPbtte0iTWbYUrRRtPUrqVH3G+9xJqAXegYsy737bzP/rPzcyK2M8Aj3TxWln
pSQo6yFF4w97BfFJbRWZAk5EPJ7XVH69Lk/T0yEwu2pLTQiGkeSP1hdkSHmuQe8mBoXm/lBKTTQ+
9nLXmY8DvJM7FBcRilXZAzwW6g7rySc0vep6CftpeUrjM0XqjBHp3CRfDXRZjGcialzqwiRIz1Z6
7yulCxmYNhCIWLA1TLKk2JEQbxWvNalrVrJntNWyawMzWnNnYj1f4B/sLeNKH43d7D1jnSDmY7Zf
iPVCNBOhduaOl6SiafeW2Qv3UR0Woj3olBXZqI0ugjME4G9CPeVICU6Ugxch5HpXhTIWQ9YoPGIy
/F5W/pjA5vfqXrpRDc8KXXo7pGnVJZmAHWJXt+FZoRtCsLHavoY2RAdg+gQcEwyrAFgGglGktwS2
Qd8WCkBsnHXelqp6jE1ygvbphUbvVHpdC7pOSEWpeLjMU4rS21qFcL9IShp/t76KAeRZb9AiByxC
rYMGX2jXcaUIIpqW4qC5+A93jwBYWU+gZRbiWdAZxPKiGEdA1mIsi1eSPmr3jV/1o6tgvC1B/qP2
eylXQpLBo4v6penrFbXQoJZgUpSSvGhn2uhWbOugggqTIDYMGIlGuW2qnWzQ4kGGIV9IkNm7Kz2Z
dPwbcb3xllSK2YxtYebGqUESt5kg4lYOUymT9Q/F2C0EyG8m5S1a8C/CjIj9NJYNnbEqXKJzMZvk
jSZgEHE+6QnXBwc6vGhLyrt+jb81zFGxq8FVhQAigB3mHgcHDMLgWo0nEBgx1ovbrPIDjWpZMuVn
pViYJxHUnidhLFpuTM3P19QU+lPI+mcRLtamzf0H4aQTuuYyLRAORKYvKyglaiPqxkKuEiTEcNlA
+QS4/H490YUBbL3tirSjOc7zo2VaZwkV0LliaQ4h12EC6GwPuMREC6gRGWEQlu5hx1qU0gfIItJD
GHGl2Er3zMQkohIWqtJo6l2hdWK1JD+zijN0aREBFccuqWDpMzu7lKNsRiCLb0pWT9kqC6F4O704
wFKL4PIqGMTq8mdBo4nBDieD9o6gH+Do+LXZRhsIpaTtkZwmkPqiBnXxwgxpamh1YbjS9OAmDgd4
uYNMa1lvy14vF9tMT/tvPq8bn2eAJSBtKHFLbqXmnUcyTKWKxkz1pgblKCFpxVrjysUoTPRFhBV4
haYGj8ZQ4s6T4Udpt5lk7tM4KXZDZ9U7TRUAdAI5oiAHfAW8NPjjrRENbGWrjhv5Yoh4HIcaV7LR
ot7UF1GkNo+5jNmZXQ1tIp91sPzWapLSozMh/UETnJY2WwKGmGJMLXJ4znrX2zao4p5ATYG7Rcgs
1A4UeUqvaigzv3BHoKtLUKpocXgmvGMVcpqNqQRFoc48yh7VzGcfvQFnmrIvz2lr5oikqnLbNDUN
L4pc626NJn25DkekeR0LyR9otmYj3Gj0C/mLSFGUtaekwWkD3rvLRbqfkLxPDUeCf1AuGyOVbuTR
ajseVgzpUBGSTe3143Ub5NIOIAOsvCgBKp1KREnSTMLC3+QotbcwK8tGBZ8CYVvpLXr59IP63QWc
rPweni1HCHhSjcL9pBJZKuIUNIup9zkfyZ68wkHzRznQeKIEC6UKVacJY6lbRN4oWAATMLkRnI9O
QXuyalmg2HZahZPZ2JY15ptU0rt7vTNhsCMdwD1UDeDKeZ5z4eYmn9OQ6/3XSs+j1NHV1MzJQTSt
t9Vaqs+CURcfoDgR8xdCDnKhBv4F1Br+TOWUoNFlEHN4mFZiBXaJbNK3FMox6uV0lTtej6CybUah
iWD4BJzpcrwM1TLM6ByzR1orIztprQ6LhYw4ZCuaqQB7hN2AAUkt7JMp6r7U0QCL1+yHHV3Oprkg
vk/uqBYmo9tLNURPUYApSonXV8/jVucMR0Bd9RZFnZvfxLpozjuLbjFC3wI6FLLlS9ypmox+itT8
0uVDcQP7qT0LsZJ6qEoWgkNzAmsplRMaV0O/1q/rTIfrCfePDj51NPfeFKr3kOv43UwmgtiZZFnB
QuRgp+iCWP+VhYcPPITaSG68oD5Vm6RuXDJw4vS6GW6yZgzurboE4xKNVIVkEgdJtq9FObscBFF8
0JAwPE26Nn0IdakErNPo2BZiiSSqmQown6RNryicQLQThUJZQGoSczsu1G5Tt5X+LUTR+mwcRaIS
pGLkJdhbcgcrFZHJWAt8PpkJVk4qdqKy6KVBu26TshbWKlWWc7CXzpV7vIcXohL0V2S5Nw0GBhxW
ag+HudHG6GZEQuvQdsm+xTbE1cHfJnfqrgj4/Z3MbXRpUjKMTyKjghc+hBYd3IFFM26lV05JURRy
CTKQilEGuzLI21Mlz61FnBiRAYdKaM4nXCBhmgdS8Bj6lgdlRK3zW9RXSCsnaD0OVb6YJuDO5F6R
puoShoT5xNv2L1XFg1vU+LlwqhW1eIuQWviYQzYR6KhDQXTZURGmwmdoDfak7M5NaIKYEw0I4TLw
QXRhEoos7QhDusKRcRkSFkk16ikElqk6j0goKneCAj2sEkANNtRzv8Rktl27UhRCc1VKpZ2sT6xL
oj3WvTSMmQ43NMWlzUyoNow1Xjtbocm0b9TmhQvJTyLwfJE25u9/14UWdVt6QcoFRIrpBGKX9bUN
G+lRnOhGWwDKFVdB0FoVvfFKBXQC3WgTCyJnRjiknDAJXjF0L0IQXSmeAtOmNuDy11HJ5ZNzQ0M3
0vg1cd5PiZ/lUDFlOnxlkcJ+X9P9iw6rAOUKwS3b9wYC7gBTKkYHIYDwnksaLJQoih8q+DQLTYq0
E7HUOXU7FUUyOwAO22alYBK1QtZ6HMZOqZdNqyWZk9IucCCx8M5ymo8XRjiMSxG7kkWEeoND2EAV
0JgAGu1BRLrLRgWHqSyImUvQ0SxapZbc1Tb20nrm0pKZPPQZOTsiOQEtRaNXG0spH4XGtYC6v8FR
lnVb8SX9rmcjc5RJSdnTrWuohUOiEAzXNYprVO8UtI1AeGgPQWqzk5+a58lqminAHqaAhckG1uAh
kor4tpE0A5CrRz9WhgEAdyfxs16ZGf2JCTPSSEBa/F/TO4MmLixEjImcDN3jXSWGYxTZUKJpQODZ
kBqI05yWsjTyM+tWNxEHo9NcvZZzaqZDO2h3gY5OzWzhkIp2RC53r0pDRk+jakJa0pvgMqiH6Rxy
lXzZT7pfLcQmm8nqNI6GlzoUWc9GmLZUXUvwCZGqMQgujdaSlK3SpNOyLYE2EspFd4Fl0FEQVrdV
DkG5Msv4SZpKn9sYAjW4rn4G8k/EHorQVWkYq2T+WqdLt6SnPllm6CqAkIkdyyUbE/bP5JHb2XlO
MdDGgrS9ktKx2haVGp5T4HyUEP1oHdHHrtL1OwQ37nI5HnWXfg0+UER8uEfiqpHVtWgFQuV+v/37
sIVmTTcmWyuE274o1HHYTW0QFI7pVazwDoSlO1F9VimWIDjKucZzy5s1XzVnWS3UyjJlpVQ2qgOA
y88DgH+zI3Iac2EbRHk97PTSJ+RSkAaGm95qXFK9nPMddRjY+HFssS7pnZdEB+PTQGgcKFniQzyv
FQj2dDdqojguGx1fljMdleb4rBnNAfMUSdVOtBbFZLpkOiYo9koGoeOTC6pvxiFeKxVGyi7iIRqM
jKklM5abvovXRTDw+99PAUoxnr41URPwSZDiErmASo1p9Xw+wOgwMEYNDAqbC8dreshybaCioq7h
z8yLwY6FC5PnvCS2nPHUs+ko3LSOmbW5Kq6hb0Klh6ogoIgPTSYgTpu0mFwCEV9CqASIa1QdGn/B
9B3zOSCsOXzE27SZ4uIEcEBJd1DTLOTYWsiIDq2xcrz00cWx1lagz040+kyF7Nmoq8nLOLzGiX0B
yTmJ74Q0LGsHxFenjguxh1UNRfNgVdyn9gCNA3GQrtENp20IpDAF9ybRyQLyKgcrOT7JUSyS7LQY
BylatwmvbVfIxAcLQcirz6whHTgT2W/fHZKhBZPyKggo6NxBO5dVy79uagSN4SQ3/rYI8dS0Jb0W
abFGFrzZlLI8JhSKoETb0wRWsgqkkDZ0G06g3NxqZCCmS1hE/2Bb6pCk0Btg5URGl9x9/wwr4Pd6
mdR+3K67LBY1u+S3c4d81XqkNtkpKzAgysGiUtc7OdSSllPFbNA4CEQR/ko70BOUBJ5mLiP8gBe9
SOv6JfmCZ6z0IRTpS+jT9FHRgTY588cxxVphBGjV+ka88bNKLa8HiDnelsye5adWA9UX+FDxXa1Y
LPkQ5CVbpEbsbbi7evkCioWXkCcGiHMAKyY1dcGYFn6rHTJrXQ+S8pUo37yPS8+NTAH6VEhnzUzk
ReD7SihYe72f3fmhPHCFJOddr9LjoZD2AEXY1pj6Vz6OSCVNZg1EpeabXFlf6BzkRNQ0LutlIw6f
nzv2fmhEHckfPf47jaqbPOU/b2WnjqSq/q041dFvrQ75LABVvx1qfprXr/7j6WZdqr9TsHr1q+5b
favvWls/BK6e5Zxu8n/2Sy9yUfMT/TzQ72liWXRIH0liPQ/0LMf1qwGSPapd7ROqWZr0h4gULhUa
VPrnf/R3Jnnm//ixJP5BaR9JNZO8ef6HABav92qCfn7yn3XA/tnv/OoNHJ4/lmdVMPW9U6BYf2ii
wgGoGN/fI92jr6YAD8Y/RLQkaHgHQZv/fX/B/0FzIMnyO5eBov+BYBeFahTyv/87mgMMdP6gtRbX
RZqM/2d9/gq9wO/aAbr8h2Zg9KjTC/H8j7k8+viZGtGU5r75P3/+u1PwG2vkz/PEIWN9ej5JwkP9
SlDvb3/h5Rz5eYAfO2jeJhK4kvSnQt3zr94gt/d98O+7af76fz2+Vt973uevfjiLDr768uh3v5+/
r376cki8fq0f8/Hzk/7le3j55jo8VPvqMRjd513/4119V/37V/Kwz0Ik8L6/8vxW6b3/r8f4SU/w
z7Xyy1Gzp7yqjkZFTODdo7Z1Ux0/q8RZ8t5h7UPih236MtDzocgx/e5h4aaF+0/77OnT+lBNBz/v
wuxoSubD4N2vckj2VVu/DPT88Ozodw+LAMz+zVzPqrbvHXdxyNJ9Fb8M9LzcPmCuNxXTkD0dDfsB
C86tm/zN5piNT987Cc50eAyO17HxAXMLCPl2EmbNivc+7XJf5YdPm3oe+2idmR/wwS2rffZ4eHnI
eTnMXnbvfeRV+FDtk2ZfvQw1Dzy7u7x7YHRas/owvoz0PC733bvHPVRQNI6H/Yh5QML2eHZnrdL3
PqxT5YS/RycZt/v7x123GWfO0STgU/P+cTePPx0O0iwH/9552DT75PhppQ+Yhe2herPAKMK//2G3
++zT2X48HCkCP4v4vncaTvdYSRyvBvUDZvc0bIL2bWgizQLC733g6yTv9vHbR/6AOT4NOdebQ1Y3
h/B4ntUPON5P2+GQPuRImb1MwXz6YFHy8uUcf/6zcO2MZk7m5GWg53FnA6X3zvRZnu0f85dxvg/7
AVvkbD7bj0adHQXe+7DnhyY4VD/dcpLxAfHweV71++Oz4iOuZpCiN1GPZH3ABtkh3t36++RlTp8/
uNlA4L1TfJVzyx1vPHLC94877+jD24GlD1jA18+nZhVmR4tY/ois47rYHx8SiMZ8wEx0exK66igS
xhv1AwbuD0/Hl4c8Oxi9d0Vc92Ezfd91L4PNq03+iCvvNq6Y4qPgUv6I++M2C5vD06cTDLWf8uO0
Uf2ANXdHcPXIunPwBTiak1mV7b3zzYnMBXXwq+MF/RFZzfWhenizt40PWCEkHodP+TeCl+MrVZPk
jzmYm4CxHw9PbzM9ydI/Ip47QUuuO5pty8LwwPyAwPb//O/5+P+r1AwsFsQVCVAkqTAIVdS/f7m/
gpb+BKp/BpyOQer//Oc/VvK82dHUZP29gFXPQ/0baA34KmMH/A2slj8e9tnf/M7/COjtW8VGf9nT
80xgH/Ty5Usw9+Mtv8Jof427kfQ+zufHyzjPdzcCli9f/8Nx6zc7G9eL943oosZaHJ3N3xHWNyfc
f/b2CbPYzf9KD28nFhrzz2jFfzb2v2bwcZ+8mQdD/Hln/WfjXs92KH/1zPgOWj+dcP/Z2BfzTjh+
Yh0DZxW/OlWjXIPaKJ6+7/sgd1Tf/Ldnp66rGnaoCv/VTRzWRO2nV2n/y6Sm/s3VzZrZv1mIOobU
GIvN9quyJJnYkP8q0/rdF7JJMMLHT9fNvjnwN98v3ecNivGNDqlVUnh/1NNRxXj58cvG+gfv6+xQ
50Xe7NPjjwoammZRi9d0EY86BfGqX12nv/vezvZ0DR0eXh77+V0pCv49LAeD1YAhHnyplx+/4105
4McPDyzAT/8mszJVqkb4LqOxywqRcbxS/vZl//tuqe9HyO/cUq9WwP8Ht5Czz/ZPR9fFXBH8vuT/
4tP/za26Ann8CY3+iBTy7DBAfXx5wO+320+n5KtP4Def95pMofm0o1BWHZ5LNmdh2R4oY75+JYTV
X7785zPzI3v4+WyR50L8e+fdYQBuqb+6T2Tuqp/Ci1cz9bsHyJ/7+uVpnz8EdE8tOA4v3/uL+fk+
/n/jBn5+/+/dwK+ff36TFIBff8vlgm5e6s9Hr/Xyk5dv/iqMoyIZTkfB0azkz0dLSvgXM/ubaxwt
j2b/6epNcKh9wMhu8ul6n3R7ir4vj/l8r/xquf3mQ69a7uB0nxydUD+Hs6/W8W8OvM6zpzmeeP3A
0kds8HMmuNr77dETS7/cer/5yDuO6vR42NnV9Nfr4q9W5y/W7AfmdVCZ8TR4We+/yutefXo/3Ziv
n///3YbbBzNW9DKXzyfaryLW3/zAnLF4U5vXPuJu3U97YtMqLI6eV/zbpQD7BN7drw6eDeXYo0Fn
j4dfr6/fGLSu9odjMPkjoE6etXx5uOcP7CPwyG1ePb2Zgo+AmVBs3YfN0dMqHzCzpwfIO8cxCknj
y8v885viApj+ZZTnqdU/4JK4JFE8uh6kn1PPVwfBb26x6337FH76V7V/iz3+MhH83cGxhz06b+WZ
KPje/fAjApyf+ZObhtXbJFP+iMv+86Fu/i9317LbthFFf4W7pkCNmLQtKZsCliw7iSzHNWUXzW4k
sdJEtKiSogOlKNDf6LqrLLrrsjv/Sb+kZ0hNyjuciop4axvZBLETDOdx5z7PPeO0xZxAbRBQ1p/+
D8GtUQhQL7bX3ZSLyIHQfZU4ZkUL6cv6o5+pQpnjp8OxVBCyEbmKhx5Ikup/Y5DOh7ZcLJwKvIHN
UZc7HqZOP02IRK5HZ9ijn6+6fvfqpnvyi6OEB0AXxzflHymJ/UMkjVyv5SEPcoj3/qo2rmi/u2vv
+GH8D2RqXtR2P54gYnNuy/HilaKnexIqr13XD3yCBxFOkGgmt5HBTB7PJ1BW+iyV9a28YtUuWDta
Ju8RPRSHdTnGRdWdeAoeA7wDT7im87EszvWAYdjOVIyLY3KUgq+CRToMkSpGgRLoEQcPz05Icurw
QH9yd2/sJLiNRvAS8Jnq7zFIYAfdQDG6WPXMlQxW6/lqIcSjg1EckYD7aFPCaEsn7VPKKyunzT/t
UXH6HH5PRywC5yaIxyQxs7GwseUKTt5J4LqWROIbDBa9O1ktiKfTYIhpuz8hIxNB74XOWYpyLNEp
6mG5up5gF/xYMR2WA0fQXYI1dkHVdZPhdg5w7c8EWA3IRrQqrXH1fTkTQ3oJWwzHdzY1zEC5fpn+
W5nbUoDLggA6kvqS0Ln/cxk4469e3UUyJrcOfdL1h+8F8xU5NEtR+/P34lwOTa8ArGL1Z3uOIiGY
PfVAWVh+yCBlmK+xC4cMxraPmtJEJMiE0gkzHBtQzNFyScVhY+VwSyEGqlS8JzrYPWLYXwxrDMpw
i/swpCOjDMYRw/ZFCu0raT+R22C4y/nIJhrB5TBz/eiD0r+o1xFZazCI8YWEi09G5TAZ2ajUXrgc
DUC5Gt5ryyQRKZl1GUjy+Yrt6v5jijZ+4hai8Vl/Z3f/9gqRCa1Ag62g/rB+sBpNgzCkCA6Po1Nl
jdkp4bc8jnYVX+EzKfja42hX8VVxWzjnQWRgYl0GL8gHstvERnHUDvzUSMcDJlJfNAYRjdK8AwYD
7d//HjmgZLj/mAEILuP7P+YjSTFunnoYva6DjESjNGBQQHgyjCvmH0wF7XGUE64npQvO0SGEPMEM
HbXOqUiIW+RxdNugO1oaPr3HUipHHgYoVuISeBwG9m0pBvE4umLeytuhGL4nptXjKAflOrR8vzna
bdoydgZw5kjREWnr+nfkeLgKyNk1PQ8ga7xi2moCLw5FXR1PPV5G3FMRzheYiP1xgqgWlR1atWRQ
tcfoTRkK+Y4OfMQgRzGKaNQFZAgLUO+bhGIcJFM9QxUmcvTS9FdgkKfBnMcx4WlqHhqDIcOjYXN6
Sw8Y5oq06DAa0zPjMGN+LJ1zFGpJKoIjYwDEDc34c9hFwKYmTk/94R9fFaUM7LT6x91DgVfgDZkH
hnPjAkVU22nCyPToXA6397VYUNWQMQnVdfB6q3iCF6mNmwErU38b8g4JvC1FE6ygK6s/dm7RLWMz
CEYPmCcQ6Ja2hOFenwtak0DLVP29QEeZiEpX5Ihhl9HBhwKhIcscnikSVWN5R6Nlt8Fg61RibWXe
aY5SxEWwoHGy22Q4uksRox0wtEI5Wizjz0quistBTnIJAizQBaMmk2gBzsz/xm6OLZOjPppdxQJq
g4zsMkjHYCqkifnxOHyLgXgnyzsNd10vYXczNRASOSs9Tu5jMWiiAQJa5Raaas7j0EjXH4aBZTs4
6CNuZLAEMpnsB4eqewOsVnTnvFoCELBwnjt4/ARv7KTrm1n8nAtuOYYDWH+wl4K4fIoY8rmj/ypt
H20eckTY/gK1/XBl0zdoNuPwffpyPEYTdVcky+Km5fjs//asoEW2Intb75o/lTM0sc2xa5/+mrNG
FT8KTBZ62RhyeJlVETigWIZ///pbMhMr4ZzFKxSeMIOXqJ3eCn1qRB+iDaRxwFE5G0jgGfZQl6PF
KMUAebDPEHwiETwTMy3uyfMTKfDyzhKr+g74GEFyXi+aYJ7kqE2cRLNxhA0ciBnCSEnbDUBhib5H
hsPriVSCcrgoGO4+oIygk9a/2107X4q9UO6NwLC2lySpHi8rmObfYMgDgRhkYhmZQQedi8Vyarg1
+bQrDdfjJZZQ7s/bv+oml4pLUBLwv7RXHcfpkETbDG75MaCt6PnJUv9tEQ9RtyjKB0N9AcDAVIYU
GsjhgKnZonOL6EgO4gsFjGmLKTqWyNAcCPqOWAEsbrOYHO5Mx5AODhTASXSLpD+lZeBwHvS4dtgb
R/SGTl6zQZgDy46+vjH6a1NaH+OoU79Epw1J0bscxvg15Ng4P5ejT6MvYlUOMsELHMBIxfWTqJov
8frAUa0VUw0TCx7MZaR6SYkX4nH0auSt2D2JR64ybXoR3EmqQThc/fwr5+mIZlI8Fs0HwjA5FuNs
+oNoCH4MveVZrMjB+6tixXx/OpDLKLEpQ69M0vL5sI98o24kaFrRIa/4hhTQOdcKpVQDB3QMb1Es
ZTJ1bmQ8kVYljyYUvZ+7i/C1v/ELDAa7DfZDA7eIN3nqz7yDtmVkF/VAmUhxuP6+oF6R12RwxpE4
WjpdcOeg6p3Sa8wBecqlEy7Mcnr/MQxuV8VdwXuk+sfd5SRbQF/gC7TrDTVfjhxmvoDcCjjPcjrk
r/Ws1dEegBulMmApus3dB22yalq4Yx42CLCtvUD/Tyaj92arf19nRvL7per6ZKh1dLKhLanUyr7h
/z4W+z8uZonUioM4E3WmH/FspCVr1gBxH5hCXjQaoMFrtUDMVRk02074YVoIcw6uL/Dc4wmsuVEe
5kg1tlGaMtigOfrn27HA84lELXIYUhRMSEGDIyvYicLI7AbhSIZ3R4iYKL9Ko9IuVDeZnCK8G01V
K4/RF8KBwzoV4UzVdmzOaZMhjXiGZ9EpxAFZRC0lNUw+csqoZxDRcDeSr22ZKVelRSSJiJPitjji
sSBO9bqVvXKrlWq1aFzHqTlZj+OG3ADg/AHkWjRBVt1h+HhmwEaa+AUahZw3E23/4jYih8PhR7fx
xIWZFOVwz5W6jaxhIgdephOp2PpZLwAj13zytU2RccS8GSxHMS4gEFCK2PYdDkL+ThRpn4zEYkeV
tYVqdXEq38miDuLAYpyCdFzxo4zXXJwZEbQcxWWQ2EbquS3V89oWqvcXSyA0Dv6u9fgZTkodtrKM
qBvkjL0KAzgmh8JhGJBmJXV5DsqdlwEI5tcSmq2hPzpBqiPUvyOLAKuvFordDXIPxcIhEgh6pMzE
cbRSdKYx0BaoUKyXQz/AMPOL4L3TEaGFXZyDcv1CGj1vHI3SN2KODm/qTnBkgi7QW0hH5bizaoPf
BkCY0de/wH6uz3J3sbuUyxEyeFbjAq5hhg+IBUqGagmWDmqeUjies9fzzG7NCwahhpFKUKK2Q+Q4
uBnzpNjLIETp6RvnOEHqOUHnYZ5PVzcWxT/APDrpfEr8FFBA68XufuqDaAbflOyax+FKDADcpLPl
AN0OUrz4YUyWQTK/x/HKvL5wiqeoaZAFRur621xyMj0OYElHISBVbUpfWj1RJfxHSKU2m+CcPsIT
DPuAsnC8wXOdvwbiZ1zhTh9PxcTOmxSALviLVjeuqUA0+6DRaiELBhb2as6Mxwt8bBTkdQOf4mrU
Ld0M8Sj+78/K3lYRmRayuza2+i9wlRaq/IddZR5DdIrv9OoJbCIlxQPlqAQS1cmBw75KEwOU7nEA
BQb3f6EtdRUUFQ+44/WP/2WXbHL+MDnupuVNA30s2VmtLylOT+WMcwbqineOi6t5Gnfc9tjAE1tl
cdMsqm6tJ0chwq9v/wEAAP//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Frequency of 'Field1'</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Frequency of 'Field1'</a:t>
          </a:r>
        </a:p>
      </cx:txPr>
    </cx:title>
    <cx:plotArea>
      <cx:plotAreaRegion>
        <cx:series layoutId="clusteredColumn" uniqueId="{EEC008E2-769A-462C-877C-AE8D1765A559}">
          <cx:spPr>
            <a:solidFill>
              <a:srgbClr val="595959"/>
            </a:solidFill>
          </cx:spPr>
          <cx:dataId val="0"/>
          <cx:layoutPr>
            <cx:binning intervalClosed="r" underflow="-2647.4338852331803">
              <cx:binSize val="150"/>
            </cx:binning>
          </cx:layoutPr>
        </cx:series>
      </cx:plotAreaRegion>
      <cx:axis id="0">
        <cx:catScaling gapWidth="0.330000013"/>
        <cx:title>
          <cx:tx>
            <cx:txData>
              <cx:v>Field1</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Field1</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Frequency</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Frequency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2.pn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85725</xdr:rowOff>
    </xdr:from>
    <xdr:to>
      <xdr:col>5</xdr:col>
      <xdr:colOff>38402</xdr:colOff>
      <xdr:row>56</xdr:row>
      <xdr:rowOff>59851</xdr:rowOff>
    </xdr:to>
    <xdr:graphicFrame macro="">
      <xdr:nvGraphicFramePr>
        <xdr:cNvPr id="10"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45</xdr:row>
      <xdr:rowOff>66675</xdr:rowOff>
    </xdr:from>
    <xdr:to>
      <xdr:col>8</xdr:col>
      <xdr:colOff>668618</xdr:colOff>
      <xdr:row>56</xdr:row>
      <xdr:rowOff>109042</xdr:rowOff>
    </xdr:to>
    <xdr:graphicFrame macro="">
      <xdr:nvGraphicFramePr>
        <xdr:cNvPr id="11" name="Chart 10">
          <a:extLst>
            <a:ext uri="{FF2B5EF4-FFF2-40B4-BE49-F238E27FC236}">
              <a16:creationId xmlns:a16="http://schemas.microsoft.com/office/drawing/2014/main" id="{5FD0E85C-31FF-44A0-AE27-6F64F0D40182}"/>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88142</xdr:colOff>
      <xdr:row>2</xdr:row>
      <xdr:rowOff>135341</xdr:rowOff>
    </xdr:from>
    <xdr:to>
      <xdr:col>21</xdr:col>
      <xdr:colOff>938893</xdr:colOff>
      <xdr:row>30</xdr:row>
      <xdr:rowOff>54429</xdr:rowOff>
    </xdr:to>
    <mc:AlternateContent xmlns:mc="http://schemas.openxmlformats.org/markup-compatibility/2006">
      <mc:Choice xmlns:cx4="http://schemas.microsoft.com/office/drawing/2016/5/10/chartex" xmlns="" Requires="cx4">
        <xdr:graphicFrame macro="">
          <xdr:nvGraphicFramePr>
            <xdr:cNvPr id="2"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200-000002000000}"/>
                </a:ext>
              </a:extLst>
            </xdr:cNvPr>
            <xdr:cNvSpPr>
              <a:spLocks noTextEdit="1"/>
            </xdr:cNvSpPr>
          </xdr:nvSpPr>
          <xdr:spPr>
            <a:xfrm>
              <a:off x="13658092" y="567141"/>
              <a:ext cx="7562701" cy="4160888"/>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117207</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190500</xdr:colOff>
      <xdr:row>4</xdr:row>
      <xdr:rowOff>152400</xdr:rowOff>
    </xdr:from>
    <xdr:to>
      <xdr:col>22</xdr:col>
      <xdr:colOff>190500</xdr:colOff>
      <xdr:row>30</xdr:row>
      <xdr:rowOff>47625</xdr:rowOff>
    </xdr:to>
    <mc:AlternateContent xmlns:mc="http://schemas.openxmlformats.org/markup-compatibility/2006">
      <mc:Choice xmlns:cx1="http://schemas.microsoft.com/office/drawing/2015/9/8/chartex" Requires="cx1">
        <xdr:graphicFrame macro="">
          <xdr:nvGraphicFramePr>
            <xdr:cNvPr id="2" name="Chart 1" descr="Chart type: Histogram. Frequency of 'Field1'&#10;&#10;Description automatically generated">
              <a:extLst>
                <a:ext uri="{FF2B5EF4-FFF2-40B4-BE49-F238E27FC236}">
                  <a16:creationId xmlns:a16="http://schemas.microsoft.com/office/drawing/2014/main" id="{072C2473-5E45-EA54-0F56-C161DC7BB44E}"/>
                </a:ext>
                <a:ext uri="{147F2762-F138-4A5C-976F-8EAC2B608ADB}">
                  <a16:predDERef xmlns:a16="http://schemas.microsoft.com/office/drawing/2014/main" pre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
  <rv s="0">
    <v>12</v>
    <v>Name</v>
    <v>0</v>
  </rv>
  <rv s="1">
    <v>https://www.bing.com/financeapi/forcetrigger?t=bwtkp2&amp;q=XNAS%3aRKLB&amp;form=skydnc</v>
    <v>Learn more on Bing</v>
  </rv>
  <rv s="2">
    <v>pt-BR</v>
    <v>bwtkp2</v>
    <v>268435456</v>
    <v>1</v>
    <v>Da plataforma Refinitiv</v>
    <v>0</v>
    <v>1</v>
    <v>Rocket Lab (XNAS:RKLB)</v>
    <v>3</v>
    <v>4</v>
    <v>Finance</v>
    <v>5</v>
    <v>55.17</v>
    <v>8.8000000000000007</v>
    <v>XNAS</v>
    <v>483960700</v>
    <v>49.42</v>
    <v>2025</v>
    <v>47.12</v>
    <v>2.1509</v>
    <v>Nasdaq Stock Market</v>
    <v>23495324063</v>
    <v>Rocket Lab Corporation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v>
    <v>XNAS</v>
    <v>47.91</v>
    <v>2100</v>
    <v>45931.719362615622</v>
    <v>1</v>
    <v>22947476</v>
    <v>USD</v>
    <v>Rocket Lab</v>
    <v>Rocket Lab</v>
    <v>0</v>
    <v>47.4</v>
    <v>48.548000000000002</v>
    <v>3881 Mcgowen Street, LONG BEACH, CA, 90808 US</v>
    <v>Aerospace &amp; Defense</v>
    <v>RKLB</v>
    <v>Ações</v>
    <v>Rocket Lab (XNAS:RKLB)</v>
    <v>0.63800000000000001</v>
    <v>1.3317000000000001E-2</v>
    <v>14412889</v>
  </rv>
  <rv s="3">
    <v>2</v>
  </rv>
  <rv s="0">
    <v>12</v>
    <v>Price</v>
    <v>0</v>
  </rv>
  <rv s="4">
    <v>en-US</v>
    <v>bwtkp2</v>
    <v>268435456</v>
    <v>1</v>
    <v>Powered by Refinitiv</v>
    <v>6</v>
    <v>7</v>
    <v>ROCKET LAB CORPORATION (XNAS:RKLB)</v>
    <v>3</v>
    <v>8</v>
    <v>Finance</v>
    <v>9</v>
    <v>55.17</v>
    <v>8.8000000000000007</v>
    <v>2.1509</v>
    <v>0.63800000000000001</v>
    <v>1.3317000000000001E-2</v>
    <v>USD</v>
    <v>Rocket Lab Corporation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v>
    <v>2100</v>
    <v>Nasdaq Stock Market</v>
    <v>XNAS</v>
    <v>XNAS</v>
    <v>3881 Mcgowen Street, LONG BEACH, CA, 90808 US</v>
    <v>49.42</v>
    <v>Aerospace &amp; Defense</v>
    <v>Stock</v>
    <v>45931.719362615622</v>
    <v>1</v>
    <v>47.12</v>
    <v>23495324063</v>
    <v>ROCKET LAB CORPORATION</v>
    <v>ROCKET LAB CORPORATION</v>
    <v>47.4</v>
    <v>0</v>
    <v>47.91</v>
    <v>48.548000000000002</v>
    <v>483960700</v>
    <v>RKLB</v>
    <v>ROCKET LAB CORPORATION (XNAS:RKLB)</v>
    <v>14412889</v>
    <v>22947476</v>
    <v>2025</v>
  </rv>
  <rv s="3">
    <v>5</v>
  </rv>
</rvData>
</file>

<file path=xl/richData/rdrichvaluestructure.xml><?xml version="1.0" encoding="utf-8"?>
<rvStructures xmlns="http://schemas.microsoft.com/office/spreadsheetml/2017/richdata" count="5">
  <s t="_error">
    <k n="errorType" t="i"/>
    <k n="field" t="s"/>
    <k n="subType" t="i"/>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0">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 s="6">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1</v>
      <v>Name</v>
      <v>LearnMoreOnLink</v>
    </spb>
    <spb s="7">
      <v>2</v>
      <v>1</v>
      <v>1</v>
      <v>2</v>
      <v>3</v>
      <v>2</v>
      <v>2</v>
      <v>2</v>
      <v>4</v>
      <v>4</v>
      <v>5</v>
      <v>8</v>
      <v>2</v>
      <v>2</v>
      <v>2</v>
      <v>4</v>
      <v>9</v>
      <v>7</v>
      <v>6</v>
      <v>4</v>
    </spb>
    <spb s="8">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9">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2" formatCode="0.00"/>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0">
      <rpv i="0">_([$$-en-US]* #,##0.00_);_([$$-en-US]* (#,##0.00);_([$$-en-US]* "-"??_);_(@_)</rpv>
    </rSty>
    <rSty>
      <rpv i="1">1</rpv>
    </rSty>
    <rSty dxfid="4">
      <rpv i="0">#,##0</rpv>
    </rSty>
    <rSty dxfid="3"/>
    <rSty dxfid="1">
      <rpv i="0">0.00</rpv>
    </rSty>
    <rSty dxfid="6">
      <rpv i="0">0</rpv>
    </rSty>
    <rSty dxfid="0">
      <rpv i="0">_([$$-en-US]* #,##0_);_([$$-en-US]* (#,##0);_([$$-en-US]* "-"_);_(@_)</rpv>
    </rSty>
    <rSty dxfid="2"/>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0" dT="2025-02-26T18:55:21.53" personId="{8FC7388A-B149-40B4-B48E-70DCA56CA41C}" id="{526A715E-98A3-411C-BDDD-D83546AD9F7F}">
    <text>Chipotle does not have any Intangibles in its Balance Sheet, except for Goodwill. Hence Depreciation and Amortization are forecasted only as % of PP&amp;E.</text>
  </threadedComment>
  <threadedComment ref="B133" dT="2025-02-26T18:54:39.98" personId="{8FC7388A-B149-40B4-B48E-70DCA56CA41C}" id="{BDA92F94-2FF9-48E6-893C-31A55F0B7145}">
    <text xml:space="preserve">Forecasted based on net number of stores opening </text>
  </threadedComment>
  <threadedComment ref="B151" dT="2025-02-26T17:14:37.81" personId="{8FC7388A-B149-40B4-B48E-70DCA56CA41C}" id="{74FF82E0-74E5-4FFF-8F36-FF50A0EB5579}">
    <text>Payment for Right of Use Assets are recognized as occupancy costs under SG&amp;A expenses.</text>
  </threadedComment>
  <threadedComment ref="B154" dT="2025-02-26T17:14:37.81" personId="{8FC7388A-B149-40B4-B48E-70DCA56CA41C}" id="{DEE5B5C8-B542-4461-9A39-5F02BA565E65}">
    <text>Payment for Right of Use Assets are recognized as occupancy costs under SG&amp;A expenses.</text>
  </threadedComment>
  <threadedComment ref="B156" dT="2025-02-26T17:14:37.81" personId="{8FC7388A-B149-40B4-B48E-70DCA56CA41C}" id="{A4A00B40-0276-4C2F-BE9C-EA1160D973E9}">
    <text>Payment for Right of Use Assets are recognized as occupancy costs under SG&amp;A expenses.</text>
  </threadedComment>
  <threadedComment ref="B163" dT="2025-02-26T17:14:37.81" personId="{8FC7388A-B149-40B4-B48E-70DCA56CA41C}" id="{9E4F2AA9-3D37-453C-B8E8-18896EEC5F74}">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thoropinto@gmail.com" TargetMode="External"/><Relationship Id="rId7" Type="http://schemas.openxmlformats.org/officeDocument/2006/relationships/comments" Target="../comments1.xml"/><Relationship Id="rId2" Type="http://schemas.openxmlformats.org/officeDocument/2006/relationships/hyperlink" Target="mailto:pilarbarrocalfortunato@gmail.com" TargetMode="External"/><Relationship Id="rId1" Type="http://schemas.openxmlformats.org/officeDocument/2006/relationships/hyperlink" Target="mailto:vieirafreitasjorgedaniel@gmail.com"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mailto:mariaritabaltazarmoura@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B1314"/>
  </sheetPr>
  <dimension ref="A1:AI1048576"/>
  <sheetViews>
    <sheetView showGridLines="0" topLeftCell="N8" zoomScale="62" zoomScaleNormal="104" workbookViewId="0">
      <selection activeCell="E28" sqref="E28"/>
    </sheetView>
  </sheetViews>
  <sheetFormatPr defaultColWidth="15.625" defaultRowHeight="14.1"/>
  <cols>
    <col min="1" max="1" width="11.625" style="571" customWidth="1"/>
    <col min="2" max="2" width="0.75" style="569" customWidth="1"/>
    <col min="3" max="3" width="2.5" style="567" customWidth="1"/>
    <col min="4" max="4" width="11.875" style="567" customWidth="1"/>
    <col min="5" max="5" width="13.375" style="567" customWidth="1"/>
    <col min="6" max="9" width="12.625" style="567" customWidth="1"/>
    <col min="10" max="10" width="4" style="567" customWidth="1"/>
    <col min="11" max="12" width="12.625" style="567" customWidth="1"/>
    <col min="13" max="13" width="3.625" style="567" customWidth="1"/>
    <col min="14" max="18" width="12.625" style="567" customWidth="1"/>
    <col min="19" max="19" width="3.875" style="621" customWidth="1"/>
    <col min="20" max="20" width="4" style="567" customWidth="1"/>
    <col min="21" max="21" width="27.25" style="567" customWidth="1"/>
    <col min="22" max="22" width="9.875" style="567" customWidth="1"/>
    <col min="23" max="16384" width="15.625" style="567"/>
  </cols>
  <sheetData>
    <row r="1" spans="1:22" ht="24.75" customHeight="1">
      <c r="A1" s="701"/>
      <c r="B1" s="702"/>
      <c r="C1" s="446"/>
      <c r="D1" s="446"/>
      <c r="E1" s="446"/>
      <c r="F1" s="446"/>
      <c r="G1" s="446"/>
      <c r="H1" s="446"/>
      <c r="I1" s="446"/>
      <c r="J1" s="446"/>
      <c r="K1" s="446"/>
      <c r="L1" s="446"/>
      <c r="M1" s="446"/>
      <c r="N1" s="446"/>
      <c r="O1" s="446"/>
      <c r="P1" s="446"/>
      <c r="Q1" s="446"/>
      <c r="R1" s="446"/>
      <c r="S1" s="446"/>
      <c r="T1" s="446"/>
      <c r="U1" s="446"/>
      <c r="V1" s="446"/>
    </row>
    <row r="2" spans="1:22" ht="24" customHeight="1">
      <c r="A2" s="701"/>
      <c r="B2" s="702"/>
      <c r="C2" s="446"/>
      <c r="D2" s="446"/>
      <c r="E2" s="735" t="s">
        <v>0</v>
      </c>
      <c r="F2" s="446"/>
      <c r="G2" s="446"/>
      <c r="H2" s="446"/>
      <c r="I2" s="446"/>
      <c r="J2" s="446"/>
      <c r="K2" s="446"/>
      <c r="L2" s="446"/>
      <c r="M2" s="446"/>
      <c r="N2" s="446"/>
      <c r="O2" s="446"/>
      <c r="P2" s="446"/>
      <c r="Q2" s="446"/>
      <c r="R2" s="446"/>
      <c r="S2" s="446"/>
      <c r="T2" s="446"/>
      <c r="U2" s="640" t="s">
        <v>1</v>
      </c>
      <c r="V2" s="446"/>
    </row>
    <row r="3" spans="1:22">
      <c r="A3" s="701"/>
      <c r="B3" s="702"/>
      <c r="C3" s="446"/>
      <c r="D3" s="446"/>
      <c r="E3" s="446"/>
      <c r="F3" s="446"/>
      <c r="G3" s="446"/>
      <c r="H3" s="446"/>
      <c r="I3" s="446"/>
      <c r="J3" s="446"/>
      <c r="K3" s="446"/>
      <c r="L3" s="446"/>
      <c r="M3" s="446"/>
      <c r="N3" s="446"/>
      <c r="O3" s="446"/>
      <c r="P3" s="446"/>
      <c r="Q3" s="446"/>
      <c r="R3" s="446"/>
      <c r="S3" s="446"/>
      <c r="T3" s="446"/>
      <c r="U3" s="627" t="s">
        <v>2</v>
      </c>
      <c r="V3" s="446"/>
    </row>
    <row r="4" spans="1:22">
      <c r="A4" s="701"/>
      <c r="B4" s="702"/>
      <c r="C4" s="446"/>
      <c r="D4" s="446"/>
      <c r="E4" s="446"/>
      <c r="F4" s="446"/>
      <c r="G4" s="446"/>
      <c r="H4" s="446"/>
      <c r="I4" s="446"/>
      <c r="J4" s="446"/>
      <c r="K4" s="446"/>
      <c r="L4" s="446"/>
      <c r="M4" s="446"/>
      <c r="N4" s="446"/>
      <c r="O4" s="446"/>
      <c r="P4" s="446"/>
      <c r="Q4" s="446"/>
      <c r="R4" s="446"/>
      <c r="S4" s="446"/>
      <c r="T4" s="446"/>
      <c r="U4" s="627"/>
      <c r="V4" s="446"/>
    </row>
    <row r="5" spans="1:22">
      <c r="A5" s="701"/>
      <c r="B5" s="702"/>
      <c r="C5" s="446"/>
      <c r="D5" s="446"/>
      <c r="E5" s="446"/>
      <c r="F5" s="446"/>
      <c r="G5" s="446"/>
      <c r="H5" s="446"/>
      <c r="I5"/>
      <c r="J5" s="446"/>
      <c r="K5" s="446"/>
      <c r="L5" s="446"/>
      <c r="M5" s="446"/>
      <c r="N5" s="446"/>
      <c r="O5" s="446"/>
      <c r="P5" s="446"/>
      <c r="Q5" s="446"/>
      <c r="R5" s="446"/>
      <c r="S5" s="446"/>
      <c r="T5" s="446"/>
      <c r="U5" s="446"/>
      <c r="V5" s="446"/>
    </row>
    <row r="6" spans="1:22" s="568" customFormat="1" ht="21" customHeight="1">
      <c r="A6" s="572"/>
      <c r="B6" s="573"/>
      <c r="D6" s="575" t="e" cm="1" vm="1">
        <f t="array" ref="D6">+_FV(#REF!,"Name")</f>
        <v>#VALUE!</v>
      </c>
      <c r="S6" s="703"/>
      <c r="U6" s="626" t="s">
        <v>3</v>
      </c>
    </row>
    <row r="7" spans="1:22" ht="3.75" customHeight="1">
      <c r="A7" s="701"/>
      <c r="B7" s="702"/>
      <c r="C7" s="446"/>
      <c r="D7" s="446"/>
      <c r="E7" s="446"/>
      <c r="F7" s="446"/>
      <c r="G7" s="446"/>
      <c r="H7" s="446"/>
      <c r="I7" s="446"/>
      <c r="J7" s="446"/>
      <c r="K7" s="446"/>
      <c r="L7" s="446"/>
      <c r="M7" s="446"/>
      <c r="N7" s="446"/>
      <c r="O7" s="446"/>
      <c r="P7" s="446"/>
      <c r="Q7" s="446"/>
      <c r="R7" s="446"/>
      <c r="S7" s="703"/>
      <c r="T7" s="446"/>
      <c r="U7" s="568"/>
      <c r="V7" s="446"/>
    </row>
    <row r="8" spans="1:22" ht="35.25" customHeight="1">
      <c r="A8" s="701"/>
      <c r="B8" s="702"/>
      <c r="C8" s="446"/>
      <c r="D8" s="906" t="s">
        <v>4</v>
      </c>
      <c r="E8" s="907"/>
      <c r="F8" s="907"/>
      <c r="G8" s="907"/>
      <c r="H8" s="907"/>
      <c r="I8" s="907"/>
      <c r="J8" s="907"/>
      <c r="K8" s="907"/>
      <c r="L8" s="907"/>
      <c r="M8" s="907"/>
      <c r="N8" s="907"/>
      <c r="O8" s="907"/>
      <c r="P8" s="907"/>
      <c r="Q8" s="907"/>
      <c r="R8" s="907"/>
      <c r="S8" s="704"/>
      <c r="T8" s="446"/>
      <c r="U8" s="705" t="e" vm="2">
        <v>#VALUE!</v>
      </c>
      <c r="V8" s="446"/>
    </row>
    <row r="9" spans="1:22" ht="38.25" customHeight="1">
      <c r="A9" s="701"/>
      <c r="B9" s="702"/>
      <c r="C9" s="446"/>
      <c r="D9" s="907"/>
      <c r="E9" s="907"/>
      <c r="F9" s="907"/>
      <c r="G9" s="907"/>
      <c r="H9" s="907"/>
      <c r="I9" s="907"/>
      <c r="J9" s="907"/>
      <c r="K9" s="907"/>
      <c r="L9" s="907"/>
      <c r="M9" s="907"/>
      <c r="N9" s="907"/>
      <c r="O9" s="907"/>
      <c r="P9" s="907"/>
      <c r="Q9" s="907"/>
      <c r="R9" s="907"/>
      <c r="S9" s="704"/>
      <c r="T9" s="446"/>
      <c r="U9" s="845" t="e" cm="1" vm="3">
        <f t="array" ref="U9">+"Price (7 Mar 25): $"&amp;_FV(#REF!,"Price")</f>
        <v>#VALUE!</v>
      </c>
      <c r="V9" s="446"/>
    </row>
    <row r="10" spans="1:22" ht="20.100000000000001" customHeight="1">
      <c r="A10" s="701"/>
      <c r="B10" s="702"/>
      <c r="C10" s="446"/>
      <c r="D10" s="575" t="s">
        <v>5</v>
      </c>
      <c r="E10" s="706"/>
      <c r="F10" s="706"/>
      <c r="G10" s="706"/>
      <c r="H10" s="706"/>
      <c r="I10" s="706"/>
      <c r="J10" s="706"/>
      <c r="K10" s="706"/>
      <c r="L10" s="706"/>
      <c r="M10" s="706"/>
      <c r="N10" s="706"/>
      <c r="O10" s="706"/>
      <c r="P10" s="706"/>
      <c r="Q10" s="706"/>
      <c r="R10" s="706"/>
      <c r="S10" s="707"/>
      <c r="T10" s="446"/>
      <c r="U10" s="1" t="e">
        <f>"Price Target: $" &amp; ROUND(IF(Summary!G25="FCFF",#REF!,IF(Summary!G25="FCFE",#REF!,IF(Summary!G25="Tax Shield",#REF!,#REF!))),2) &amp;" "&amp;IF(Summary!G25="FCFF","(FCFF)",IF(Summary!G25="FCFE","(FCFE)",IF(Summary!G25="Tax Shield","(APV)","(DDM)")))</f>
        <v>#REF!</v>
      </c>
      <c r="V10" s="446"/>
    </row>
    <row r="11" spans="1:22" ht="14.25" customHeight="1">
      <c r="A11" s="701"/>
      <c r="B11" s="702"/>
      <c r="C11" s="446"/>
      <c r="D11" s="907" t="s">
        <v>6</v>
      </c>
      <c r="E11" s="907"/>
      <c r="F11" s="907"/>
      <c r="G11" s="907"/>
      <c r="H11" s="907"/>
      <c r="I11" s="907"/>
      <c r="J11" s="907"/>
      <c r="K11" s="907"/>
      <c r="L11" s="907"/>
      <c r="M11" s="907"/>
      <c r="N11" s="907"/>
      <c r="O11" s="907"/>
      <c r="P11" s="907"/>
      <c r="Q11" s="907"/>
      <c r="R11" s="907"/>
      <c r="S11" s="704"/>
      <c r="T11" s="446"/>
      <c r="U11" s="574" t="e">
        <f>+"Upside (Downside): "&amp;ROUND((#REF!*100),2)&amp;"%"</f>
        <v>#REF!</v>
      </c>
      <c r="V11" s="446"/>
    </row>
    <row r="12" spans="1:22" ht="3.75" customHeight="1">
      <c r="A12" s="701"/>
      <c r="B12" s="702"/>
      <c r="C12" s="446"/>
      <c r="D12" s="907"/>
      <c r="E12" s="907"/>
      <c r="F12" s="907"/>
      <c r="G12" s="907"/>
      <c r="H12" s="907"/>
      <c r="I12" s="907"/>
      <c r="J12" s="907"/>
      <c r="K12" s="907"/>
      <c r="L12" s="907"/>
      <c r="M12" s="907"/>
      <c r="N12" s="907"/>
      <c r="O12" s="907"/>
      <c r="P12" s="907"/>
      <c r="Q12" s="907"/>
      <c r="R12" s="907"/>
      <c r="S12" s="704"/>
      <c r="T12" s="446"/>
      <c r="U12" s="446"/>
      <c r="V12" s="446"/>
    </row>
    <row r="13" spans="1:22" ht="17.25" customHeight="1">
      <c r="A13" s="701"/>
      <c r="B13" s="702"/>
      <c r="C13" s="446"/>
      <c r="D13" s="907"/>
      <c r="E13" s="907"/>
      <c r="F13" s="907"/>
      <c r="G13" s="907"/>
      <c r="H13" s="907"/>
      <c r="I13" s="907"/>
      <c r="J13" s="907"/>
      <c r="K13" s="907"/>
      <c r="L13" s="907"/>
      <c r="M13" s="907"/>
      <c r="N13" s="907"/>
      <c r="O13" s="907"/>
      <c r="P13" s="907"/>
      <c r="Q13" s="907"/>
      <c r="R13" s="907"/>
      <c r="S13" s="704"/>
      <c r="T13" s="446"/>
      <c r="U13" s="446"/>
      <c r="V13" s="446"/>
    </row>
    <row r="14" spans="1:22" ht="15" customHeight="1">
      <c r="A14" s="701"/>
      <c r="B14" s="702"/>
      <c r="C14" s="446"/>
      <c r="D14" s="907"/>
      <c r="E14" s="907"/>
      <c r="F14" s="907"/>
      <c r="G14" s="907"/>
      <c r="H14" s="907"/>
      <c r="I14" s="907"/>
      <c r="J14" s="907"/>
      <c r="K14" s="907"/>
      <c r="L14" s="907"/>
      <c r="M14" s="907"/>
      <c r="N14" s="907"/>
      <c r="O14" s="907"/>
      <c r="P14" s="907"/>
      <c r="Q14" s="907"/>
      <c r="R14" s="907"/>
      <c r="S14" s="704"/>
      <c r="T14" s="446"/>
      <c r="U14" s="708" t="str">
        <f>+Industry!E28&amp;", "&amp;ESG!C9</f>
        <v>, Industrials</v>
      </c>
      <c r="V14" s="702"/>
    </row>
    <row r="15" spans="1:22" ht="15" customHeight="1">
      <c r="A15" s="701"/>
      <c r="B15" s="702"/>
      <c r="C15" s="446"/>
      <c r="D15" s="907"/>
      <c r="E15" s="907"/>
      <c r="F15" s="907"/>
      <c r="G15" s="907"/>
      <c r="H15" s="907"/>
      <c r="I15" s="907"/>
      <c r="J15" s="907"/>
      <c r="K15" s="907"/>
      <c r="L15" s="907"/>
      <c r="M15" s="907"/>
      <c r="N15" s="907"/>
      <c r="O15" s="907"/>
      <c r="P15" s="907"/>
      <c r="Q15" s="907"/>
      <c r="R15" s="907"/>
      <c r="S15" s="704"/>
      <c r="T15" s="446"/>
      <c r="U15" s="708" t="str">
        <f>+ESG!C10</f>
        <v>Aerospace &amp; Defense</v>
      </c>
      <c r="V15" s="702"/>
    </row>
    <row r="16" spans="1:22" ht="3.75" customHeight="1">
      <c r="A16" s="701"/>
      <c r="B16" s="702"/>
      <c r="C16" s="446"/>
      <c r="D16" s="446"/>
      <c r="E16" s="1"/>
      <c r="F16" s="446"/>
      <c r="G16" s="446"/>
      <c r="H16" s="446"/>
      <c r="I16" s="446"/>
      <c r="J16" s="446"/>
      <c r="K16" s="446"/>
      <c r="L16" s="446"/>
      <c r="M16" s="446"/>
      <c r="N16" s="446"/>
      <c r="O16" s="446"/>
      <c r="P16" s="446"/>
      <c r="Q16" s="446"/>
      <c r="R16" s="446"/>
      <c r="S16" s="703"/>
      <c r="T16" s="446"/>
      <c r="U16" s="709"/>
      <c r="V16" s="446"/>
    </row>
    <row r="17" spans="4:22" ht="14.25" customHeight="1">
      <c r="D17" s="2" t="s">
        <v>7</v>
      </c>
      <c r="E17" s="3"/>
      <c r="F17" s="4">
        <v>2023</v>
      </c>
      <c r="G17" s="9">
        <f>+F17+1</f>
        <v>2024</v>
      </c>
      <c r="H17" s="5">
        <f>+G17+1</f>
        <v>2025</v>
      </c>
      <c r="I17" s="5">
        <f>+H17+1</f>
        <v>2026</v>
      </c>
      <c r="J17" s="446"/>
      <c r="K17" s="7" t="s">
        <v>8</v>
      </c>
      <c r="L17" s="4"/>
      <c r="M17" s="4"/>
      <c r="N17" s="4">
        <v>2022</v>
      </c>
      <c r="O17" s="4">
        <f>+N17+1</f>
        <v>2023</v>
      </c>
      <c r="P17" s="348">
        <f>+O17+1</f>
        <v>2024</v>
      </c>
      <c r="Q17" s="5">
        <f>+P17+1</f>
        <v>2025</v>
      </c>
      <c r="R17" s="5">
        <f>+Q17+1</f>
        <v>2026</v>
      </c>
      <c r="S17" s="622"/>
      <c r="T17" s="446"/>
      <c r="U17" s="710" t="s">
        <v>9</v>
      </c>
      <c r="V17" s="446"/>
    </row>
    <row r="18" spans="4:22" ht="15.6">
      <c r="D18" s="10"/>
      <c r="E18" s="11"/>
      <c r="F18" s="12"/>
      <c r="G18" s="13"/>
      <c r="H18" s="14"/>
      <c r="I18" s="14"/>
      <c r="J18" s="446"/>
      <c r="K18" s="15" t="s">
        <v>10</v>
      </c>
      <c r="L18"/>
      <c r="M18"/>
      <c r="N18" s="373" t="str">
        <f>IFERROR(_xlfn.XLOOKUP($K18,Multiples!$B:$B,Multiples!N:N),"")</f>
        <v/>
      </c>
      <c r="O18" s="373" t="str">
        <f>IFERROR(_xlfn.XLOOKUP($K18,Multiples!$B:$B,Multiples!O:O),"")</f>
        <v/>
      </c>
      <c r="P18" s="349" t="str">
        <f>IFERROR(_xlfn.XLOOKUP($K18,Multiples!$B:$B,Multiples!P:P),"")</f>
        <v/>
      </c>
      <c r="Q18" s="356" t="str">
        <f>IFERROR(_xlfn.XLOOKUP($K18,Multiples!$B:$B,Multiples!Q:Q),"")</f>
        <v/>
      </c>
      <c r="R18" s="356" t="str">
        <f>IFERROR(_xlfn.XLOOKUP($K18,Multiples!$B:$B,Multiples!R:R),"")</f>
        <v/>
      </c>
      <c r="S18" s="623"/>
      <c r="T18" s="446"/>
      <c r="U18" s="764" t="s">
        <v>11</v>
      </c>
      <c r="V18" s="446"/>
    </row>
    <row r="19" spans="4:22" ht="15.6">
      <c r="D19" s="10"/>
      <c r="E19" s="11"/>
      <c r="F19" s="12"/>
      <c r="G19" s="13"/>
      <c r="H19" s="14"/>
      <c r="I19" s="14"/>
      <c r="J19" s="446"/>
      <c r="K19" s="18" t="s">
        <v>12</v>
      </c>
      <c r="L19"/>
      <c r="M19"/>
      <c r="N19" s="373" t="str">
        <f>IFERROR(_xlfn.XLOOKUP($K19,Multiples!$B:$B,Multiples!N:N),"")</f>
        <v/>
      </c>
      <c r="O19" s="373" t="str">
        <f>IFERROR(_xlfn.XLOOKUP($K19,Multiples!$B:$B,Multiples!O:O),"")</f>
        <v/>
      </c>
      <c r="P19" s="349" t="str">
        <f>IFERROR(_xlfn.XLOOKUP($K19,Multiples!$B:$B,Multiples!P:P),"")</f>
        <v/>
      </c>
      <c r="Q19" s="356" t="str">
        <f>IFERROR(_xlfn.XLOOKUP($K19,Multiples!$B:$B,Multiples!Q:Q),"")</f>
        <v/>
      </c>
      <c r="R19" s="356" t="str">
        <f>IFERROR(_xlfn.XLOOKUP($K19,Multiples!$B:$B,Multiples!R:R),"")</f>
        <v/>
      </c>
      <c r="S19" s="623"/>
      <c r="T19" s="446"/>
      <c r="U19" s="614" t="s">
        <v>13</v>
      </c>
      <c r="V19" s="446"/>
    </row>
    <row r="20" spans="4:22" ht="14.25" customHeight="1">
      <c r="D20" s="10"/>
      <c r="E20" s="11"/>
      <c r="F20" s="19"/>
      <c r="G20" s="20"/>
      <c r="H20" s="21"/>
      <c r="I20" s="21"/>
      <c r="J20" s="446"/>
      <c r="K20" s="22" t="s">
        <v>14</v>
      </c>
      <c r="L20"/>
      <c r="M20"/>
      <c r="N20" s="373" t="str">
        <f>IFERROR(_xlfn.XLOOKUP($K20,Multiples!$B:$B,Multiples!N:N),"")</f>
        <v/>
      </c>
      <c r="O20" s="373" t="str">
        <f>IFERROR(_xlfn.XLOOKUP($K20,Multiples!$B:$B,Multiples!O:O),"")</f>
        <v/>
      </c>
      <c r="P20" s="349" t="str">
        <f>IFERROR(_xlfn.XLOOKUP($K20,Multiples!$B:$B,Multiples!P:P),"")</f>
        <v/>
      </c>
      <c r="Q20" s="356" t="str">
        <f>IFERROR(_xlfn.XLOOKUP($K20,Multiples!$B:$B,Multiples!Q:Q),"")</f>
        <v/>
      </c>
      <c r="R20" s="356" t="str">
        <f>IFERROR(_xlfn.XLOOKUP($K20,Multiples!$B:$B,Multiples!R:R),"")</f>
        <v/>
      </c>
      <c r="S20" s="623"/>
      <c r="T20" s="446"/>
      <c r="U20" s="23" t="s">
        <v>15</v>
      </c>
      <c r="V20" s="446"/>
    </row>
    <row r="21" spans="4:22" ht="15.6">
      <c r="D21" s="10"/>
      <c r="E21" s="11"/>
      <c r="F21" s="566"/>
      <c r="G21" s="565"/>
      <c r="H21" s="564"/>
      <c r="I21" s="564"/>
      <c r="J21" s="446"/>
      <c r="K21" s="22" t="s">
        <v>16</v>
      </c>
      <c r="L21"/>
      <c r="M21"/>
      <c r="N21" s="373" t="str">
        <f>IFERROR(_xlfn.XLOOKUP($K21,Multiples!$B:$B,Multiples!N:N),"")</f>
        <v/>
      </c>
      <c r="O21" s="373" t="str">
        <f>IFERROR(_xlfn.XLOOKUP($K21,Multiples!$B:$B,Multiples!O:O),"")</f>
        <v/>
      </c>
      <c r="P21" s="349" t="str">
        <f>IFERROR(_xlfn.XLOOKUP($K21,Multiples!$B:$B,Multiples!P:P),"")</f>
        <v/>
      </c>
      <c r="Q21" s="356" t="str">
        <f>IFERROR(_xlfn.XLOOKUP($K21,Multiples!$B:$B,Multiples!Q:Q),"")</f>
        <v/>
      </c>
      <c r="R21" s="356" t="str">
        <f>IFERROR(_xlfn.XLOOKUP($K21,Multiples!$B:$B,Multiples!R:R),"")</f>
        <v/>
      </c>
      <c r="S21" s="623"/>
      <c r="T21" s="446"/>
      <c r="U21" s="764" t="s">
        <v>17</v>
      </c>
      <c r="V21" s="446"/>
    </row>
    <row r="22" spans="4:22" ht="15.6">
      <c r="D22" s="10"/>
      <c r="E22" s="11"/>
      <c r="F22" s="12"/>
      <c r="G22" s="13"/>
      <c r="H22" s="14"/>
      <c r="I22" s="14"/>
      <c r="J22" s="446"/>
      <c r="K22" s="18" t="s">
        <v>18</v>
      </c>
      <c r="L22"/>
      <c r="M22"/>
      <c r="N22" s="373" t="str">
        <f>IFERROR(_xlfn.XLOOKUP($K22,Multiples!$B:$B,Multiples!N:N),"")</f>
        <v/>
      </c>
      <c r="O22" s="373" t="str">
        <f>IFERROR(_xlfn.XLOOKUP($K22,Multiples!$B:$B,Multiples!O:O),"")</f>
        <v/>
      </c>
      <c r="P22" s="349" t="str">
        <f>IFERROR(_xlfn.XLOOKUP($K22,Multiples!$B:$B,Multiples!P:P),"")</f>
        <v/>
      </c>
      <c r="Q22" s="356" t="str">
        <f>IFERROR(_xlfn.XLOOKUP($K22,Multiples!$B:$B,Multiples!Q:Q),"")</f>
        <v/>
      </c>
      <c r="R22" s="356" t="str">
        <f>IFERROR(_xlfn.XLOOKUP($K22,Multiples!$B:$B,Multiples!R:R),"")</f>
        <v/>
      </c>
      <c r="S22" s="623"/>
      <c r="T22" s="446"/>
      <c r="U22" s="614" t="s">
        <v>19</v>
      </c>
      <c r="V22" s="446"/>
    </row>
    <row r="23" spans="4:22" ht="14.25" customHeight="1">
      <c r="D23" s="10"/>
      <c r="E23" s="11"/>
      <c r="F23" s="12"/>
      <c r="G23" s="13"/>
      <c r="H23" s="14"/>
      <c r="I23" s="14"/>
      <c r="J23" s="446"/>
      <c r="K23" s="22" t="s">
        <v>20</v>
      </c>
      <c r="L23"/>
      <c r="M23"/>
      <c r="N23" s="373" t="str">
        <f>IFERROR(_xlfn.XLOOKUP($K23,Multiples!$B:$B,Multiples!N:N),"")</f>
        <v/>
      </c>
      <c r="O23" s="373" t="str">
        <f>IFERROR(_xlfn.XLOOKUP($K23,Multiples!$B:$B,Multiples!O:O),"")</f>
        <v/>
      </c>
      <c r="P23" s="349" t="str">
        <f>IFERROR(_xlfn.XLOOKUP($K23,Multiples!$B:$B,Multiples!P:P),"")</f>
        <v/>
      </c>
      <c r="Q23" s="356" t="str">
        <f>IFERROR(_xlfn.XLOOKUP($K23,Multiples!$B:$B,Multiples!Q:Q),"")</f>
        <v/>
      </c>
      <c r="R23" s="356" t="str">
        <f>IFERROR(_xlfn.XLOOKUP($K23,Multiples!$B:$B,Multiples!R:R),"")</f>
        <v/>
      </c>
      <c r="S23" s="623"/>
      <c r="T23" s="446"/>
      <c r="U23" s="23" t="s">
        <v>21</v>
      </c>
      <c r="V23" s="446"/>
    </row>
    <row r="24" spans="4:22" ht="15.6">
      <c r="D24"/>
      <c r="E24"/>
      <c r="F24"/>
      <c r="G24"/>
      <c r="H24"/>
      <c r="I24"/>
      <c r="J24"/>
      <c r="K24" s="22"/>
      <c r="L24"/>
      <c r="M24"/>
      <c r="N24"/>
      <c r="O24"/>
      <c r="P24"/>
      <c r="Q24"/>
      <c r="R24"/>
      <c r="S24" s="624"/>
      <c r="T24" s="446"/>
      <c r="U24" s="764" t="s">
        <v>22</v>
      </c>
      <c r="V24" s="446"/>
    </row>
    <row r="25" spans="4:22" ht="14.25" customHeight="1">
      <c r="D25" s="28" t="s">
        <v>23</v>
      </c>
      <c r="E25" s="576" t="s">
        <v>24</v>
      </c>
      <c r="F25" s="577" t="s">
        <v>25</v>
      </c>
      <c r="G25" s="577" t="s">
        <v>26</v>
      </c>
      <c r="H25" s="577" t="e">
        <f>+IF(Summary!$G$25="FCFF",#REF!,IF(Summary!$G$25="FCFE",#REF!,#REF!))</f>
        <v>#REF!</v>
      </c>
      <c r="I25" s="578" t="s">
        <v>27</v>
      </c>
      <c r="J25" s="446"/>
      <c r="K25" s="897" t="s">
        <v>28</v>
      </c>
      <c r="L25" s="4"/>
      <c r="M25" s="4"/>
      <c r="N25" s="4">
        <v>2022</v>
      </c>
      <c r="O25" s="4">
        <f>+N25+1</f>
        <v>2023</v>
      </c>
      <c r="P25" s="348">
        <f>+O25+1</f>
        <v>2024</v>
      </c>
      <c r="Q25" s="5">
        <f>+P25+1</f>
        <v>2025</v>
      </c>
      <c r="R25" s="5">
        <f>+Q25+1</f>
        <v>2026</v>
      </c>
      <c r="S25" s="622"/>
      <c r="T25" s="446"/>
      <c r="U25" s="614" t="s">
        <v>29</v>
      </c>
      <c r="V25" s="446"/>
    </row>
    <row r="26" spans="4:22" ht="15.6">
      <c r="D26" s="29">
        <v>2022</v>
      </c>
      <c r="E26" s="579" t="e">
        <f>+#REF!</f>
        <v>#REF!</v>
      </c>
      <c r="F26" s="580" t="e">
        <f>+#REF!</f>
        <v>#REF!</v>
      </c>
      <c r="G26" s="581" t="e">
        <f>+INDEX(#REF!,MATCH(Summary!$G$25,{"FCFF","FCFE","Tax Shield","Total Payout"},0))</f>
        <v>#REF!</v>
      </c>
      <c r="H26" s="581" t="e">
        <f>+IF(Summary!$G$25="FCFF",#REF!,IF(Summary!$G$25="FCFE",#REF!,#REF!))</f>
        <v>#REF!</v>
      </c>
      <c r="I26" s="582" t="e">
        <f>+#REF!</f>
        <v>#REF!</v>
      </c>
      <c r="J26" s="446"/>
      <c r="K26" s="22" t="s">
        <v>30</v>
      </c>
      <c r="L26"/>
      <c r="M26"/>
      <c r="N26" s="373">
        <f>IFERROR(_xlfn.XLOOKUP($K26,Multiples!$B:$B,Multiples!N:N),"")</f>
        <v>-0.10764331210191082</v>
      </c>
      <c r="O26" s="373">
        <f>IFERROR(_xlfn.XLOOKUP($K26,Multiples!$B:$B,Multiples!O:O),"")</f>
        <v>-0.16383340416489586</v>
      </c>
      <c r="P26" s="349">
        <f>IFERROR(_xlfn.XLOOKUP($K26,Multiples!$B:$B,Multiples!P:P),"")</f>
        <v>-0.12727349489149711</v>
      </c>
      <c r="Q26" s="356" t="str">
        <f>IFERROR(_xlfn.XLOOKUP($K26,Multiples!$B:$B,Multiples!Q:Q),"")</f>
        <v/>
      </c>
      <c r="R26" s="356" t="str">
        <f>IFERROR(_xlfn.XLOOKUP($K26,Multiples!$B:$B,Multiples!R:R),"")</f>
        <v/>
      </c>
      <c r="S26" s="623"/>
      <c r="T26" s="446"/>
      <c r="U26" s="23" t="s">
        <v>31</v>
      </c>
      <c r="V26" s="446"/>
    </row>
    <row r="27" spans="4:22" ht="14.25" customHeight="1">
      <c r="D27" s="29">
        <f t="shared" ref="D27:D33" si="0">+D26+1</f>
        <v>2023</v>
      </c>
      <c r="E27" s="583" t="e">
        <f>+#REF!</f>
        <v>#REF!</v>
      </c>
      <c r="F27" s="584" t="e">
        <f>+#REF!</f>
        <v>#REF!</v>
      </c>
      <c r="G27" s="585" t="e">
        <f>+INDEX(#REF!,MATCH(Summary!$G$25,{"FCFF","FCFE","Tax Shield","Total Payout"},0))</f>
        <v>#REF!</v>
      </c>
      <c r="H27" s="586" t="e">
        <f>+IF(Summary!$G$25="FCFF",#REF!,IF(Summary!$G$25="FCFE",#REF!,#REF!))</f>
        <v>#REF!</v>
      </c>
      <c r="I27" s="582" t="e">
        <f>+#REF!</f>
        <v>#REF!</v>
      </c>
      <c r="J27" s="446"/>
      <c r="K27" s="22" t="s">
        <v>32</v>
      </c>
      <c r="L27"/>
      <c r="M27"/>
      <c r="N27" s="373">
        <f>IFERROR(_xlfn.XLOOKUP($K27,Multiples!$B:$B,Multiples!N:N),"")</f>
        <v>-0.15815508021390373</v>
      </c>
      <c r="O27" s="373">
        <f>IFERROR(_xlfn.XLOOKUP($K27,Multiples!$B:$B,Multiples!O:O),"")</f>
        <v>-0.27808836789900809</v>
      </c>
      <c r="P27" s="349">
        <f>IFERROR(_xlfn.XLOOKUP($K27,Multiples!$B:$B,Multiples!P:P),"")</f>
        <v>-0.39416841004184106</v>
      </c>
      <c r="Q27" s="356" t="str">
        <f>IFERROR(_xlfn.XLOOKUP($K27,Multiples!$B:$B,Multiples!Q:Q),"")</f>
        <v/>
      </c>
      <c r="R27" s="356" t="str">
        <f>IFERROR(_xlfn.XLOOKUP($K27,Multiples!$B:$B,Multiples!R:R),"")</f>
        <v/>
      </c>
      <c r="S27" s="623"/>
      <c r="T27" s="446"/>
      <c r="U27" s="764" t="s">
        <v>33</v>
      </c>
      <c r="V27" s="446"/>
    </row>
    <row r="28" spans="4:22" ht="15.6">
      <c r="D28" s="397">
        <f t="shared" si="0"/>
        <v>2024</v>
      </c>
      <c r="E28" s="587" t="e">
        <f>+#REF!</f>
        <v>#REF!</v>
      </c>
      <c r="F28" s="588" t="e">
        <f>+#REF!</f>
        <v>#REF!</v>
      </c>
      <c r="G28" s="589" t="e">
        <f>+INDEX(#REF!,MATCH(Summary!$G$25,{"FCFF","FCFE","Tax Shield","Total Payout"},0))</f>
        <v>#REF!</v>
      </c>
      <c r="H28" s="590" t="e">
        <f>+IF(Summary!$G$25="FCFF",#REF!,IF(Summary!$G$25="FCFE",#REF!,#REF!))</f>
        <v>#REF!</v>
      </c>
      <c r="I28" s="616" t="e">
        <f>+#REF!</f>
        <v>#REF!</v>
      </c>
      <c r="J28" s="446"/>
      <c r="K28" s="130" t="s">
        <v>34</v>
      </c>
      <c r="L28"/>
      <c r="M28"/>
      <c r="N28" s="373">
        <f>IFERROR(_xlfn.XLOOKUP($K28,Multiples!$B:$B,Multiples!N:N),"")</f>
        <v>-0.13640391777909619</v>
      </c>
      <c r="O28" s="373">
        <f>IFERROR(_xlfn.XLOOKUP($K28,Multiples!$B:$B,Multiples!O:O),"")</f>
        <v>-0.21705457741588782</v>
      </c>
      <c r="P28" s="349">
        <f>IFERROR(_xlfn.XLOOKUP($K28,Multiples!$B:$B,Multiples!P:P),"")</f>
        <v>-0.17937244744301103</v>
      </c>
      <c r="Q28" s="356" t="str">
        <f>IFERROR(_xlfn.XLOOKUP($K28,Multiples!$B:$B,Multiples!Q:Q),"")</f>
        <v/>
      </c>
      <c r="R28" s="356" t="str">
        <f>IFERROR(_xlfn.XLOOKUP($K28,Multiples!$B:$B,Multiples!R:R),"")</f>
        <v/>
      </c>
      <c r="S28" s="623"/>
      <c r="T28" s="446"/>
      <c r="U28" s="757" t="s">
        <v>35</v>
      </c>
      <c r="V28" s="711"/>
    </row>
    <row r="29" spans="4:22" ht="15.6">
      <c r="D29" s="30">
        <f t="shared" si="0"/>
        <v>2025</v>
      </c>
      <c r="E29" s="591" t="e">
        <f>+#REF!</f>
        <v>#REF!</v>
      </c>
      <c r="F29" s="592" t="e">
        <f>+#REF!</f>
        <v>#REF!</v>
      </c>
      <c r="G29" s="593" t="e">
        <f>+INDEX(#REF!,MATCH(Summary!$G$25,{"FCFF","FCFE","Tax Shield","Total Payout"},0))</f>
        <v>#REF!</v>
      </c>
      <c r="H29" s="591" t="e">
        <f>+IF(Summary!$G$25="FCFF",#REF!,IF(Summary!$G$25="FCFE",#REF!,#REF!))</f>
        <v>#REF!</v>
      </c>
      <c r="I29" s="742" t="e">
        <f>+#REF!</f>
        <v>#REF!</v>
      </c>
      <c r="J29" s="446"/>
      <c r="K29" s="31" t="s">
        <v>36</v>
      </c>
      <c r="L29"/>
      <c r="M29"/>
      <c r="N29" s="373">
        <f>IFERROR(_xlfn.XLOOKUP($K29,Multiples!$B:$B,Multiples!N:N),"")</f>
        <v>-0.64075829383886251</v>
      </c>
      <c r="O29" s="373">
        <f>IFERROR(_xlfn.XLOOKUP($K29,Multiples!$B:$B,Multiples!O:O),"")</f>
        <v>-0.7277187244480785</v>
      </c>
      <c r="P29" s="349">
        <f>IFERROR(_xlfn.XLOOKUP($K29,Multiples!$B:$B,Multiples!P:P),"")</f>
        <v>-0.41746905089408537</v>
      </c>
      <c r="Q29" s="356" t="str">
        <f>IFERROR(_xlfn.XLOOKUP($K29,Multiples!$B:$B,Multiples!Q:Q),"")</f>
        <v/>
      </c>
      <c r="R29" s="356" t="str">
        <f>IFERROR(_xlfn.XLOOKUP($K29,Multiples!$B:$B,Multiples!R:R),"")</f>
        <v/>
      </c>
      <c r="S29" s="623"/>
      <c r="T29" s="446"/>
      <c r="U29" s="446"/>
      <c r="V29" s="446"/>
    </row>
    <row r="30" spans="4:22" ht="15.6">
      <c r="D30" s="30">
        <f t="shared" si="0"/>
        <v>2026</v>
      </c>
      <c r="E30" s="591" t="e">
        <f>+#REF!</f>
        <v>#REF!</v>
      </c>
      <c r="F30" s="592" t="e">
        <f>+#REF!</f>
        <v>#REF!</v>
      </c>
      <c r="G30" s="593" t="e">
        <f>+INDEX(#REF!,MATCH(Summary!$G$25,{"FCFF","FCFE","Tax Shield","Total Payout"},0))</f>
        <v>#REF!</v>
      </c>
      <c r="H30" s="591" t="e">
        <f>+IF(Summary!$G$25="FCFF",#REF!,IF(Summary!$G$25="FCFE",#REF!,#REF!))</f>
        <v>#REF!</v>
      </c>
      <c r="I30" s="742" t="e">
        <f>+#REF!</f>
        <v>#REF!</v>
      </c>
      <c r="J30" s="446"/>
      <c r="K30" s="18" t="s">
        <v>25</v>
      </c>
      <c r="L30"/>
      <c r="M30"/>
      <c r="N30" s="373">
        <f>IFERROR(_xlfn.XLOOKUP($K30,Multiples!$B:$B,Multiples!N:N),"")</f>
        <v>-0.50127962085308053</v>
      </c>
      <c r="O30" s="373">
        <f>IFERROR(_xlfn.XLOOKUP($K30,Multiples!$B:$B,Multiples!O:O),"")</f>
        <v>-0.61120196238757152</v>
      </c>
      <c r="P30" s="349">
        <f>IFERROR(_xlfn.XLOOKUP($K30,Multiples!$B:$B,Multiples!P:P),"")</f>
        <v>-0.34440623567171025</v>
      </c>
      <c r="Q30" s="356" t="str">
        <f>IFERROR(_xlfn.XLOOKUP($K30,Multiples!$B:$B,Multiples!Q:Q),"")</f>
        <v/>
      </c>
      <c r="R30" s="356" t="str">
        <f>IFERROR(_xlfn.XLOOKUP($K30,Multiples!$B:$B,Multiples!R:R),"")</f>
        <v/>
      </c>
      <c r="S30" s="623"/>
      <c r="T30" s="446"/>
      <c r="U30" s="734" t="s">
        <v>37</v>
      </c>
      <c r="V30" s="702"/>
    </row>
    <row r="31" spans="4:22" ht="14.25" customHeight="1">
      <c r="D31" s="30">
        <f t="shared" si="0"/>
        <v>2027</v>
      </c>
      <c r="E31" s="591" t="e">
        <f>+#REF!</f>
        <v>#REF!</v>
      </c>
      <c r="F31" s="592" t="e">
        <f>+#REF!</f>
        <v>#REF!</v>
      </c>
      <c r="G31" s="593" t="e">
        <f>+INDEX(#REF!,MATCH(Summary!$G$25,{"FCFF","FCFE","Tax Shield","Total Payout"},0))</f>
        <v>#REF!</v>
      </c>
      <c r="H31" s="591" t="e">
        <f>+IF(Summary!$G$25="FCFF",#REF!,IF(Summary!$G$25="FCFE",#REF!,#REF!))</f>
        <v>#REF!</v>
      </c>
      <c r="I31" s="742" t="e">
        <f>+#REF!</f>
        <v>#REF!</v>
      </c>
      <c r="J31" s="446"/>
      <c r="K31" s="18" t="s">
        <v>38</v>
      </c>
      <c r="L31"/>
      <c r="M31"/>
      <c r="N31" s="373">
        <f>IFERROR(_xlfn.XLOOKUP($K31,Multiples!$B:$B,Multiples!N:N),"")</f>
        <v>9.004739336492891E-2</v>
      </c>
      <c r="O31" s="373">
        <f>IFERROR(_xlfn.XLOOKUP($K31,Multiples!$B:$B,Multiples!O:O),"")</f>
        <v>0.2101390024529845</v>
      </c>
      <c r="P31" s="349">
        <f>IFERROR(_xlfn.XLOOKUP($K31,Multiples!$B:$B,Multiples!P:P),"")</f>
        <v>0.26616231086657488</v>
      </c>
      <c r="Q31" s="356" t="str">
        <f>IFERROR(_xlfn.XLOOKUP($K31,Multiples!$B:$B,Multiples!Q:Q),"")</f>
        <v/>
      </c>
      <c r="R31" s="356" t="str">
        <f>IFERROR(_xlfn.XLOOKUP($K31,Multiples!$B:$B,Multiples!R:R),"")</f>
        <v/>
      </c>
      <c r="S31" s="623"/>
      <c r="T31" s="446"/>
      <c r="U31" s="25" t="s">
        <v>39</v>
      </c>
      <c r="V31" s="34" t="str">
        <f>Peers!D74</f>
        <v/>
      </c>
    </row>
    <row r="32" spans="4:22" ht="14.25" customHeight="1">
      <c r="D32" s="30">
        <f t="shared" si="0"/>
        <v>2028</v>
      </c>
      <c r="E32" s="591" t="e">
        <f>+#REF!</f>
        <v>#REF!</v>
      </c>
      <c r="F32" s="592" t="e">
        <f>+#REF!</f>
        <v>#REF!</v>
      </c>
      <c r="G32" s="593" t="e">
        <f>+INDEX(#REF!,MATCH(Summary!$G$25,{"FCFF","FCFE","Tax Shield","Total Payout"},0))</f>
        <v>#REF!</v>
      </c>
      <c r="H32" s="591" t="e">
        <f>+IF(Summary!$G$25="FCFF",#REF!,IF(Summary!$G$25="FCFE",#REF!,#REF!))</f>
        <v>#REF!</v>
      </c>
      <c r="I32" s="742" t="e">
        <f>+#REF!</f>
        <v>#REF!</v>
      </c>
      <c r="J32" s="446"/>
      <c r="K32" s="18" t="s">
        <v>40</v>
      </c>
      <c r="L32"/>
      <c r="M32"/>
      <c r="N32" s="373">
        <f>IFERROR(_xlfn.XLOOKUP($K32,Multiples!$B:$B,Multiples!N:N),"")</f>
        <v>0.4218009478672986</v>
      </c>
      <c r="O32" s="373">
        <f>IFERROR(_xlfn.XLOOKUP($K32,Multiples!$B:$B,Multiples!O:O),"")</f>
        <v>0.45094031071136548</v>
      </c>
      <c r="P32" s="349">
        <f>IFERROR(_xlfn.XLOOKUP($K32,Multiples!$B:$B,Multiples!P:P),"")</f>
        <v>0.28381476386978449</v>
      </c>
      <c r="Q32" s="356" t="str">
        <f>IFERROR(_xlfn.XLOOKUP($K32,Multiples!$B:$B,Multiples!Q:Q),"")</f>
        <v/>
      </c>
      <c r="R32" s="356" t="str">
        <f>IFERROR(_xlfn.XLOOKUP($K32,Multiples!$B:$B,Multiples!R:R),"")</f>
        <v/>
      </c>
      <c r="S32" s="623"/>
      <c r="T32" s="446"/>
      <c r="U32" s="35" t="s">
        <v>41</v>
      </c>
      <c r="V32" s="32">
        <f>+Peers!D73</f>
        <v>0</v>
      </c>
    </row>
    <row r="33" spans="4:30" ht="14.25" customHeight="1">
      <c r="D33" s="30">
        <f t="shared" si="0"/>
        <v>2029</v>
      </c>
      <c r="E33" s="591" t="e">
        <f>+#REF!</f>
        <v>#REF!</v>
      </c>
      <c r="F33" s="592" t="e">
        <f>+#REF!</f>
        <v>#REF!</v>
      </c>
      <c r="G33" s="593" t="e">
        <f>+INDEX(#REF!,MATCH(Summary!$G$25,{"FCFF","FCFE","Tax Shield","Total Payout"},0))</f>
        <v>#REF!</v>
      </c>
      <c r="H33" s="591" t="e">
        <f>+IF(Summary!$G$25="FCFF",#REF!,IF(Summary!$G$25="FCFE",#REF!,#REF!))</f>
        <v>#REF!</v>
      </c>
      <c r="I33" s="742" t="e">
        <f>+#REF!</f>
        <v>#REF!</v>
      </c>
      <c r="J33" s="446"/>
      <c r="K33" s="18" t="s">
        <v>42</v>
      </c>
      <c r="L33"/>
      <c r="M33"/>
      <c r="N33" s="373">
        <f>IFERROR(_xlfn.XLOOKUP($K33,Multiples!$B:$B,Multiples!N:N),"")</f>
        <v>-0.50459715639810421</v>
      </c>
      <c r="O33" s="373">
        <f>IFERROR(_xlfn.XLOOKUP($K33,Multiples!$B:$B,Multiples!O:O),"")</f>
        <v>-0.63041700735895334</v>
      </c>
      <c r="P33" s="349">
        <f>IFERROR(_xlfn.XLOOKUP($K33,Multiples!$B:$B,Multiples!P:P),"")</f>
        <v>-0.34555249885373684</v>
      </c>
      <c r="Q33" s="356" t="str">
        <f>IFERROR(_xlfn.XLOOKUP($K33,Multiples!$B:$B,Multiples!Q:Q),"")</f>
        <v/>
      </c>
      <c r="R33" s="356" t="str">
        <f>IFERROR(_xlfn.XLOOKUP($K33,Multiples!$B:$B,Multiples!R:R),"")</f>
        <v/>
      </c>
      <c r="S33" s="623"/>
      <c r="T33" s="446"/>
      <c r="U33" s="25" t="s">
        <v>43</v>
      </c>
      <c r="V33" s="32">
        <f>+Peers!D76</f>
        <v>0</v>
      </c>
      <c r="W33" s="446"/>
      <c r="X33" s="446"/>
      <c r="Y33" s="446"/>
      <c r="Z33" s="446"/>
      <c r="AA33" s="446"/>
      <c r="AB33" s="446"/>
      <c r="AC33" s="446"/>
      <c r="AD33" s="446"/>
    </row>
    <row r="34" spans="4:30" ht="14.25" customHeight="1">
      <c r="D34" s="446"/>
      <c r="E34" s="446"/>
      <c r="F34" s="446"/>
      <c r="G34" s="446"/>
      <c r="H34" s="446"/>
      <c r="I34" s="446"/>
      <c r="J34" s="446"/>
      <c r="K34" s="446"/>
      <c r="L34" s="446"/>
      <c r="M34" s="446"/>
      <c r="N34" s="446"/>
      <c r="O34" s="446"/>
      <c r="P34" s="446"/>
      <c r="Q34" s="446"/>
      <c r="R34" s="446"/>
      <c r="S34" s="703"/>
      <c r="T34" s="446"/>
      <c r="U34" s="25" t="s">
        <v>44</v>
      </c>
      <c r="V34" s="32">
        <f>+Peers!D77</f>
        <v>0</v>
      </c>
      <c r="W34" s="446"/>
      <c r="X34" s="446"/>
      <c r="Y34" s="446"/>
      <c r="Z34" s="446"/>
      <c r="AA34" s="446"/>
      <c r="AB34" s="446"/>
      <c r="AC34" s="446"/>
      <c r="AD34" s="446"/>
    </row>
    <row r="35" spans="4:30" ht="14.25" customHeight="1">
      <c r="D35" s="7" t="s">
        <v>45</v>
      </c>
      <c r="E35" s="4"/>
      <c r="F35" s="4"/>
      <c r="G35" s="4"/>
      <c r="H35" s="4"/>
      <c r="I35" s="4"/>
      <c r="J35" s="446"/>
      <c r="K35" s="7" t="s">
        <v>46</v>
      </c>
      <c r="L35" s="4"/>
      <c r="M35" s="4"/>
      <c r="N35" s="4">
        <v>2022</v>
      </c>
      <c r="O35" s="4">
        <f>+N35+1</f>
        <v>2023</v>
      </c>
      <c r="P35" s="348">
        <f>+O35+1</f>
        <v>2024</v>
      </c>
      <c r="Q35" s="5">
        <f>+P35+1</f>
        <v>2025</v>
      </c>
      <c r="R35" s="5">
        <f>+Q35+1</f>
        <v>2026</v>
      </c>
      <c r="S35" s="622"/>
      <c r="T35" s="446"/>
      <c r="U35" s="36" t="s">
        <v>47</v>
      </c>
      <c r="V35" s="599">
        <f>+Peers!D78</f>
        <v>0</v>
      </c>
      <c r="W35" s="446"/>
      <c r="X35" s="446"/>
      <c r="Y35" s="446"/>
      <c r="Z35" s="446"/>
      <c r="AA35" s="446"/>
      <c r="AB35" s="446"/>
      <c r="AC35" s="446"/>
      <c r="AD35" s="446"/>
    </row>
    <row r="36" spans="4:30" ht="14.25" customHeight="1">
      <c r="D36" s="595" t="s">
        <v>48</v>
      </c>
      <c r="E36" s="595"/>
      <c r="F36" s="596"/>
      <c r="G36" s="595" t="s">
        <v>49</v>
      </c>
      <c r="H36" s="595"/>
      <c r="I36" s="595"/>
      <c r="J36" s="446"/>
      <c r="K36" s="33" t="s">
        <v>50</v>
      </c>
      <c r="L36"/>
      <c r="M36"/>
      <c r="N36" s="373">
        <f>IFERROR(_xlfn.XLOOKUP($K36,Multiples!$B:$B,Multiples!N:N),"")</f>
        <v>1.4886433394720686</v>
      </c>
      <c r="O36" s="373">
        <f>IFERROR(_xlfn.XLOOKUP($K36,Multiples!$B:$B,Multiples!O:O),"")</f>
        <v>0.72739480752014318</v>
      </c>
      <c r="P36" s="349">
        <f>IFERROR(_xlfn.XLOOKUP($K36,Multiples!$B:$B,Multiples!P:P),"")</f>
        <v>0.79823269513991169</v>
      </c>
      <c r="Q36" s="356" t="str">
        <f>IFERROR(_xlfn.XLOOKUP($K36,Multiples!$B:$B,Multiples!Q:Q),"")</f>
        <v/>
      </c>
      <c r="R36" s="356" t="str">
        <f>IFERROR(_xlfn.XLOOKUP($K36,Multiples!$B:$B,Multiples!R:R),"")</f>
        <v/>
      </c>
      <c r="S36" s="623"/>
      <c r="T36" s="446"/>
      <c r="U36" s="446"/>
      <c r="V36" s="446"/>
      <c r="W36" s="600">
        <v>120.87</v>
      </c>
      <c r="X36" s="446"/>
      <c r="Y36" s="446"/>
      <c r="Z36" s="446"/>
      <c r="AA36" s="446"/>
      <c r="AB36" s="446"/>
      <c r="AC36" s="446"/>
      <c r="AD36" s="446"/>
    </row>
    <row r="37" spans="4:30" ht="15.75" customHeight="1">
      <c r="D37" s="951" t="s">
        <v>51</v>
      </c>
      <c r="E37" s="952"/>
      <c r="F37" s="953"/>
      <c r="G37" s="954" t="s">
        <v>52</v>
      </c>
      <c r="H37" s="955"/>
      <c r="I37" s="955"/>
      <c r="J37" s="446"/>
      <c r="K37" s="18" t="s">
        <v>53</v>
      </c>
      <c r="L37"/>
      <c r="M37"/>
      <c r="N37" s="373">
        <f>IFERROR(_xlfn.XLOOKUP($K37,Multiples!$B:$B,Multiples!N:N),"")</f>
        <v>3.1209330877839165</v>
      </c>
      <c r="O37" s="373">
        <f>IFERROR(_xlfn.XLOOKUP($K37,Multiples!$B:$B,Multiples!O:O),"")</f>
        <v>1.2533572068039391</v>
      </c>
      <c r="P37" s="349">
        <f>IFERROR(_xlfn.XLOOKUP($K37,Multiples!$B:$B,Multiples!P:P),"")</f>
        <v>1.3410898379970544</v>
      </c>
      <c r="Q37" s="356" t="str">
        <f>IFERROR(_xlfn.XLOOKUP($K37,Multiples!$B:$B,Multiples!Q:Q),"")</f>
        <v/>
      </c>
      <c r="R37" s="356" t="str">
        <f>IFERROR(_xlfn.XLOOKUP($K37,Multiples!$B:$B,Multiples!R:R),"")</f>
        <v/>
      </c>
      <c r="S37" s="623"/>
      <c r="T37" s="446"/>
      <c r="U37" s="734" t="s">
        <v>54</v>
      </c>
      <c r="V37" s="702"/>
      <c r="W37" s="600">
        <v>113.63</v>
      </c>
      <c r="X37" s="446"/>
      <c r="Y37" s="446"/>
      <c r="Z37" s="446"/>
      <c r="AA37" s="446"/>
      <c r="AB37" s="446"/>
      <c r="AC37" s="446"/>
      <c r="AD37" s="446"/>
    </row>
    <row r="38" spans="4:30" ht="20.25" customHeight="1">
      <c r="D38" s="956"/>
      <c r="E38" s="956"/>
      <c r="F38" s="957"/>
      <c r="G38" s="958"/>
      <c r="H38" s="959"/>
      <c r="I38" s="959"/>
      <c r="J38" s="446"/>
      <c r="K38" s="18" t="s">
        <v>55</v>
      </c>
      <c r="L38"/>
      <c r="M38"/>
      <c r="N38" s="373">
        <f>IFERROR(_xlfn.XLOOKUP($K38,Multiples!$B:$B,Multiples!N:N),"")</f>
        <v>4.0656844689993861</v>
      </c>
      <c r="O38" s="373">
        <f>IFERROR(_xlfn.XLOOKUP($K38,Multiples!$B:$B,Multiples!O:O),"")</f>
        <v>2.1338406445837061</v>
      </c>
      <c r="P38" s="349">
        <f>IFERROR(_xlfn.XLOOKUP($K38,Multiples!$B:$B,Multiples!P:P),"")</f>
        <v>2.0400589101620028</v>
      </c>
      <c r="Q38" s="356" t="str">
        <f>IFERROR(_xlfn.XLOOKUP($K38,Multiples!$B:$B,Multiples!Q:Q),"")</f>
        <v/>
      </c>
      <c r="R38" s="356" t="str">
        <f>IFERROR(_xlfn.XLOOKUP($K38,Multiples!$B:$B,Multiples!R:R),"")</f>
        <v/>
      </c>
      <c r="S38" s="623"/>
      <c r="T38" s="446"/>
      <c r="U38" s="10" t="s">
        <v>56</v>
      </c>
      <c r="V38" s="17" t="s">
        <v>57</v>
      </c>
      <c r="W38" s="600"/>
      <c r="X38" s="446"/>
      <c r="Y38" s="446"/>
      <c r="Z38" s="446"/>
      <c r="AA38" s="446"/>
      <c r="AB38" s="446"/>
      <c r="AC38" s="446"/>
      <c r="AD38" s="446"/>
    </row>
    <row r="39" spans="4:30" ht="22.5" customHeight="1">
      <c r="D39" s="956"/>
      <c r="E39" s="956"/>
      <c r="F39" s="957"/>
      <c r="G39" s="958"/>
      <c r="H39" s="959"/>
      <c r="I39" s="959"/>
      <c r="J39" s="446"/>
      <c r="K39"/>
      <c r="L39"/>
      <c r="M39"/>
      <c r="N39"/>
      <c r="O39"/>
      <c r="P39"/>
      <c r="Q39"/>
      <c r="R39"/>
      <c r="S39" s="624"/>
      <c r="T39" s="446"/>
      <c r="U39" s="25" t="s">
        <v>58</v>
      </c>
      <c r="V39" s="17" t="s">
        <v>59</v>
      </c>
      <c r="W39" s="600"/>
      <c r="X39" s="446"/>
      <c r="Y39" s="446"/>
      <c r="Z39" s="446"/>
      <c r="AA39" s="446"/>
      <c r="AB39" s="446"/>
      <c r="AC39" s="446"/>
      <c r="AD39" s="446"/>
    </row>
    <row r="40" spans="4:30" ht="20.45" customHeight="1">
      <c r="D40" s="595" t="s">
        <v>60</v>
      </c>
      <c r="E40" s="595"/>
      <c r="F40" s="596"/>
      <c r="G40" s="595" t="s">
        <v>61</v>
      </c>
      <c r="H40" s="595"/>
      <c r="I40" s="595"/>
      <c r="J40" s="446"/>
      <c r="K40" s="7" t="s">
        <v>62</v>
      </c>
      <c r="L40" s="4"/>
      <c r="M40" s="4"/>
      <c r="N40" s="4">
        <v>2022</v>
      </c>
      <c r="O40" s="4">
        <f>+N40+1</f>
        <v>2023</v>
      </c>
      <c r="P40" s="348">
        <f>+O40+1</f>
        <v>2024</v>
      </c>
      <c r="Q40" s="5">
        <f>+P40+1</f>
        <v>2025</v>
      </c>
      <c r="R40" s="5">
        <f>+Q40+1</f>
        <v>2026</v>
      </c>
      <c r="S40" s="622"/>
      <c r="T40" s="446"/>
      <c r="U40" s="25" t="s">
        <v>63</v>
      </c>
      <c r="V40" s="17" t="s">
        <v>64</v>
      </c>
      <c r="W40" s="600"/>
      <c r="X40" s="446"/>
      <c r="Y40" s="446"/>
      <c r="Z40" s="446"/>
      <c r="AA40" s="446"/>
      <c r="AB40" s="446"/>
      <c r="AC40" s="446"/>
      <c r="AD40" s="446"/>
    </row>
    <row r="41" spans="4:30" ht="17.45" customHeight="1">
      <c r="D41" s="900" t="s">
        <v>65</v>
      </c>
      <c r="E41" s="900"/>
      <c r="F41" s="901"/>
      <c r="G41" s="904" t="s">
        <v>66</v>
      </c>
      <c r="H41" s="900"/>
      <c r="I41" s="900"/>
      <c r="J41" s="446"/>
      <c r="K41" s="22" t="s">
        <v>67</v>
      </c>
      <c r="L41"/>
      <c r="M41"/>
      <c r="N41" s="373">
        <f>IFERROR(_xlfn.XLOOKUP($K41,Multiples!$B:$B,Multiples!N:N),"")</f>
        <v>202.79789938783568</v>
      </c>
      <c r="O41" s="373">
        <f>IFERROR(_xlfn.XLOOKUP($K41,Multiples!$B:$B,Multiples!O:O),"")</f>
        <v>204.29601335005904</v>
      </c>
      <c r="P41" s="349">
        <f>IFERROR(_xlfn.XLOOKUP($K41,Multiples!$B:$B,Multiples!P:P),"")</f>
        <v>105.59852448963893</v>
      </c>
      <c r="Q41" s="356" t="str">
        <f>IFERROR(_xlfn.XLOOKUP($K41,Multiples!$B:$B,Multiples!Q:Q),"")</f>
        <v/>
      </c>
      <c r="R41" s="356" t="str">
        <f>IFERROR(_xlfn.XLOOKUP($K41,Multiples!$B:$B,Multiples!R:R),"")</f>
        <v/>
      </c>
      <c r="S41" s="623"/>
      <c r="T41" s="446"/>
      <c r="U41" s="25" t="s">
        <v>68</v>
      </c>
      <c r="V41" s="17" t="s">
        <v>69</v>
      </c>
      <c r="W41" s="600"/>
      <c r="X41" s="446"/>
      <c r="Y41" s="446"/>
      <c r="Z41" s="446"/>
      <c r="AA41" s="446"/>
      <c r="AB41" s="446"/>
      <c r="AC41" s="446"/>
      <c r="AD41" s="446"/>
    </row>
    <row r="42" spans="4:30" ht="21.95" customHeight="1">
      <c r="D42" s="902"/>
      <c r="E42" s="902"/>
      <c r="F42" s="903"/>
      <c r="G42" s="905"/>
      <c r="H42" s="902"/>
      <c r="I42" s="902"/>
      <c r="J42" s="446"/>
      <c r="K42" s="18" t="s">
        <v>70</v>
      </c>
      <c r="L42"/>
      <c r="M42"/>
      <c r="N42" s="373">
        <f>IFERROR(_xlfn.XLOOKUP($K42,Multiples!$B:$B,Multiples!N:N),"")</f>
        <v>0.99971830985915477</v>
      </c>
      <c r="O42" s="373">
        <f>IFERROR(_xlfn.XLOOKUP($K42,Multiples!$B:$B,Multiples!O:O),"")</f>
        <v>1.5591506572295246</v>
      </c>
      <c r="P42" s="349">
        <f>IFERROR(_xlfn.XLOOKUP($K42,Multiples!$B:$B,Multiples!P:P),"")</f>
        <v>3.0824130879345608</v>
      </c>
      <c r="Q42" s="356" t="str">
        <f>IFERROR(_xlfn.XLOOKUP($K42,Multiples!$B:$B,Multiples!Q:Q),"")</f>
        <v/>
      </c>
      <c r="R42" s="356" t="str">
        <f>IFERROR(_xlfn.XLOOKUP($K42,Multiples!$B:$B,Multiples!R:R),"")</f>
        <v/>
      </c>
      <c r="S42" s="623"/>
      <c r="T42" s="446"/>
      <c r="U42" s="25" t="s">
        <v>71</v>
      </c>
      <c r="V42" s="17" t="s">
        <v>72</v>
      </c>
      <c r="W42" s="600"/>
      <c r="X42" s="712"/>
      <c r="Y42" s="446"/>
      <c r="Z42" s="446"/>
      <c r="AA42" s="446"/>
      <c r="AB42" s="446"/>
      <c r="AC42" s="446"/>
      <c r="AD42" s="446"/>
    </row>
    <row r="43" spans="4:30" ht="21.75" customHeight="1">
      <c r="D43" s="902"/>
      <c r="E43" s="902"/>
      <c r="F43" s="903"/>
      <c r="G43" s="905"/>
      <c r="H43" s="902"/>
      <c r="I43" s="902"/>
      <c r="J43" s="446"/>
      <c r="K43" s="33" t="s">
        <v>73</v>
      </c>
      <c r="L43"/>
      <c r="M43"/>
      <c r="N43" s="373">
        <f>IFERROR(_xlfn.XLOOKUP($K43,Multiples!$B:$B,Multiples!N:N),"")</f>
        <v>4.1896713615023469</v>
      </c>
      <c r="O43" s="373">
        <f>IFERROR(_xlfn.XLOOKUP($K43,Multiples!$B:$B,Multiples!O:O),"")</f>
        <v>0.80283114256825072</v>
      </c>
      <c r="P43" s="349">
        <f>IFERROR(_xlfn.XLOOKUP($K43,Multiples!$B:$B,Multiples!P:P),"")</f>
        <v>-2.2269938650306749</v>
      </c>
      <c r="Q43" s="356" t="str">
        <f>IFERROR(_xlfn.XLOOKUP($K43,Multiples!$B:$B,Multiples!Q:Q),"")</f>
        <v/>
      </c>
      <c r="R43" s="356" t="str">
        <f>IFERROR(_xlfn.XLOOKUP($K43,Multiples!$B:$B,Multiples!R:R),"")</f>
        <v/>
      </c>
      <c r="S43" s="623"/>
      <c r="T43" s="446"/>
      <c r="U43" s="25" t="s">
        <v>74</v>
      </c>
      <c r="V43" s="17" t="s">
        <v>75</v>
      </c>
      <c r="W43" s="600"/>
      <c r="X43" s="446"/>
      <c r="Y43" s="446"/>
      <c r="Z43" s="446"/>
      <c r="AA43" s="446"/>
      <c r="AB43" s="446"/>
      <c r="AC43" s="446"/>
      <c r="AD43" s="446"/>
    </row>
    <row r="44" spans="4:30" ht="15.75" customHeight="1">
      <c r="D44" s="446"/>
      <c r="E44" s="713"/>
      <c r="F44" s="446"/>
      <c r="G44" s="714"/>
      <c r="H44" s="446"/>
      <c r="I44" s="446"/>
      <c r="J44" s="446"/>
      <c r="K44"/>
      <c r="L44"/>
      <c r="M44"/>
      <c r="N44"/>
      <c r="O44"/>
      <c r="P44"/>
      <c r="Q44"/>
      <c r="R44"/>
      <c r="S44" s="624"/>
      <c r="T44" s="446"/>
      <c r="U44" s="25" t="s">
        <v>76</v>
      </c>
      <c r="V44" s="17" t="s">
        <v>77</v>
      </c>
      <c r="W44" s="600"/>
      <c r="X44" s="446"/>
      <c r="Y44" s="446"/>
      <c r="Z44" s="446"/>
      <c r="AA44" s="446"/>
      <c r="AB44" s="446"/>
      <c r="AC44" s="446"/>
      <c r="AD44" s="446"/>
    </row>
    <row r="45" spans="4:30" ht="14.25" customHeight="1">
      <c r="D45" s="597" t="s">
        <v>78</v>
      </c>
      <c r="E45" s="4"/>
      <c r="F45" s="4"/>
      <c r="G45" s="4" t="s">
        <v>79</v>
      </c>
      <c r="H45" s="4"/>
      <c r="I45" s="4"/>
      <c r="J45" s="446"/>
      <c r="K45" s="7" t="s">
        <v>80</v>
      </c>
      <c r="L45" s="4"/>
      <c r="M45" s="4"/>
      <c r="N45" s="4">
        <v>2022</v>
      </c>
      <c r="O45" s="4">
        <f>+N45+1</f>
        <v>2023</v>
      </c>
      <c r="P45" s="348">
        <f>+O45+1</f>
        <v>2024</v>
      </c>
      <c r="Q45" s="5">
        <f>+P45+1</f>
        <v>2025</v>
      </c>
      <c r="R45" s="5">
        <f>+Q45+1</f>
        <v>2026</v>
      </c>
      <c r="S45" s="622"/>
      <c r="T45" s="446"/>
      <c r="U45" s="25" t="s">
        <v>81</v>
      </c>
      <c r="V45" s="17" t="s">
        <v>82</v>
      </c>
      <c r="W45" s="600"/>
      <c r="X45" s="446"/>
      <c r="Y45" s="446"/>
      <c r="Z45" s="446"/>
      <c r="AA45" s="446"/>
      <c r="AB45" s="446"/>
      <c r="AC45" s="446"/>
      <c r="AD45" s="446"/>
    </row>
    <row r="46" spans="4:30" ht="14.25" customHeight="1">
      <c r="D46" s="446"/>
      <c r="E46" s="715"/>
      <c r="F46" s="446"/>
      <c r="G46" s="714"/>
      <c r="H46" s="446"/>
      <c r="I46" s="446"/>
      <c r="J46" s="446"/>
      <c r="K46" s="18" t="s">
        <v>83</v>
      </c>
      <c r="L46"/>
      <c r="M46"/>
      <c r="N46" s="373">
        <f>IFERROR(_xlfn.XLOOKUP($K46,Multiples!$B:$B,Multiples!N:N),"")</f>
        <v>185.23469994058232</v>
      </c>
      <c r="O46" s="373">
        <f>IFERROR(_xlfn.XLOOKUP($K46,Multiples!$B:$B,Multiples!O:O),"")</f>
        <v>272.67808836789908</v>
      </c>
      <c r="P46" s="349">
        <f>IFERROR(_xlfn.XLOOKUP($K46,Multiples!$B:$B,Multiples!P:P),"")</f>
        <v>1201.8828451882844</v>
      </c>
      <c r="Q46" s="356" t="str">
        <f>IFERROR(_xlfn.XLOOKUP($K46,Multiples!$B:$B,Multiples!Q:Q),"")</f>
        <v/>
      </c>
      <c r="R46" s="356" t="str">
        <f>IFERROR(_xlfn.XLOOKUP($K46,Multiples!$B:$B,Multiples!R:R),"")</f>
        <v/>
      </c>
      <c r="S46" s="623"/>
      <c r="T46" s="446"/>
      <c r="U46" s="25" t="s">
        <v>84</v>
      </c>
      <c r="V46" s="17" t="s">
        <v>85</v>
      </c>
      <c r="W46" s="446"/>
      <c r="X46" s="446"/>
      <c r="Y46"/>
      <c r="Z46" s="446"/>
      <c r="AA46" s="446"/>
      <c r="AB46" s="446"/>
      <c r="AC46" s="446"/>
      <c r="AD46"/>
    </row>
    <row r="47" spans="4:30" ht="15" customHeight="1">
      <c r="D47" s="446"/>
      <c r="E47" s="715"/>
      <c r="F47" s="446"/>
      <c r="G47" s="714"/>
      <c r="H47" s="446"/>
      <c r="I47" s="446"/>
      <c r="J47" s="446"/>
      <c r="K47" s="252" t="s">
        <v>86</v>
      </c>
      <c r="L47" s="446"/>
      <c r="M47" s="446"/>
      <c r="N47" s="373">
        <f>IFERROR(_xlfn.XLOOKUP($K47,Multiples!$B:$B,Multiples!N:N),"")</f>
        <v>0.99463043138405982</v>
      </c>
      <c r="O47" s="373">
        <f>IFERROR(_xlfn.XLOOKUP($K47,Multiples!$B:$B,Multiples!O:O),"")</f>
        <v>0.99634607210988801</v>
      </c>
      <c r="P47" s="349">
        <f>IFERROR(_xlfn.XLOOKUP($K47,Multiples!$B:$B,Multiples!P:P),"")</f>
        <v>0.99916866384452963</v>
      </c>
      <c r="Q47" s="356" t="str">
        <f>IFERROR(_xlfn.XLOOKUP($K47,Multiples!$B:$B,Multiples!Q:Q),"")</f>
        <v/>
      </c>
      <c r="R47" s="356" t="str">
        <f>IFERROR(_xlfn.XLOOKUP($K47,Multiples!$B:$B,Multiples!R:R),"")</f>
        <v/>
      </c>
      <c r="S47" s="623"/>
      <c r="T47" s="446"/>
      <c r="U47" s="36" t="s">
        <v>87</v>
      </c>
      <c r="V47" s="613" t="s">
        <v>88</v>
      </c>
      <c r="W47" s="598"/>
      <c r="X47" s="598"/>
      <c r="Y47" s="598"/>
      <c r="Z47" s="598"/>
      <c r="AA47" s="598"/>
      <c r="AB47" s="598"/>
      <c r="AC47" s="446"/>
      <c r="AD47"/>
    </row>
    <row r="48" spans="4:30" ht="14.25" customHeight="1">
      <c r="D48" s="446"/>
      <c r="E48" s="715"/>
      <c r="F48" s="446"/>
      <c r="G48" s="714"/>
      <c r="H48" s="446"/>
      <c r="I48" s="446"/>
      <c r="J48" s="446"/>
      <c r="K48" s="22" t="s">
        <v>89</v>
      </c>
      <c r="L48"/>
      <c r="M48"/>
      <c r="N48" s="373">
        <f>IFERROR(_xlfn.XLOOKUP($K48,Multiples!$B:$B,Multiples!N:N),"")</f>
        <v>0.31938125568698816</v>
      </c>
      <c r="O48" s="373">
        <f>IFERROR(_xlfn.XLOOKUP($K48,Multiples!$B:$B,Multiples!O:O),"")</f>
        <v>0.41085847853803659</v>
      </c>
      <c r="P48" s="349">
        <f>IFERROR(_xlfn.XLOOKUP($K48,Multiples!$B:$B,Multiples!P:P),"")</f>
        <v>0.67710884066537191</v>
      </c>
      <c r="Q48" s="356" t="str">
        <f>IFERROR(_xlfn.XLOOKUP($K48,Multiples!$B:$B,Multiples!Q:Q),"")</f>
        <v/>
      </c>
      <c r="R48" s="356" t="str">
        <f>IFERROR(_xlfn.XLOOKUP($K48,Multiples!$B:$B,Multiples!R:R),"")</f>
        <v/>
      </c>
      <c r="S48" s="623"/>
      <c r="T48" s="446"/>
      <c r="U48" s="446"/>
      <c r="V48" s="446"/>
      <c r="W48" s="598"/>
      <c r="X48" s="598"/>
      <c r="Y48" s="598"/>
      <c r="Z48" s="598"/>
      <c r="AA48" s="598"/>
      <c r="AB48" s="598"/>
      <c r="AC48" s="446"/>
      <c r="AD48"/>
    </row>
    <row r="49" spans="4:35" ht="14.25" customHeight="1">
      <c r="D49" s="446"/>
      <c r="E49" s="446"/>
      <c r="F49" s="446"/>
      <c r="G49" s="446"/>
      <c r="H49" s="446"/>
      <c r="I49" s="446"/>
      <c r="J49" s="446"/>
      <c r="K49" s="18" t="s">
        <v>90</v>
      </c>
      <c r="L49"/>
      <c r="M49"/>
      <c r="N49" s="373">
        <f>IFERROR(_xlfn.XLOOKUP($K49,Multiples!$B:$B,Multiples!N:N),"")</f>
        <v>-0.92233727810650901</v>
      </c>
      <c r="O49" s="373">
        <f>IFERROR(_xlfn.XLOOKUP($K49,Multiples!$B:$B,Multiples!O:O),"")</f>
        <v>-0.84943820224719113</v>
      </c>
      <c r="P49" s="349">
        <f>IFERROR(_xlfn.XLOOKUP($K49,Multiples!$B:$B,Multiples!P:P),"")</f>
        <v>-2.5238879736408562</v>
      </c>
      <c r="Q49" s="356" t="str">
        <f>IFERROR(_xlfn.XLOOKUP($K49,Multiples!$B:$B,Multiples!Q:Q),"")</f>
        <v/>
      </c>
      <c r="R49" s="356" t="str">
        <f>IFERROR(_xlfn.XLOOKUP($K49,Multiples!$B:$B,Multiples!R:R),"")</f>
        <v/>
      </c>
      <c r="S49" s="623"/>
      <c r="T49" s="446"/>
      <c r="U49" s="734" t="s">
        <v>91</v>
      </c>
      <c r="V49" s="702"/>
      <c r="W49" s="598"/>
      <c r="X49" s="598"/>
      <c r="Y49" s="598"/>
      <c r="Z49" s="598"/>
      <c r="AA49" s="598"/>
      <c r="AB49" s="598"/>
      <c r="AC49" s="446"/>
      <c r="AD49"/>
      <c r="AE49" s="446"/>
      <c r="AF49" s="446"/>
      <c r="AG49" s="446"/>
      <c r="AH49" s="446"/>
      <c r="AI49" s="446"/>
    </row>
    <row r="50" spans="4:35" ht="14.25" customHeight="1">
      <c r="D50" s="446"/>
      <c r="E50" s="446"/>
      <c r="F50" s="446"/>
      <c r="G50" s="446"/>
      <c r="H50" s="446"/>
      <c r="I50" s="446"/>
      <c r="J50" s="446"/>
      <c r="K50" s="18" t="s">
        <v>92</v>
      </c>
      <c r="L50" s="446"/>
      <c r="M50" s="446"/>
      <c r="N50" s="373">
        <f>IFERROR(_xlfn.XLOOKUP($K50,Multiples!$B:$B,Multiples!N:N),"")</f>
        <v>-0.51232539030402635</v>
      </c>
      <c r="O50" s="373">
        <f>IFERROR(_xlfn.XLOOKUP($K50,Multiples!$B:$B,Multiples!O:O),"")</f>
        <v>-0.60967741935483877</v>
      </c>
      <c r="P50" s="349">
        <f>IFERROR(_xlfn.XLOOKUP($K50,Multiples!$B:$B,Multiples!P:P),"")</f>
        <v>-1.94169835234474</v>
      </c>
      <c r="Q50" s="356" t="str">
        <f>IFERROR(_xlfn.XLOOKUP($K50,Multiples!$B:$B,Multiples!Q:Q),"")</f>
        <v/>
      </c>
      <c r="R50" s="356" t="str">
        <f>IFERROR(_xlfn.XLOOKUP($K50,Multiples!$B:$B,Multiples!R:R),"")</f>
        <v/>
      </c>
      <c r="S50" s="623"/>
      <c r="T50" s="446"/>
      <c r="U50" s="898" t="s">
        <v>93</v>
      </c>
      <c r="V50" s="898"/>
      <c r="W50" s="598"/>
      <c r="X50" s="598"/>
      <c r="Y50" s="598"/>
      <c r="Z50" s="598"/>
      <c r="AA50" s="598"/>
      <c r="AB50" s="598"/>
      <c r="AC50" s="446"/>
      <c r="AD50"/>
      <c r="AE50" s="446"/>
      <c r="AF50" s="446"/>
      <c r="AG50" s="446"/>
      <c r="AH50" s="446"/>
      <c r="AI50" s="446"/>
    </row>
    <row r="51" spans="4:35" ht="14.25" customHeight="1">
      <c r="D51" s="446"/>
      <c r="E51" s="446"/>
      <c r="F51" s="446"/>
      <c r="G51" s="446"/>
      <c r="H51" s="446"/>
      <c r="I51" s="570"/>
      <c r="J51" s="446"/>
      <c r="K51" t="s">
        <v>94</v>
      </c>
      <c r="L51"/>
      <c r="M51"/>
      <c r="N51" s="373">
        <f>IFERROR(_xlfn.XLOOKUP($K50,Multiples!$B:$B,Multiples!N:N),"")</f>
        <v>-0.51232539030402635</v>
      </c>
      <c r="O51" s="373">
        <f>IFERROR(_xlfn.XLOOKUP($K50,Multiples!$B:$B,Multiples!O:O),"")</f>
        <v>-0.60967741935483877</v>
      </c>
      <c r="P51" s="349">
        <f>IFERROR(_xlfn.XLOOKUP($K50,Multiples!$B:$B,Multiples!P:P),"")</f>
        <v>-1.94169835234474</v>
      </c>
      <c r="Q51" s="356" t="str">
        <f>IFERROR(_xlfn.XLOOKUP($K50,Multiples!$B:$B,Multiples!Q:Q),"")</f>
        <v/>
      </c>
      <c r="R51" s="356" t="str">
        <f>IFERROR(_xlfn.XLOOKUP($K50,Multiples!$B:$B,Multiples!R:R),"")</f>
        <v/>
      </c>
      <c r="S51" s="623"/>
      <c r="T51" s="446"/>
      <c r="U51" s="898"/>
      <c r="V51" s="898"/>
      <c r="W51" s="598"/>
      <c r="X51" s="598"/>
      <c r="Y51" s="598"/>
      <c r="Z51" s="598"/>
      <c r="AA51" s="598"/>
      <c r="AB51" s="598"/>
      <c r="AC51" s="446"/>
      <c r="AD51"/>
      <c r="AE51" s="446"/>
      <c r="AF51" s="446"/>
      <c r="AG51" s="446"/>
      <c r="AH51" s="446"/>
      <c r="AI51" s="446"/>
    </row>
    <row r="52" spans="4:35">
      <c r="D52" s="446"/>
      <c r="E52" s="446"/>
      <c r="F52" s="446"/>
      <c r="G52" s="446"/>
      <c r="H52" s="446"/>
      <c r="I52" s="1"/>
      <c r="J52" s="446"/>
      <c r="K52" s="446"/>
      <c r="L52" s="446"/>
      <c r="M52" s="446"/>
      <c r="N52" s="446"/>
      <c r="O52" s="446"/>
      <c r="P52" s="446"/>
      <c r="Q52" s="446"/>
      <c r="R52" s="446"/>
      <c r="S52" s="703"/>
      <c r="T52" s="446"/>
      <c r="U52" s="898"/>
      <c r="V52" s="898"/>
      <c r="W52" s="598"/>
      <c r="X52" s="598"/>
      <c r="Y52" s="598"/>
      <c r="Z52" s="598"/>
      <c r="AA52" s="598"/>
      <c r="AB52" s="598"/>
      <c r="AC52" s="446"/>
      <c r="AD52"/>
      <c r="AE52" s="446"/>
      <c r="AF52" s="446"/>
      <c r="AG52" s="446"/>
      <c r="AH52" s="446"/>
      <c r="AI52" s="446"/>
    </row>
    <row r="53" spans="4:35" ht="15.6">
      <c r="D53" s="446"/>
      <c r="E53" s="446"/>
      <c r="F53" s="446"/>
      <c r="G53" s="446"/>
      <c r="H53" s="446"/>
      <c r="I53" s="715"/>
      <c r="J53" s="446"/>
      <c r="K53" s="7" t="s">
        <v>95</v>
      </c>
      <c r="L53" s="4"/>
      <c r="M53" s="4"/>
      <c r="N53" s="4">
        <v>2022</v>
      </c>
      <c r="O53" s="4">
        <f>+N53+1</f>
        <v>2023</v>
      </c>
      <c r="P53" s="348">
        <f>+O53+1</f>
        <v>2024</v>
      </c>
      <c r="Q53" s="5">
        <f>+P53+1</f>
        <v>2025</v>
      </c>
      <c r="R53" s="5">
        <f>+Q53+1</f>
        <v>2026</v>
      </c>
      <c r="S53" s="622"/>
      <c r="T53" s="716"/>
      <c r="U53" s="898"/>
      <c r="V53" s="898"/>
      <c r="W53" s="446"/>
      <c r="X53" s="446"/>
      <c r="Y53"/>
      <c r="Z53" s="446"/>
      <c r="AA53" s="446"/>
      <c r="AB53" s="446"/>
      <c r="AC53" s="446"/>
      <c r="AD53"/>
      <c r="AE53" s="446"/>
      <c r="AF53" s="446"/>
      <c r="AG53" s="446"/>
      <c r="AH53" s="446"/>
      <c r="AI53" s="446"/>
    </row>
    <row r="54" spans="4:35" ht="15.6">
      <c r="D54" s="446"/>
      <c r="E54" s="446"/>
      <c r="F54" s="446"/>
      <c r="G54" s="446"/>
      <c r="H54" s="446"/>
      <c r="I54" s="717"/>
      <c r="J54" s="718"/>
      <c r="K54" s="22" t="s">
        <v>96</v>
      </c>
      <c r="L54"/>
      <c r="M54"/>
      <c r="N54" s="373">
        <f>IFERROR(_xlfn.XLOOKUP($K54,Multiples!$B:$B,Multiples!N:N),"")</f>
        <v>-13.560256410256407</v>
      </c>
      <c r="O54" s="373">
        <f>IFERROR(_xlfn.XLOOKUP($K54,Multiples!$B:$B,Multiples!O:O),"")</f>
        <v>-35.595238095238095</v>
      </c>
      <c r="P54" s="349">
        <f>IFERROR(_xlfn.XLOOKUP($K54,Multiples!$B:$B,Multiples!P:P),"")</f>
        <v>-37.557500000000005</v>
      </c>
      <c r="Q54" s="356" t="str">
        <f>IFERROR(_xlfn.XLOOKUP($K54,Multiples!$B:$B,Multiples!Q:Q),"")</f>
        <v>N/A</v>
      </c>
      <c r="R54" s="356" t="str">
        <f>IFERROR(_xlfn.XLOOKUP($K54,Multiples!$B:$B,Multiples!R:R),"")</f>
        <v>N/A</v>
      </c>
      <c r="S54" s="623"/>
      <c r="T54" s="719"/>
      <c r="U54" s="898"/>
      <c r="V54" s="898"/>
      <c r="W54" s="446"/>
      <c r="X54" s="446"/>
      <c r="Y54"/>
      <c r="Z54" s="446"/>
      <c r="AA54" s="446"/>
      <c r="AB54" s="446"/>
      <c r="AC54" s="446"/>
      <c r="AD54"/>
      <c r="AE54" s="446"/>
      <c r="AF54" s="446"/>
      <c r="AG54" s="446"/>
      <c r="AH54" s="446"/>
      <c r="AI54" s="446"/>
    </row>
    <row r="55" spans="4:35" ht="15.6">
      <c r="D55" s="446"/>
      <c r="E55" s="446"/>
      <c r="F55" s="446"/>
      <c r="G55" s="446"/>
      <c r="H55" s="446"/>
      <c r="I55" s="720"/>
      <c r="J55" s="446"/>
      <c r="K55" s="18" t="s">
        <v>97</v>
      </c>
      <c r="L55" s="446"/>
      <c r="M55" s="446"/>
      <c r="N55" s="373">
        <f>IFERROR(_xlfn.XLOOKUP($K55,Multiples!$B:$B,Multiples!N:N),"")</f>
        <v>-17.333333333333332</v>
      </c>
      <c r="O55" s="373">
        <f>IFERROR(_xlfn.XLOOKUP($K55,Multiples!$B:$B,Multiples!O:O),"")</f>
        <v>-42.38095238095238</v>
      </c>
      <c r="P55" s="349">
        <f>IFERROR(_xlfn.XLOOKUP($K55,Multiples!$B:$B,Multiples!P:P),"")</f>
        <v>-45.525000000000006</v>
      </c>
      <c r="Q55" s="356" t="str">
        <f>IFERROR(_xlfn.XLOOKUP($K55,Multiples!$B:$B,Multiples!Q:Q),"")</f>
        <v>N/A</v>
      </c>
      <c r="R55" s="356" t="str">
        <f>IFERROR(_xlfn.XLOOKUP($K55,Multiples!$B:$B,Multiples!R:R),"")</f>
        <v>N/A</v>
      </c>
      <c r="S55" s="623"/>
      <c r="T55" s="446"/>
      <c r="U55" s="898"/>
      <c r="V55" s="898"/>
      <c r="W55" s="446"/>
      <c r="X55" s="446"/>
      <c r="Y55"/>
      <c r="Z55" s="446"/>
      <c r="AA55" s="446"/>
      <c r="AB55" s="446"/>
      <c r="AC55" s="446"/>
      <c r="AD55"/>
      <c r="AE55" s="446"/>
      <c r="AF55" s="446"/>
      <c r="AG55" s="446"/>
      <c r="AH55" s="446"/>
      <c r="AI55" s="148"/>
    </row>
    <row r="56" spans="4:35" ht="15" customHeight="1">
      <c r="D56" s="446"/>
      <c r="E56" s="446"/>
      <c r="F56" s="446"/>
      <c r="G56" s="446"/>
      <c r="H56" s="446"/>
      <c r="I56" s="720"/>
      <c r="J56" s="446"/>
      <c r="K56" s="18" t="s">
        <v>98</v>
      </c>
      <c r="L56"/>
      <c r="M56"/>
      <c r="N56" s="373">
        <f>IFERROR(_xlfn.XLOOKUP($K56,Multiples!$B:$B,Multiples!N:N),"")</f>
        <v>-3.4615384615384599</v>
      </c>
      <c r="O56" s="373">
        <f>IFERROR(_xlfn.XLOOKUP($K56,Multiples!$B:$B,Multiples!O:O),"")</f>
        <v>-25.714285714285712</v>
      </c>
      <c r="P56" s="349">
        <f>IFERROR(_xlfn.XLOOKUP($K56,Multiples!$B:$B,Multiples!P:P),"")</f>
        <v>-31.875000000000007</v>
      </c>
      <c r="Q56" s="356" t="str">
        <f>IFERROR(_xlfn.XLOOKUP($K56,Multiples!$B:$B,Multiples!Q:Q),"")</f>
        <v>N/A</v>
      </c>
      <c r="R56" s="356" t="str">
        <f>IFERROR(_xlfn.XLOOKUP($K56,Multiples!$B:$B,Multiples!R:R),"")</f>
        <v>N/A</v>
      </c>
      <c r="S56" s="623"/>
      <c r="T56" s="446"/>
      <c r="U56" s="898"/>
      <c r="V56" s="898"/>
      <c r="W56" s="446"/>
      <c r="X56" s="446"/>
      <c r="Y56" s="446"/>
      <c r="Z56" s="446"/>
      <c r="AA56" s="446"/>
      <c r="AB56" s="446"/>
      <c r="AC56" s="446"/>
      <c r="AD56" s="446"/>
      <c r="AE56" s="446"/>
      <c r="AF56" s="446"/>
      <c r="AG56" s="446"/>
      <c r="AH56" s="446"/>
      <c r="AI56" s="721"/>
    </row>
    <row r="57" spans="4:35" ht="14.25" customHeight="1">
      <c r="D57" s="446"/>
      <c r="E57" s="446"/>
      <c r="F57" s="446"/>
      <c r="G57" s="446"/>
      <c r="H57" s="446"/>
      <c r="I57" s="720"/>
      <c r="J57" s="446"/>
      <c r="K57" s="446"/>
      <c r="L57" s="446"/>
      <c r="M57" s="446"/>
      <c r="N57" s="446"/>
      <c r="O57" s="446"/>
      <c r="P57" s="446"/>
      <c r="Q57" s="446"/>
      <c r="R57" s="446"/>
      <c r="S57" s="703"/>
      <c r="T57" s="446"/>
      <c r="U57" s="898"/>
      <c r="V57" s="898"/>
      <c r="W57" s="446"/>
      <c r="X57" s="446"/>
      <c r="Y57" s="446"/>
      <c r="Z57" s="446"/>
      <c r="AA57" s="446"/>
      <c r="AB57" s="446"/>
      <c r="AC57" s="446"/>
      <c r="AD57" s="446"/>
      <c r="AE57" s="446"/>
      <c r="AF57" s="446"/>
      <c r="AG57" s="446"/>
      <c r="AH57" s="446"/>
      <c r="AI57" s="446"/>
    </row>
    <row r="58" spans="4:35" ht="20.25" customHeight="1">
      <c r="D58" s="597" t="s">
        <v>99</v>
      </c>
      <c r="E58" s="4"/>
      <c r="F58" s="4"/>
      <c r="G58" s="4"/>
      <c r="H58" s="4"/>
      <c r="I58" s="4"/>
      <c r="J58" s="446"/>
      <c r="K58" s="597" t="s">
        <v>100</v>
      </c>
      <c r="L58" s="4"/>
      <c r="M58" s="4"/>
      <c r="N58" s="4"/>
      <c r="O58" s="4"/>
      <c r="P58" s="4"/>
      <c r="Q58" s="4"/>
      <c r="R58" s="4"/>
      <c r="S58" s="625"/>
      <c r="T58" s="446"/>
      <c r="U58" s="899"/>
      <c r="V58" s="899"/>
      <c r="W58" s="446"/>
      <c r="X58" s="446"/>
      <c r="Y58" s="446"/>
      <c r="Z58" s="446"/>
      <c r="AA58" s="446"/>
      <c r="AB58" s="446"/>
      <c r="AC58" s="446"/>
      <c r="AD58" s="446"/>
      <c r="AE58" s="446"/>
      <c r="AF58" s="446"/>
      <c r="AG58" s="446"/>
      <c r="AH58" s="446"/>
      <c r="AI58" s="446"/>
    </row>
    <row r="59" spans="4:35" ht="14.25" customHeight="1">
      <c r="D59" s="446"/>
      <c r="E59" s="446"/>
      <c r="F59" s="446"/>
      <c r="G59" s="446"/>
      <c r="H59" s="446"/>
      <c r="I59" s="720"/>
      <c r="J59" s="446"/>
      <c r="K59" s="446"/>
      <c r="L59" s="446"/>
      <c r="M59" s="446"/>
      <c r="N59" s="446"/>
      <c r="O59" s="446"/>
      <c r="P59" s="446"/>
      <c r="Q59" s="446"/>
      <c r="R59" s="446"/>
      <c r="S59" s="703"/>
      <c r="T59" s="446"/>
      <c r="U59" s="446"/>
      <c r="V59" s="446"/>
      <c r="W59" s="446"/>
      <c r="X59" s="446"/>
      <c r="Y59" s="446"/>
      <c r="Z59" s="446"/>
      <c r="AA59" s="446"/>
      <c r="AB59" s="446"/>
      <c r="AC59" s="446"/>
      <c r="AD59" s="446"/>
      <c r="AE59" s="446"/>
      <c r="AF59" s="446"/>
      <c r="AG59" s="446"/>
      <c r="AH59" s="446"/>
      <c r="AI59" s="446"/>
    </row>
    <row r="60" spans="4:35" ht="14.25" customHeight="1" thickBot="1">
      <c r="D60" s="446"/>
      <c r="E60" s="446"/>
      <c r="F60" s="446"/>
      <c r="G60" s="446"/>
      <c r="H60" s="446"/>
      <c r="I60" s="720"/>
      <c r="J60" s="446"/>
      <c r="K60" s="446"/>
      <c r="L60" s="446"/>
      <c r="M60" s="446"/>
      <c r="N60" s="446"/>
      <c r="O60" s="446"/>
      <c r="P60" s="446"/>
      <c r="Q60" s="446"/>
      <c r="R60" s="446"/>
      <c r="S60" s="703"/>
      <c r="T60" s="446"/>
      <c r="U60" s="708" t="s">
        <v>101</v>
      </c>
      <c r="V60" s="702"/>
      <c r="W60" s="446"/>
      <c r="X60" s="446"/>
      <c r="Y60" s="446"/>
      <c r="Z60" s="446"/>
      <c r="AA60" s="446"/>
      <c r="AB60" s="446"/>
      <c r="AC60" s="446"/>
      <c r="AD60" s="446"/>
      <c r="AE60" s="446"/>
      <c r="AF60" s="446"/>
      <c r="AG60" s="446"/>
      <c r="AH60" s="446"/>
      <c r="AI60" s="446"/>
    </row>
    <row r="61" spans="4:35" ht="14.25" customHeight="1" thickTop="1">
      <c r="D61" s="446"/>
      <c r="E61" s="446"/>
      <c r="F61" s="446"/>
      <c r="G61" s="446"/>
      <c r="H61" s="446"/>
      <c r="I61" s="720"/>
      <c r="J61" s="446"/>
      <c r="K61" s="446"/>
      <c r="L61" s="446"/>
      <c r="M61" s="446"/>
      <c r="N61" s="446"/>
      <c r="O61" s="446"/>
      <c r="P61" s="446"/>
      <c r="Q61" s="446"/>
      <c r="R61" s="446"/>
      <c r="S61" s="703"/>
      <c r="T61" s="446"/>
      <c r="U61" s="47" t="s">
        <v>102</v>
      </c>
      <c r="V61" s="724">
        <f>ESG!C14</f>
        <v>22</v>
      </c>
      <c r="W61" s="446"/>
      <c r="X61" s="446"/>
      <c r="Y61" s="446"/>
      <c r="Z61" s="446"/>
      <c r="AA61" s="446"/>
      <c r="AB61" s="446"/>
      <c r="AC61" s="446"/>
      <c r="AD61" s="446"/>
      <c r="AE61" s="446"/>
      <c r="AF61" s="446"/>
      <c r="AG61" s="446"/>
      <c r="AH61" s="446"/>
      <c r="AI61" s="446"/>
    </row>
    <row r="62" spans="4:35" ht="14.25" customHeight="1">
      <c r="D62" s="446"/>
      <c r="E62" s="446"/>
      <c r="F62" s="446"/>
      <c r="G62" s="446"/>
      <c r="H62" s="446"/>
      <c r="I62" s="720"/>
      <c r="J62" s="446"/>
      <c r="K62" s="446"/>
      <c r="L62" s="446"/>
      <c r="M62" s="446"/>
      <c r="N62" s="446"/>
      <c r="O62" s="446"/>
      <c r="P62" s="446"/>
      <c r="Q62" s="446"/>
      <c r="R62" s="446"/>
      <c r="S62" s="703"/>
      <c r="T62" s="446"/>
      <c r="U62" s="25" t="s">
        <v>103</v>
      </c>
      <c r="V62" s="723">
        <f>ESG!C15</f>
        <v>0</v>
      </c>
      <c r="W62" s="446"/>
      <c r="X62" s="446"/>
      <c r="Y62" s="446"/>
      <c r="Z62" s="446"/>
      <c r="AA62" s="446"/>
      <c r="AB62" s="446"/>
      <c r="AC62" s="446"/>
      <c r="AD62" s="446"/>
      <c r="AE62" s="446"/>
      <c r="AF62" s="446"/>
      <c r="AG62" s="446"/>
      <c r="AH62" s="446"/>
      <c r="AI62" s="446"/>
    </row>
    <row r="63" spans="4:35">
      <c r="D63" s="446"/>
      <c r="E63" s="446"/>
      <c r="F63" s="446"/>
      <c r="G63" s="446"/>
      <c r="H63" s="446"/>
      <c r="I63" s="446"/>
      <c r="J63" s="446"/>
      <c r="K63" s="446"/>
      <c r="L63" s="446"/>
      <c r="M63" s="446"/>
      <c r="N63" s="446"/>
      <c r="O63" s="446"/>
      <c r="P63" s="446"/>
      <c r="Q63" s="446"/>
      <c r="R63" s="446"/>
      <c r="S63" s="703"/>
      <c r="T63" s="446"/>
      <c r="U63" s="25" t="s">
        <v>104</v>
      </c>
      <c r="V63" s="723">
        <f>ESG!C16</f>
        <v>13</v>
      </c>
      <c r="W63" s="446"/>
      <c r="X63" s="446"/>
      <c r="Y63" s="446"/>
      <c r="Z63" s="446"/>
      <c r="AA63" s="446"/>
      <c r="AB63" s="446"/>
      <c r="AC63" s="446"/>
      <c r="AD63" s="446"/>
      <c r="AE63" s="446"/>
      <c r="AF63" s="446"/>
      <c r="AG63" s="446"/>
      <c r="AH63" s="446"/>
      <c r="AI63" s="446"/>
    </row>
    <row r="64" spans="4:35">
      <c r="D64" s="446"/>
      <c r="E64" s="446"/>
      <c r="F64" s="446"/>
      <c r="G64" s="446"/>
      <c r="H64" s="446"/>
      <c r="I64" s="446"/>
      <c r="J64" s="446"/>
      <c r="K64" s="446"/>
      <c r="L64" s="446"/>
      <c r="M64" s="446"/>
      <c r="N64" s="446"/>
      <c r="O64" s="446"/>
      <c r="P64" s="446"/>
      <c r="Q64" s="446"/>
      <c r="R64" s="446"/>
      <c r="S64" s="703"/>
      <c r="T64" s="446"/>
      <c r="U64" s="25" t="s">
        <v>105</v>
      </c>
      <c r="V64" s="723">
        <f>ESG!C17</f>
        <v>50</v>
      </c>
      <c r="W64" s="446"/>
      <c r="X64" s="446"/>
      <c r="Y64" s="446"/>
      <c r="Z64" s="446"/>
      <c r="AA64" s="446"/>
      <c r="AB64" s="446"/>
      <c r="AC64" s="446"/>
      <c r="AD64" s="446"/>
      <c r="AE64" s="446"/>
      <c r="AF64" s="446"/>
      <c r="AG64" s="446"/>
      <c r="AH64" s="446"/>
      <c r="AI64" s="446"/>
    </row>
    <row r="65" spans="4:22">
      <c r="D65" s="446"/>
      <c r="E65" s="446"/>
      <c r="F65" s="446"/>
      <c r="G65" s="446"/>
      <c r="H65" s="446"/>
      <c r="I65" s="446"/>
      <c r="J65" s="446"/>
      <c r="K65" s="446"/>
      <c r="L65" s="446"/>
      <c r="M65" s="446"/>
      <c r="N65" s="446"/>
      <c r="O65" s="446"/>
      <c r="P65" s="446"/>
      <c r="Q65" s="446"/>
      <c r="R65" s="446"/>
      <c r="S65" s="703"/>
      <c r="T65" s="446"/>
      <c r="U65" s="23" t="s">
        <v>106</v>
      </c>
      <c r="V65" s="725" t="str">
        <f>ESG!C18</f>
        <v>private</v>
      </c>
    </row>
    <row r="66" spans="4:22">
      <c r="D66" s="446"/>
      <c r="E66" s="446"/>
      <c r="F66" s="446"/>
      <c r="G66" s="446"/>
      <c r="H66" s="446"/>
      <c r="I66" s="446"/>
      <c r="J66" s="446"/>
      <c r="K66" s="446"/>
      <c r="L66" s="446"/>
      <c r="M66" s="446"/>
      <c r="N66" s="446"/>
      <c r="O66" s="446"/>
      <c r="P66" s="446"/>
      <c r="Q66" s="446"/>
      <c r="R66" s="446"/>
      <c r="S66" s="703"/>
      <c r="T66" s="446"/>
      <c r="U66" s="25" t="s">
        <v>107</v>
      </c>
      <c r="V66" s="44" t="str">
        <f>ESG!C19</f>
        <v>private</v>
      </c>
    </row>
    <row r="67" spans="4:22">
      <c r="D67" s="446"/>
      <c r="E67" s="446"/>
      <c r="F67" s="446"/>
      <c r="G67" s="446"/>
      <c r="H67" s="446"/>
      <c r="I67" s="446"/>
      <c r="J67" s="446"/>
      <c r="K67" s="446"/>
      <c r="L67" s="446"/>
      <c r="M67" s="446"/>
      <c r="N67" s="446"/>
      <c r="O67" s="446"/>
      <c r="P67" s="446"/>
      <c r="Q67" s="446"/>
      <c r="R67" s="446"/>
      <c r="S67" s="703"/>
      <c r="T67" s="446"/>
      <c r="U67" s="25" t="s">
        <v>108</v>
      </c>
      <c r="V67" s="44" t="str">
        <f>ESG!C20</f>
        <v>private</v>
      </c>
    </row>
    <row r="68" spans="4:22">
      <c r="D68" s="446"/>
      <c r="E68" s="446"/>
      <c r="F68" s="446"/>
      <c r="G68" s="446"/>
      <c r="H68" s="446"/>
      <c r="I68" s="446"/>
      <c r="J68" s="446"/>
      <c r="K68" s="446"/>
      <c r="L68" s="446"/>
      <c r="M68" s="446"/>
      <c r="N68" s="446"/>
      <c r="O68" s="446"/>
      <c r="P68" s="446"/>
      <c r="Q68" s="446"/>
      <c r="R68" s="446"/>
      <c r="S68" s="703"/>
      <c r="T68" s="446"/>
      <c r="U68" s="25" t="s">
        <v>109</v>
      </c>
      <c r="V68" s="44" t="str">
        <f>ESG!C21</f>
        <v>private</v>
      </c>
    </row>
    <row r="69" spans="4:22">
      <c r="D69" s="446"/>
      <c r="E69" s="446"/>
      <c r="F69" s="446"/>
      <c r="G69" s="446"/>
      <c r="H69" s="446"/>
      <c r="I69" s="446"/>
      <c r="J69" s="446"/>
      <c r="K69" s="446"/>
      <c r="L69" s="446"/>
      <c r="M69" s="446"/>
      <c r="N69" s="446"/>
      <c r="O69" s="446"/>
      <c r="P69" s="446"/>
      <c r="Q69" s="446"/>
      <c r="R69" s="446"/>
      <c r="S69" s="703"/>
      <c r="T69" s="446"/>
      <c r="U69" s="23" t="s">
        <v>110</v>
      </c>
      <c r="V69" s="49">
        <f>ESG!C22</f>
        <v>39.9</v>
      </c>
    </row>
    <row r="70" spans="4:22">
      <c r="D70" s="446"/>
      <c r="E70" s="446"/>
      <c r="F70" s="446"/>
      <c r="G70" s="446"/>
      <c r="H70" s="446"/>
      <c r="I70" s="446"/>
      <c r="J70" s="446"/>
      <c r="K70" s="446"/>
      <c r="L70" s="446"/>
      <c r="M70" s="446"/>
      <c r="N70" s="446"/>
      <c r="O70" s="446"/>
      <c r="P70" s="446"/>
      <c r="Q70" s="446"/>
      <c r="R70" s="446"/>
      <c r="S70" s="703"/>
      <c r="T70" s="446"/>
      <c r="U70" s="23" t="s">
        <v>111</v>
      </c>
      <c r="V70" s="50" t="str">
        <f>ESG!C23</f>
        <v>D-</v>
      </c>
    </row>
    <row r="71" spans="4:22">
      <c r="D71" s="446"/>
      <c r="E71" s="446"/>
      <c r="F71" s="446"/>
      <c r="G71" s="446"/>
      <c r="H71" s="446"/>
      <c r="I71" s="446"/>
      <c r="J71" s="446"/>
      <c r="K71" s="446"/>
      <c r="L71" s="446"/>
      <c r="M71" s="446"/>
      <c r="N71" s="446"/>
      <c r="O71" s="446"/>
      <c r="P71" s="446"/>
      <c r="Q71" s="446"/>
      <c r="R71" s="446"/>
      <c r="S71" s="703"/>
      <c r="T71" s="446"/>
      <c r="U71" s="25" t="s">
        <v>112</v>
      </c>
      <c r="V71" s="44">
        <f>ESG!C24</f>
        <v>-7.8</v>
      </c>
    </row>
    <row r="72" spans="4:22">
      <c r="D72" s="446"/>
      <c r="E72" s="446"/>
      <c r="F72" s="446"/>
      <c r="G72" s="446"/>
      <c r="H72" s="446"/>
      <c r="I72" s="446"/>
      <c r="J72" s="446"/>
      <c r="K72" s="446"/>
      <c r="L72" s="446"/>
      <c r="M72" s="446"/>
      <c r="N72" s="446"/>
      <c r="O72" s="446"/>
      <c r="P72" s="446"/>
      <c r="Q72" s="446"/>
      <c r="R72" s="446"/>
      <c r="S72" s="703"/>
      <c r="T72" s="446"/>
      <c r="U72" s="25" t="s">
        <v>113</v>
      </c>
      <c r="V72" s="43">
        <f>ESG!C25</f>
        <v>8</v>
      </c>
    </row>
    <row r="73" spans="4:22">
      <c r="D73" s="446"/>
      <c r="E73" s="446"/>
      <c r="F73" s="446"/>
      <c r="G73" s="446"/>
      <c r="H73" s="446"/>
      <c r="I73" s="446"/>
      <c r="J73" s="446"/>
      <c r="K73" s="446"/>
      <c r="L73" s="446"/>
      <c r="M73" s="446"/>
      <c r="N73" s="446"/>
      <c r="O73" s="446"/>
      <c r="P73" s="446"/>
      <c r="Q73" s="446"/>
      <c r="R73" s="446"/>
      <c r="S73" s="703"/>
      <c r="T73" s="446"/>
      <c r="U73" s="23" t="s">
        <v>114</v>
      </c>
      <c r="V73" s="51" t="str">
        <f>ESG!C26</f>
        <v>N/A</v>
      </c>
    </row>
    <row r="80" spans="4:22" ht="14.25" customHeight="1">
      <c r="D80" s="737" t="s">
        <v>115</v>
      </c>
      <c r="E80" s="70"/>
      <c r="F80" s="69"/>
      <c r="G80" s="69"/>
      <c r="H80" s="69"/>
      <c r="I80" s="69"/>
      <c r="J80" s="69"/>
      <c r="K80" s="69"/>
      <c r="L80" s="69"/>
      <c r="M80" s="69"/>
      <c r="N80" s="69"/>
      <c r="O80" s="69"/>
      <c r="P80" s="69"/>
      <c r="Q80" s="69"/>
      <c r="R80" s="69"/>
      <c r="S80" s="703"/>
      <c r="T80" s="446"/>
      <c r="U80" s="446"/>
      <c r="V80" s="446"/>
    </row>
    <row r="81" spans="4:18" ht="3.95" customHeight="1">
      <c r="D81" s="71"/>
      <c r="E81" s="71"/>
      <c r="F81" s="71"/>
      <c r="G81" s="71"/>
      <c r="H81" s="71"/>
      <c r="I81" s="71"/>
      <c r="J81" s="71"/>
      <c r="K81" s="71"/>
      <c r="L81" s="71"/>
      <c r="M81" s="71"/>
      <c r="N81" s="71"/>
      <c r="O81" s="71"/>
      <c r="P81" s="71"/>
      <c r="Q81" s="71"/>
      <c r="R81" s="71"/>
    </row>
    <row r="82" spans="4:18">
      <c r="D82" s="908"/>
      <c r="E82" s="908"/>
      <c r="F82" s="908"/>
      <c r="G82" s="908"/>
      <c r="H82" s="908"/>
      <c r="I82" s="908"/>
      <c r="J82" s="908"/>
      <c r="K82" s="908"/>
      <c r="L82" s="908"/>
      <c r="M82" s="908"/>
      <c r="N82" s="908"/>
      <c r="O82" s="908"/>
      <c r="P82" s="908"/>
      <c r="Q82" s="908"/>
      <c r="R82" s="908"/>
    </row>
    <row r="83" spans="4:18">
      <c r="D83" s="908"/>
      <c r="E83" s="908"/>
      <c r="F83" s="908"/>
      <c r="G83" s="908"/>
      <c r="H83" s="908"/>
      <c r="I83" s="908"/>
      <c r="J83" s="908"/>
      <c r="K83" s="908"/>
      <c r="L83" s="908"/>
      <c r="M83" s="908"/>
      <c r="N83" s="908"/>
      <c r="O83" s="908"/>
      <c r="P83" s="908"/>
      <c r="Q83" s="908"/>
      <c r="R83" s="908"/>
    </row>
    <row r="84" spans="4:18">
      <c r="D84" s="908"/>
      <c r="E84" s="908"/>
      <c r="F84" s="908"/>
      <c r="G84" s="908"/>
      <c r="H84" s="908"/>
      <c r="I84" s="908"/>
      <c r="J84" s="908"/>
      <c r="K84" s="908"/>
      <c r="L84" s="908"/>
      <c r="M84" s="908"/>
      <c r="N84" s="908"/>
      <c r="O84" s="908"/>
      <c r="P84" s="908"/>
      <c r="Q84" s="908"/>
      <c r="R84" s="908"/>
    </row>
    <row r="85" spans="4:18">
      <c r="D85" s="908"/>
      <c r="E85" s="908"/>
      <c r="F85" s="908"/>
      <c r="G85" s="908"/>
      <c r="H85" s="908"/>
      <c r="I85" s="908"/>
      <c r="J85" s="908"/>
      <c r="K85" s="908"/>
      <c r="L85" s="908"/>
      <c r="M85" s="908"/>
      <c r="N85" s="908"/>
      <c r="O85" s="908"/>
      <c r="P85" s="908"/>
      <c r="Q85" s="908"/>
      <c r="R85" s="908"/>
    </row>
    <row r="86" spans="4:18">
      <c r="D86" s="908"/>
      <c r="E86" s="908"/>
      <c r="F86" s="908"/>
      <c r="G86" s="908"/>
      <c r="H86" s="908"/>
      <c r="I86" s="908"/>
      <c r="J86" s="908"/>
      <c r="K86" s="908"/>
      <c r="L86" s="908"/>
      <c r="M86" s="908"/>
      <c r="N86" s="908"/>
      <c r="O86" s="908"/>
      <c r="P86" s="908"/>
      <c r="Q86" s="908"/>
      <c r="R86" s="908"/>
    </row>
    <row r="87" spans="4:18">
      <c r="D87" s="909"/>
      <c r="E87" s="909"/>
      <c r="F87" s="909"/>
      <c r="G87" s="909"/>
      <c r="H87" s="909"/>
      <c r="I87" s="909"/>
      <c r="J87" s="909"/>
      <c r="K87" s="909"/>
      <c r="L87" s="909"/>
      <c r="M87" s="909"/>
      <c r="N87" s="909"/>
      <c r="O87" s="909"/>
      <c r="P87" s="909"/>
      <c r="Q87" s="909"/>
      <c r="R87" s="909"/>
    </row>
    <row r="88" spans="4:18">
      <c r="D88" s="909"/>
      <c r="E88" s="909"/>
      <c r="F88" s="909"/>
      <c r="G88" s="909"/>
      <c r="H88" s="909"/>
      <c r="I88" s="909"/>
      <c r="J88" s="909"/>
      <c r="K88" s="909"/>
      <c r="L88" s="909"/>
      <c r="M88" s="909"/>
      <c r="N88" s="909"/>
      <c r="O88" s="909"/>
      <c r="P88" s="909"/>
      <c r="Q88" s="909"/>
      <c r="R88" s="909"/>
    </row>
    <row r="1048576" spans="4:18">
      <c r="D1048576" s="747"/>
      <c r="E1048576" s="747"/>
      <c r="F1048576" s="747"/>
      <c r="G1048576" s="747"/>
      <c r="H1048576" s="747"/>
      <c r="I1048576" s="747"/>
      <c r="J1048576" s="747"/>
      <c r="K1048576" s="747"/>
      <c r="L1048576" s="747"/>
      <c r="M1048576" s="747"/>
      <c r="N1048576" s="747"/>
      <c r="O1048576" s="747"/>
      <c r="P1048576" s="747"/>
      <c r="Q1048576" s="747"/>
      <c r="R1048576" s="747"/>
    </row>
  </sheetData>
  <dataConsolidate/>
  <mergeCells count="14">
    <mergeCell ref="D86:R86"/>
    <mergeCell ref="D87:R87"/>
    <mergeCell ref="D88:R88"/>
    <mergeCell ref="D82:R82"/>
    <mergeCell ref="D83:R83"/>
    <mergeCell ref="D84:R84"/>
    <mergeCell ref="D85:R85"/>
    <mergeCell ref="U50:V58"/>
    <mergeCell ref="D41:F43"/>
    <mergeCell ref="G41:I43"/>
    <mergeCell ref="D8:R9"/>
    <mergeCell ref="D11:R15"/>
    <mergeCell ref="G37:I39"/>
    <mergeCell ref="D37:F39"/>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18" r:id="rId1" xr:uid="{EC29BBE0-EBEC-4E13-892E-BC5A88AC32C0}"/>
    <hyperlink ref="U21" r:id="rId2" xr:uid="{9A6CE65E-DA06-4BCF-AD06-396FF1BE0777}"/>
    <hyperlink ref="U24" r:id="rId3" xr:uid="{47989127-E5C0-43CC-8769-AED4A31C8A8D}"/>
    <hyperlink ref="U27" r:id="rId4" xr:uid="{CD54D3C8-257F-4EB4-88AB-FE6635D618EA}"/>
  </hyperlinks>
  <pageMargins left="0.7" right="0.7" top="0.75" bottom="0.75" header="0.3" footer="0.3"/>
  <pageSetup paperSize="9" orientation="portrait"/>
  <drawing r:id="rId5"/>
  <legacyDrawing r:id="rId6"/>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FCCA-9A64-4CB0-8C4C-D0963F65EED3}">
  <sheetPr codeName="Sheet2"/>
  <dimension ref="A1:P32"/>
  <sheetViews>
    <sheetView workbookViewId="0">
      <selection activeCell="L14" sqref="L14"/>
    </sheetView>
  </sheetViews>
  <sheetFormatPr defaultRowHeight="14.1"/>
  <cols>
    <col min="1" max="1" width="20.375" bestFit="1" customWidth="1"/>
    <col min="2" max="2" width="0.125" customWidth="1"/>
    <col min="3" max="4" width="8.625" hidden="1" customWidth="1"/>
    <col min="12" max="12" width="12.25" bestFit="1" customWidth="1"/>
  </cols>
  <sheetData>
    <row r="1" spans="1:16">
      <c r="A1" s="758" t="s">
        <v>116</v>
      </c>
      <c r="B1" s="758"/>
      <c r="C1" s="758"/>
      <c r="D1" s="758"/>
      <c r="E1" s="758" t="s">
        <v>117</v>
      </c>
      <c r="F1" s="758" t="s">
        <v>118</v>
      </c>
      <c r="G1" s="758" t="s">
        <v>119</v>
      </c>
      <c r="H1" s="758" t="s">
        <v>120</v>
      </c>
      <c r="I1" s="758" t="s">
        <v>121</v>
      </c>
      <c r="J1" s="758" t="s">
        <v>122</v>
      </c>
    </row>
    <row r="2" spans="1:16">
      <c r="A2" s="759" t="s">
        <v>123</v>
      </c>
      <c r="B2" s="759" t="s">
        <v>124</v>
      </c>
      <c r="C2" s="759" t="s">
        <v>125</v>
      </c>
      <c r="D2" s="759" t="s">
        <v>126</v>
      </c>
      <c r="E2" s="759">
        <v>44561</v>
      </c>
      <c r="F2" s="759">
        <v>44926</v>
      </c>
      <c r="G2" s="759">
        <v>45291</v>
      </c>
      <c r="H2" s="759">
        <v>45657</v>
      </c>
      <c r="I2" s="759">
        <v>46022</v>
      </c>
      <c r="J2" s="759">
        <v>46387</v>
      </c>
      <c r="M2">
        <f>2</f>
        <v>2</v>
      </c>
      <c r="N2">
        <f>M2+1</f>
        <v>3</v>
      </c>
      <c r="O2">
        <f t="shared" ref="O2:P2" si="0">N2+1</f>
        <v>4</v>
      </c>
      <c r="P2">
        <f t="shared" si="0"/>
        <v>5</v>
      </c>
    </row>
    <row r="3" spans="1:16">
      <c r="A3" s="760" t="s">
        <v>127</v>
      </c>
      <c r="B3" s="761" t="s">
        <v>128</v>
      </c>
      <c r="C3" s="761" t="s">
        <v>129</v>
      </c>
      <c r="D3" s="761"/>
      <c r="E3" s="762">
        <v>62.237000000000002</v>
      </c>
      <c r="F3" s="762">
        <v>210.99600000000001</v>
      </c>
      <c r="G3" s="762">
        <v>244.59200000000001</v>
      </c>
      <c r="H3" s="762">
        <v>436.214</v>
      </c>
      <c r="I3" s="762" t="s">
        <v>130</v>
      </c>
      <c r="J3" s="762" t="s">
        <v>130</v>
      </c>
      <c r="M3">
        <v>2021</v>
      </c>
      <c r="N3">
        <f>M3+1</f>
        <v>2022</v>
      </c>
      <c r="O3">
        <f t="shared" ref="O3:P3" si="1">N3+1</f>
        <v>2023</v>
      </c>
      <c r="P3">
        <f t="shared" si="1"/>
        <v>2024</v>
      </c>
    </row>
    <row r="4" spans="1:16">
      <c r="A4" s="760" t="s">
        <v>131</v>
      </c>
      <c r="B4" s="761" t="s">
        <v>128</v>
      </c>
      <c r="C4" s="761" t="s">
        <v>129</v>
      </c>
      <c r="D4" s="761" t="s">
        <v>132</v>
      </c>
      <c r="E4" s="762">
        <v>45.75</v>
      </c>
      <c r="F4" s="762">
        <v>164.59299999999999</v>
      </c>
      <c r="G4" s="762">
        <v>184.74799999999999</v>
      </c>
      <c r="H4" s="762">
        <v>268.32600000000002</v>
      </c>
      <c r="I4" s="762" t="s">
        <v>130</v>
      </c>
      <c r="J4" s="762" t="s">
        <v>130</v>
      </c>
      <c r="L4" t="s">
        <v>133</v>
      </c>
      <c r="M4" s="699">
        <f>E4</f>
        <v>45.75</v>
      </c>
      <c r="N4" s="699">
        <f t="shared" ref="N4:P4" si="2">F4</f>
        <v>164.59299999999999</v>
      </c>
      <c r="O4" s="699">
        <f t="shared" si="2"/>
        <v>184.74799999999999</v>
      </c>
      <c r="P4" s="699">
        <f t="shared" si="2"/>
        <v>268.32600000000002</v>
      </c>
    </row>
    <row r="5" spans="1:16">
      <c r="A5" s="760" t="s">
        <v>134</v>
      </c>
      <c r="B5" s="761" t="s">
        <v>128</v>
      </c>
      <c r="C5" s="761" t="s">
        <v>129</v>
      </c>
      <c r="D5" s="761" t="s">
        <v>132</v>
      </c>
      <c r="E5" s="762">
        <v>73.509327249064057</v>
      </c>
      <c r="F5" s="762">
        <v>78.007639955259819</v>
      </c>
      <c r="G5" s="762">
        <v>75.533132727153784</v>
      </c>
      <c r="H5" s="762">
        <v>61.512468650708136</v>
      </c>
      <c r="I5" s="762" t="s">
        <v>130</v>
      </c>
      <c r="J5" s="762" t="s">
        <v>130</v>
      </c>
      <c r="L5" t="s">
        <v>135</v>
      </c>
      <c r="M5" s="699">
        <f>E6</f>
        <v>0.76900000000000002</v>
      </c>
      <c r="N5" s="699">
        <f t="shared" ref="N5:P5" si="3">F6</f>
        <v>15.305999999999999</v>
      </c>
      <c r="O5" s="699" t="str">
        <f t="shared" si="3"/>
        <v/>
      </c>
      <c r="P5" s="699">
        <f t="shared" si="3"/>
        <v>30.684000000000001</v>
      </c>
    </row>
    <row r="6" spans="1:16">
      <c r="A6" s="760" t="s">
        <v>136</v>
      </c>
      <c r="B6" s="761" t="s">
        <v>128</v>
      </c>
      <c r="C6" s="761" t="s">
        <v>129</v>
      </c>
      <c r="D6" s="761" t="s">
        <v>137</v>
      </c>
      <c r="E6" s="762">
        <v>0.76900000000000002</v>
      </c>
      <c r="F6" s="762">
        <v>15.305999999999999</v>
      </c>
      <c r="G6" s="762" t="s">
        <v>130</v>
      </c>
      <c r="H6" s="762">
        <v>30.684000000000001</v>
      </c>
      <c r="I6" s="762" t="s">
        <v>130</v>
      </c>
      <c r="J6" s="762" t="s">
        <v>130</v>
      </c>
      <c r="L6" s="87" t="s">
        <v>138</v>
      </c>
      <c r="M6" s="699">
        <f>E8</f>
        <v>9.77</v>
      </c>
      <c r="N6" s="699">
        <f t="shared" ref="N6:P6" si="4">F8</f>
        <v>5.26</v>
      </c>
      <c r="O6" s="699">
        <f t="shared" si="4"/>
        <v>5.5030000000000001</v>
      </c>
      <c r="P6" s="699" t="str">
        <f t="shared" si="4"/>
        <v/>
      </c>
    </row>
    <row r="7" spans="1:16">
      <c r="A7" s="760" t="s">
        <v>134</v>
      </c>
      <c r="B7" s="761" t="s">
        <v>128</v>
      </c>
      <c r="C7" s="761" t="s">
        <v>129</v>
      </c>
      <c r="D7" s="761" t="s">
        <v>137</v>
      </c>
      <c r="E7" s="762">
        <v>1.2355994022848145</v>
      </c>
      <c r="F7" s="762">
        <v>7.2541659557527156</v>
      </c>
      <c r="G7" s="762" t="s">
        <v>130</v>
      </c>
      <c r="H7" s="762">
        <v>7.0341621314309029</v>
      </c>
      <c r="I7" s="762" t="s">
        <v>130</v>
      </c>
      <c r="J7" s="762" t="s">
        <v>130</v>
      </c>
      <c r="L7" s="87" t="s">
        <v>139</v>
      </c>
      <c r="M7" s="699" t="str">
        <f>E12</f>
        <v/>
      </c>
      <c r="N7" s="699" t="str">
        <f t="shared" ref="N7:P7" si="5">F12</f>
        <v/>
      </c>
      <c r="O7" s="699">
        <f t="shared" si="5"/>
        <v>36.116</v>
      </c>
      <c r="P7" s="699">
        <f t="shared" si="5"/>
        <v>104.38800000000001</v>
      </c>
    </row>
    <row r="8" spans="1:16">
      <c r="A8" s="760" t="s">
        <v>140</v>
      </c>
      <c r="B8" s="761" t="s">
        <v>128</v>
      </c>
      <c r="C8" s="761" t="s">
        <v>129</v>
      </c>
      <c r="D8" s="761" t="s">
        <v>141</v>
      </c>
      <c r="E8" s="762">
        <v>9.77</v>
      </c>
      <c r="F8" s="762">
        <v>5.26</v>
      </c>
      <c r="G8" s="762">
        <v>5.5030000000000001</v>
      </c>
      <c r="H8" s="762" t="s">
        <v>130</v>
      </c>
      <c r="I8" s="762" t="s">
        <v>130</v>
      </c>
      <c r="J8" s="762" t="s">
        <v>130</v>
      </c>
      <c r="L8" s="87" t="s">
        <v>142</v>
      </c>
      <c r="M8" s="699">
        <f>E10</f>
        <v>5.9480000000000004</v>
      </c>
      <c r="N8" s="699">
        <f t="shared" ref="N8:P8" si="6">F10</f>
        <v>25.837</v>
      </c>
      <c r="O8" s="699">
        <f t="shared" si="6"/>
        <v>18.225000000000001</v>
      </c>
      <c r="P8" s="699">
        <f t="shared" si="6"/>
        <v>32.816000000000003</v>
      </c>
    </row>
    <row r="9" spans="1:16">
      <c r="A9" s="760" t="s">
        <v>134</v>
      </c>
      <c r="B9" s="761" t="s">
        <v>128</v>
      </c>
      <c r="C9" s="761" t="s">
        <v>129</v>
      </c>
      <c r="D9" s="761" t="s">
        <v>141</v>
      </c>
      <c r="E9" s="762">
        <v>15.698057425647123</v>
      </c>
      <c r="F9" s="762">
        <v>2.4929382547536445</v>
      </c>
      <c r="G9" s="762">
        <v>2.2498691698829072</v>
      </c>
      <c r="H9" s="762" t="s">
        <v>130</v>
      </c>
      <c r="I9" s="762" t="s">
        <v>130</v>
      </c>
      <c r="J9" s="762" t="s">
        <v>130</v>
      </c>
    </row>
    <row r="10" spans="1:16">
      <c r="A10" s="760" t="s">
        <v>143</v>
      </c>
      <c r="B10" s="761" t="s">
        <v>128</v>
      </c>
      <c r="C10" s="761" t="s">
        <v>129</v>
      </c>
      <c r="D10" s="761" t="s">
        <v>144</v>
      </c>
      <c r="E10" s="762">
        <v>5.9480000000000004</v>
      </c>
      <c r="F10" s="762">
        <v>25.837</v>
      </c>
      <c r="G10" s="762">
        <v>18.225000000000001</v>
      </c>
      <c r="H10" s="762">
        <v>32.816000000000003</v>
      </c>
      <c r="I10" s="762" t="s">
        <v>130</v>
      </c>
      <c r="J10" s="762" t="s">
        <v>130</v>
      </c>
    </row>
    <row r="11" spans="1:16">
      <c r="A11" s="760" t="s">
        <v>134</v>
      </c>
      <c r="B11" s="761" t="s">
        <v>128</v>
      </c>
      <c r="C11" s="761" t="s">
        <v>129</v>
      </c>
      <c r="D11" s="761" t="s">
        <v>144</v>
      </c>
      <c r="E11" s="762">
        <v>9.5570159230040002</v>
      </c>
      <c r="F11" s="762">
        <v>12.245255834233824</v>
      </c>
      <c r="G11" s="762">
        <v>7.4511840125596915</v>
      </c>
      <c r="H11" s="762">
        <v>7.5229130656054135</v>
      </c>
      <c r="I11" s="762" t="s">
        <v>130</v>
      </c>
      <c r="J11" s="762" t="s">
        <v>130</v>
      </c>
    </row>
    <row r="12" spans="1:16">
      <c r="A12" s="760" t="s">
        <v>145</v>
      </c>
      <c r="B12" s="761" t="s">
        <v>128</v>
      </c>
      <c r="C12" s="761" t="s">
        <v>129</v>
      </c>
      <c r="D12" s="761" t="s">
        <v>146</v>
      </c>
      <c r="E12" s="762" t="s">
        <v>130</v>
      </c>
      <c r="F12" s="762" t="s">
        <v>130</v>
      </c>
      <c r="G12" s="762">
        <v>36.116</v>
      </c>
      <c r="H12" s="762">
        <v>104.38800000000001</v>
      </c>
      <c r="I12" s="762" t="s">
        <v>130</v>
      </c>
      <c r="J12" s="762" t="s">
        <v>130</v>
      </c>
    </row>
    <row r="13" spans="1:16">
      <c r="A13" s="760" t="s">
        <v>134</v>
      </c>
      <c r="B13" s="761" t="s">
        <v>128</v>
      </c>
      <c r="C13" s="761" t="s">
        <v>129</v>
      </c>
      <c r="D13" s="761" t="s">
        <v>146</v>
      </c>
      <c r="E13" s="762" t="s">
        <v>130</v>
      </c>
      <c r="F13" s="762" t="s">
        <v>130</v>
      </c>
      <c r="G13" s="762">
        <v>14.765814090403611</v>
      </c>
      <c r="H13" s="762">
        <v>23.930456152255545</v>
      </c>
      <c r="I13" s="762" t="s">
        <v>130</v>
      </c>
      <c r="J13" s="762" t="s">
        <v>130</v>
      </c>
    </row>
    <row r="14" spans="1:16">
      <c r="A14" s="760" t="s">
        <v>147</v>
      </c>
      <c r="B14" s="761"/>
      <c r="C14" s="761"/>
      <c r="D14" s="761"/>
      <c r="E14" s="762"/>
      <c r="F14" s="762"/>
      <c r="G14" s="762"/>
      <c r="H14" s="762"/>
      <c r="I14" s="762"/>
      <c r="J14" s="762"/>
    </row>
    <row r="15" spans="1:16">
      <c r="A15" s="760" t="s">
        <v>148</v>
      </c>
      <c r="B15" s="761" t="s">
        <v>149</v>
      </c>
      <c r="C15" s="761" t="s">
        <v>150</v>
      </c>
      <c r="D15" s="761"/>
      <c r="E15" s="762" t="s">
        <v>130</v>
      </c>
      <c r="F15" s="762" t="s">
        <v>130</v>
      </c>
      <c r="G15" s="762" t="s">
        <v>130</v>
      </c>
      <c r="H15" s="762" t="s">
        <v>130</v>
      </c>
      <c r="I15" s="762" t="s">
        <v>130</v>
      </c>
      <c r="J15" s="762" t="s">
        <v>130</v>
      </c>
    </row>
    <row r="16" spans="1:16">
      <c r="A16" s="760" t="s">
        <v>131</v>
      </c>
      <c r="B16" s="761" t="s">
        <v>149</v>
      </c>
      <c r="C16" s="761" t="s">
        <v>150</v>
      </c>
      <c r="D16" s="761" t="s">
        <v>132</v>
      </c>
      <c r="E16" s="762" t="s">
        <v>130</v>
      </c>
      <c r="F16" s="762" t="s">
        <v>130</v>
      </c>
      <c r="G16" s="762" t="s">
        <v>130</v>
      </c>
      <c r="H16" s="762">
        <v>61</v>
      </c>
      <c r="I16" s="762" t="s">
        <v>130</v>
      </c>
      <c r="J16" s="762" t="s">
        <v>130</v>
      </c>
    </row>
    <row r="17" spans="1:10">
      <c r="A17" s="760" t="s">
        <v>134</v>
      </c>
      <c r="B17" s="761" t="s">
        <v>149</v>
      </c>
      <c r="C17" s="761" t="s">
        <v>150</v>
      </c>
      <c r="D17" s="761" t="s">
        <v>132</v>
      </c>
      <c r="E17" s="762" t="s">
        <v>130</v>
      </c>
      <c r="F17" s="762" t="s">
        <v>130</v>
      </c>
      <c r="G17" s="762" t="s">
        <v>130</v>
      </c>
      <c r="H17" s="762" t="s">
        <v>130</v>
      </c>
      <c r="I17" s="762" t="s">
        <v>130</v>
      </c>
      <c r="J17" s="762" t="s">
        <v>130</v>
      </c>
    </row>
    <row r="18" spans="1:10">
      <c r="A18" s="760" t="s">
        <v>136</v>
      </c>
      <c r="B18" s="761" t="s">
        <v>149</v>
      </c>
      <c r="C18" s="761" t="s">
        <v>150</v>
      </c>
      <c r="D18" s="761" t="s">
        <v>137</v>
      </c>
      <c r="E18" s="762" t="s">
        <v>130</v>
      </c>
      <c r="F18" s="762" t="s">
        <v>130</v>
      </c>
      <c r="G18" s="762" t="s">
        <v>130</v>
      </c>
      <c r="H18" s="762">
        <v>7</v>
      </c>
      <c r="I18" s="762" t="s">
        <v>130</v>
      </c>
      <c r="J18" s="762" t="s">
        <v>130</v>
      </c>
    </row>
    <row r="19" spans="1:10">
      <c r="A19" s="760" t="s">
        <v>134</v>
      </c>
      <c r="B19" s="761" t="s">
        <v>149</v>
      </c>
      <c r="C19" s="761" t="s">
        <v>150</v>
      </c>
      <c r="D19" s="761" t="s">
        <v>137</v>
      </c>
      <c r="E19" s="762" t="s">
        <v>130</v>
      </c>
      <c r="F19" s="762" t="s">
        <v>130</v>
      </c>
      <c r="G19" s="762" t="s">
        <v>130</v>
      </c>
      <c r="H19" s="762" t="s">
        <v>130</v>
      </c>
      <c r="I19" s="762" t="s">
        <v>130</v>
      </c>
      <c r="J19" s="762" t="s">
        <v>130</v>
      </c>
    </row>
    <row r="20" spans="1:10">
      <c r="A20" s="760" t="s">
        <v>143</v>
      </c>
      <c r="B20" s="761" t="s">
        <v>149</v>
      </c>
      <c r="C20" s="761" t="s">
        <v>150</v>
      </c>
      <c r="D20" s="761" t="s">
        <v>144</v>
      </c>
      <c r="E20" s="762" t="s">
        <v>130</v>
      </c>
      <c r="F20" s="762" t="s">
        <v>130</v>
      </c>
      <c r="G20" s="762" t="s">
        <v>130</v>
      </c>
      <c r="H20" s="762">
        <v>8</v>
      </c>
      <c r="I20" s="762" t="s">
        <v>130</v>
      </c>
      <c r="J20" s="762" t="s">
        <v>130</v>
      </c>
    </row>
    <row r="21" spans="1:10">
      <c r="A21" s="760" t="s">
        <v>134</v>
      </c>
      <c r="B21" s="761" t="s">
        <v>149</v>
      </c>
      <c r="C21" s="761" t="s">
        <v>150</v>
      </c>
      <c r="D21" s="761" t="s">
        <v>144</v>
      </c>
      <c r="E21" s="762" t="s">
        <v>130</v>
      </c>
      <c r="F21" s="762" t="s">
        <v>130</v>
      </c>
      <c r="G21" s="762" t="s">
        <v>130</v>
      </c>
      <c r="H21" s="762" t="s">
        <v>130</v>
      </c>
      <c r="I21" s="762" t="s">
        <v>130</v>
      </c>
      <c r="J21" s="762" t="s">
        <v>130</v>
      </c>
    </row>
    <row r="22" spans="1:10">
      <c r="A22" s="760" t="s">
        <v>145</v>
      </c>
      <c r="B22" s="761" t="s">
        <v>149</v>
      </c>
      <c r="C22" s="761" t="s">
        <v>150</v>
      </c>
      <c r="D22" s="761" t="s">
        <v>146</v>
      </c>
      <c r="E22" s="762" t="s">
        <v>130</v>
      </c>
      <c r="F22" s="762" t="s">
        <v>130</v>
      </c>
      <c r="G22" s="762" t="s">
        <v>130</v>
      </c>
      <c r="H22" s="762">
        <v>24</v>
      </c>
      <c r="I22" s="762" t="s">
        <v>130</v>
      </c>
      <c r="J22" s="762" t="s">
        <v>130</v>
      </c>
    </row>
    <row r="23" spans="1:10">
      <c r="A23" s="760" t="s">
        <v>134</v>
      </c>
      <c r="B23" s="761" t="s">
        <v>149</v>
      </c>
      <c r="C23" s="761" t="s">
        <v>150</v>
      </c>
      <c r="D23" s="761" t="s">
        <v>146</v>
      </c>
      <c r="E23" s="762" t="s">
        <v>130</v>
      </c>
      <c r="F23" s="762" t="s">
        <v>130</v>
      </c>
      <c r="G23" s="762" t="s">
        <v>130</v>
      </c>
      <c r="H23" s="762" t="s">
        <v>130</v>
      </c>
      <c r="I23" s="762" t="s">
        <v>130</v>
      </c>
      <c r="J23" s="762" t="s">
        <v>130</v>
      </c>
    </row>
    <row r="24" spans="1:10">
      <c r="A24" s="760" t="s">
        <v>147</v>
      </c>
      <c r="B24" s="761"/>
      <c r="C24" s="761"/>
      <c r="D24" s="761"/>
      <c r="E24" s="762"/>
      <c r="F24" s="762"/>
      <c r="G24" s="762"/>
      <c r="H24" s="762"/>
      <c r="I24" s="762"/>
      <c r="J24" s="762"/>
    </row>
    <row r="25" spans="1:10">
      <c r="A25" s="760" t="s">
        <v>151</v>
      </c>
      <c r="B25" s="761" t="s">
        <v>152</v>
      </c>
      <c r="C25" s="761" t="s">
        <v>153</v>
      </c>
      <c r="D25" s="761"/>
      <c r="E25" s="762">
        <v>206.083</v>
      </c>
      <c r="F25" s="762">
        <v>326.82900000000001</v>
      </c>
      <c r="G25" s="762">
        <v>464.48899999999998</v>
      </c>
      <c r="H25" s="762">
        <v>491.721</v>
      </c>
      <c r="I25" s="762" t="s">
        <v>130</v>
      </c>
      <c r="J25" s="762" t="s">
        <v>130</v>
      </c>
    </row>
    <row r="26" spans="1:10">
      <c r="A26" s="760" t="s">
        <v>131</v>
      </c>
      <c r="B26" s="761" t="s">
        <v>152</v>
      </c>
      <c r="C26" s="761" t="s">
        <v>153</v>
      </c>
      <c r="D26" s="761" t="s">
        <v>132</v>
      </c>
      <c r="E26" s="762" t="s">
        <v>130</v>
      </c>
      <c r="F26" s="762" t="s">
        <v>130</v>
      </c>
      <c r="G26" s="762" t="s">
        <v>130</v>
      </c>
      <c r="H26" s="762">
        <v>346.38299999999998</v>
      </c>
      <c r="I26" s="762" t="s">
        <v>130</v>
      </c>
      <c r="J26" s="762" t="s">
        <v>130</v>
      </c>
    </row>
    <row r="27" spans="1:10">
      <c r="A27" s="760" t="s">
        <v>134</v>
      </c>
      <c r="B27" s="761" t="s">
        <v>152</v>
      </c>
      <c r="C27" s="761" t="s">
        <v>153</v>
      </c>
      <c r="D27" s="761" t="s">
        <v>132</v>
      </c>
      <c r="E27" s="762" t="s">
        <v>130</v>
      </c>
      <c r="F27" s="762" t="s">
        <v>130</v>
      </c>
      <c r="G27" s="762" t="s">
        <v>130</v>
      </c>
      <c r="H27" s="762">
        <v>70.442995113082418</v>
      </c>
      <c r="I27" s="762" t="s">
        <v>130</v>
      </c>
      <c r="J27" s="762" t="s">
        <v>130</v>
      </c>
    </row>
    <row r="28" spans="1:10">
      <c r="A28" s="760" t="s">
        <v>145</v>
      </c>
      <c r="B28" s="761" t="s">
        <v>152</v>
      </c>
      <c r="C28" s="761" t="s">
        <v>153</v>
      </c>
      <c r="D28" s="761" t="s">
        <v>146</v>
      </c>
      <c r="E28" s="762" t="s">
        <v>130</v>
      </c>
      <c r="F28" s="762" t="s">
        <v>130</v>
      </c>
      <c r="G28" s="762" t="s">
        <v>130</v>
      </c>
      <c r="H28" s="762">
        <v>4.0819999999999999</v>
      </c>
      <c r="I28" s="762" t="s">
        <v>130</v>
      </c>
      <c r="J28" s="762" t="s">
        <v>130</v>
      </c>
    </row>
    <row r="29" spans="1:10">
      <c r="A29" s="760" t="s">
        <v>134</v>
      </c>
      <c r="B29" s="761" t="s">
        <v>152</v>
      </c>
      <c r="C29" s="761" t="s">
        <v>153</v>
      </c>
      <c r="D29" s="761" t="s">
        <v>146</v>
      </c>
      <c r="E29" s="762" t="s">
        <v>130</v>
      </c>
      <c r="F29" s="762" t="s">
        <v>130</v>
      </c>
      <c r="G29" s="762" t="s">
        <v>130</v>
      </c>
      <c r="H29" s="762">
        <v>0.8301455500171846</v>
      </c>
      <c r="I29" s="762" t="s">
        <v>130</v>
      </c>
      <c r="J29" s="762" t="s">
        <v>130</v>
      </c>
    </row>
    <row r="30" spans="1:10">
      <c r="A30" s="760" t="s">
        <v>154</v>
      </c>
      <c r="B30" s="761" t="s">
        <v>152</v>
      </c>
      <c r="C30" s="761" t="s">
        <v>153</v>
      </c>
      <c r="D30" s="761" t="s">
        <v>155</v>
      </c>
      <c r="E30" s="762" t="s">
        <v>130</v>
      </c>
      <c r="F30" s="762" t="s">
        <v>130</v>
      </c>
      <c r="G30" s="762" t="s">
        <v>130</v>
      </c>
      <c r="H30" s="762">
        <v>42.09</v>
      </c>
      <c r="I30" s="762" t="s">
        <v>130</v>
      </c>
      <c r="J30" s="762" t="s">
        <v>130</v>
      </c>
    </row>
    <row r="31" spans="1:10">
      <c r="A31" s="760" t="s">
        <v>134</v>
      </c>
      <c r="B31" s="761" t="s">
        <v>152</v>
      </c>
      <c r="C31" s="761" t="s">
        <v>153</v>
      </c>
      <c r="D31" s="761" t="s">
        <v>155</v>
      </c>
      <c r="E31" s="762" t="s">
        <v>130</v>
      </c>
      <c r="F31" s="762" t="s">
        <v>130</v>
      </c>
      <c r="G31" s="762" t="s">
        <v>130</v>
      </c>
      <c r="H31" s="762">
        <v>8.5597320431708219</v>
      </c>
      <c r="I31" s="762" t="s">
        <v>130</v>
      </c>
      <c r="J31" s="762" t="s">
        <v>130</v>
      </c>
    </row>
    <row r="32" spans="1:10">
      <c r="A32" s="763" t="s">
        <v>156</v>
      </c>
      <c r="B32" s="763"/>
      <c r="C32" s="763"/>
      <c r="D32" s="763"/>
      <c r="E32" s="763"/>
      <c r="F32" s="763"/>
      <c r="G32" s="763"/>
      <c r="H32" s="763"/>
      <c r="I32" s="763"/>
      <c r="J32" s="76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249977111117893"/>
  </sheetPr>
  <dimension ref="B2:T52"/>
  <sheetViews>
    <sheetView showGridLines="0" zoomScale="60" zoomScaleNormal="60" workbookViewId="0">
      <selection activeCell="H7" sqref="H7"/>
    </sheetView>
  </sheetViews>
  <sheetFormatPr defaultRowHeight="14.1"/>
  <cols>
    <col min="1" max="1" width="2.375" customWidth="1"/>
    <col min="2" max="2" width="22" customWidth="1"/>
    <col min="4" max="4" width="13.25" customWidth="1"/>
    <col min="5" max="9" width="12.625" customWidth="1"/>
    <col min="10" max="10" width="18.625" style="6" customWidth="1"/>
    <col min="11" max="25" width="12.625" customWidth="1"/>
  </cols>
  <sheetData>
    <row r="2" spans="2:18" s="41" customFormat="1" ht="20.100000000000001" customHeight="1">
      <c r="B2" s="40" t="s">
        <v>157</v>
      </c>
      <c r="J2" s="42"/>
    </row>
    <row r="4" spans="2:18" ht="15.6">
      <c r="B4" s="52" t="s">
        <v>158</v>
      </c>
      <c r="C4" s="56"/>
      <c r="D4" s="52" t="s">
        <v>159</v>
      </c>
      <c r="E4" s="57">
        <v>2020</v>
      </c>
      <c r="F4" s="57">
        <f>+E4+1</f>
        <v>2021</v>
      </c>
      <c r="G4" s="57">
        <f>+F4+1</f>
        <v>2022</v>
      </c>
      <c r="H4" s="57">
        <f t="shared" ref="H4:I4" si="0">+G4+1</f>
        <v>2023</v>
      </c>
      <c r="I4" s="57">
        <f t="shared" si="0"/>
        <v>2024</v>
      </c>
      <c r="J4" s="58" t="str">
        <f>"CAGR "&amp;$G$4&amp;" - "&amp;$I$4</f>
        <v>CAGR 2022 - 2024</v>
      </c>
      <c r="K4" s="57">
        <v>2021</v>
      </c>
      <c r="L4" s="57">
        <f>+K4+1</f>
        <v>2022</v>
      </c>
      <c r="M4" s="57">
        <f>+L4+1</f>
        <v>2023</v>
      </c>
      <c r="N4" s="57">
        <f t="shared" ref="N4" si="1">+M4+1</f>
        <v>2024</v>
      </c>
    </row>
    <row r="5" spans="2:18" ht="3.95" customHeight="1">
      <c r="B5" s="53"/>
      <c r="C5" s="53"/>
      <c r="D5" s="53"/>
      <c r="E5" s="53"/>
      <c r="F5" s="53"/>
      <c r="G5" s="53"/>
      <c r="H5" s="53"/>
      <c r="I5" s="53"/>
      <c r="J5" s="60"/>
      <c r="K5" s="60"/>
      <c r="L5" s="60"/>
      <c r="M5" s="60"/>
      <c r="N5" s="60"/>
    </row>
    <row r="6" spans="2:18">
      <c r="B6" t="s">
        <v>133</v>
      </c>
      <c r="D6" s="65">
        <f>IFERROR(I6/SUM($I$6:$I$12),"")</f>
        <v>0.61512468650708141</v>
      </c>
      <c r="E6" s="92"/>
      <c r="F6" s="92">
        <f>VLOOKUP($B6,Regions!$L$3:$P$8,Regions!M2,FALSE)</f>
        <v>45.75</v>
      </c>
      <c r="G6" s="92">
        <f>VLOOKUP($B6,Regions!$L$3:$P$8,Regions!N2,FALSE)</f>
        <v>164.59299999999999</v>
      </c>
      <c r="H6" s="92">
        <f>VLOOKUP($B6,Regions!$L$3:$P$8,Regions!O2,FALSE)</f>
        <v>184.74799999999999</v>
      </c>
      <c r="I6" s="92">
        <f>VLOOKUP($B6,Regions!$L$3:$P$8,Regions!P2,FALSE)</f>
        <v>268.32600000000002</v>
      </c>
      <c r="J6" s="64">
        <f>IFERROR((I6/G6)^(1/COUNT($G$4:$I$4))-1,"")</f>
        <v>0.17692954467228361</v>
      </c>
      <c r="K6" s="65" t="str">
        <f>IFERROR(F6-E6/E6,"")</f>
        <v/>
      </c>
      <c r="L6" s="65">
        <f>IFERROR(G6-F6/F6,"")</f>
        <v>163.59299999999999</v>
      </c>
      <c r="M6" s="93">
        <f>IFERROR((H6-G6)/G6,"")</f>
        <v>0.1224535672841494</v>
      </c>
      <c r="N6" s="93">
        <f t="shared" ref="N6:N13" si="2">IFERROR((I6-H6)/H6,"")</f>
        <v>0.45238920042436204</v>
      </c>
    </row>
    <row r="7" spans="2:18">
      <c r="B7" t="s">
        <v>135</v>
      </c>
      <c r="D7" s="65">
        <f>IFERROR(I7/SUM($I$6:$I$12),"")</f>
        <v>7.034162131430903E-2</v>
      </c>
      <c r="E7" s="92"/>
      <c r="F7" s="92">
        <f>VLOOKUP($B7,Regions!$L$3:$P$8,Regions!M$2,FALSE)</f>
        <v>0.76900000000000002</v>
      </c>
      <c r="G7" s="92">
        <f>VLOOKUP($B7,Regions!$L$3:$P$8,Regions!N$2,FALSE)</f>
        <v>15.305999999999999</v>
      </c>
      <c r="H7" s="92" t="str">
        <f>VLOOKUP($B7,Regions!$L$3:$P$8,Regions!O$2,FALSE)</f>
        <v/>
      </c>
      <c r="I7" s="92">
        <f>VLOOKUP($B7,Regions!$L$3:$P$8,Regions!P$2,FALSE)</f>
        <v>30.684000000000001</v>
      </c>
      <c r="J7" s="64">
        <f>IFERROR((I7/G7)^(1/COUNT($G$4:$I$4))-1,"")</f>
        <v>0.2609080624802016</v>
      </c>
      <c r="K7" s="65" t="str">
        <f t="shared" ref="K7:M13" si="3">IFERROR(F7-E7/E7,"")</f>
        <v/>
      </c>
      <c r="L7" s="65">
        <f t="shared" si="3"/>
        <v>14.305999999999999</v>
      </c>
      <c r="M7" s="93" t="str">
        <f>IFERROR((H7-G7)/G7,"")</f>
        <v/>
      </c>
      <c r="N7" s="93" t="str">
        <f t="shared" si="2"/>
        <v/>
      </c>
    </row>
    <row r="8" spans="2:18">
      <c r="B8" s="87" t="s">
        <v>138</v>
      </c>
      <c r="D8" s="65" t="str">
        <f t="shared" ref="D8:D12" si="4">IFERROR(I8/SUM($I$6:$I$12),"")</f>
        <v/>
      </c>
      <c r="E8" s="94"/>
      <c r="F8" s="92">
        <f>VLOOKUP($B8,Regions!$L$3:$P$8,Regions!M$2,FALSE)</f>
        <v>9.77</v>
      </c>
      <c r="G8" s="92">
        <f>VLOOKUP($B8,Regions!$L$3:$P$8,Regions!N$2,FALSE)</f>
        <v>5.26</v>
      </c>
      <c r="H8" s="92">
        <f>VLOOKUP($B8,Regions!$L$3:$P$8,Regions!O$2,FALSE)</f>
        <v>5.5030000000000001</v>
      </c>
      <c r="I8" s="92" t="str">
        <f>VLOOKUP($B8,Regions!$L$3:$P$8,Regions!P$2,FALSE)</f>
        <v/>
      </c>
      <c r="J8" s="64" t="str">
        <f t="shared" ref="J8:J10" si="5">IFERROR((I8/E8)^(1/COUNT($E$4:$I$4))-1,"")</f>
        <v/>
      </c>
      <c r="K8" s="65" t="str">
        <f t="shared" si="3"/>
        <v/>
      </c>
      <c r="L8" s="65">
        <f t="shared" si="3"/>
        <v>4.26</v>
      </c>
      <c r="M8" s="65">
        <f t="shared" si="3"/>
        <v>4.5030000000000001</v>
      </c>
      <c r="N8" s="93" t="str">
        <f t="shared" si="2"/>
        <v/>
      </c>
    </row>
    <row r="9" spans="2:18">
      <c r="B9" s="87" t="s">
        <v>139</v>
      </c>
      <c r="D9" s="65">
        <f t="shared" si="4"/>
        <v>0.23930456152255541</v>
      </c>
      <c r="E9" s="94"/>
      <c r="F9" s="92" t="str">
        <f>VLOOKUP($B9,Regions!$L$3:$P$8,Regions!M$2,FALSE)</f>
        <v/>
      </c>
      <c r="G9" s="92" t="str">
        <f>VLOOKUP($B9,Regions!$L$3:$P$8,Regions!N$2,FALSE)</f>
        <v/>
      </c>
      <c r="H9" s="92">
        <f>VLOOKUP($B9,Regions!$L$3:$P$8,Regions!O$2,FALSE)</f>
        <v>36.116</v>
      </c>
      <c r="I9" s="92">
        <f>VLOOKUP($B9,Regions!$L$3:$P$8,Regions!P$2,FALSE)</f>
        <v>104.38800000000001</v>
      </c>
      <c r="J9" s="64" t="str">
        <f t="shared" si="5"/>
        <v/>
      </c>
      <c r="K9" s="65" t="str">
        <f t="shared" si="3"/>
        <v/>
      </c>
      <c r="L9" s="65" t="str">
        <f t="shared" si="3"/>
        <v/>
      </c>
      <c r="M9" s="65" t="str">
        <f t="shared" si="3"/>
        <v/>
      </c>
      <c r="N9" s="93">
        <f t="shared" si="2"/>
        <v>1.8903533060139552</v>
      </c>
    </row>
    <row r="10" spans="2:18">
      <c r="B10" s="87" t="s">
        <v>142</v>
      </c>
      <c r="D10" s="65">
        <f t="shared" si="4"/>
        <v>7.5229130656054133E-2</v>
      </c>
      <c r="E10" s="94"/>
      <c r="F10" s="92">
        <f>VLOOKUP($B10,Regions!$L$3:$P$8,Regions!M$2,FALSE)</f>
        <v>5.9480000000000004</v>
      </c>
      <c r="G10" s="92">
        <f>VLOOKUP($B10,Regions!$L$3:$P$8,Regions!N$2,FALSE)</f>
        <v>25.837</v>
      </c>
      <c r="H10" s="92">
        <f>VLOOKUP($B10,Regions!$L$3:$P$8,Regions!O$2,FALSE)</f>
        <v>18.225000000000001</v>
      </c>
      <c r="I10" s="92">
        <f>VLOOKUP($B10,Regions!$L$3:$P$8,Regions!P$2,FALSE)</f>
        <v>32.816000000000003</v>
      </c>
      <c r="J10" s="64" t="str">
        <f t="shared" si="5"/>
        <v/>
      </c>
      <c r="K10" s="65" t="str">
        <f t="shared" si="3"/>
        <v/>
      </c>
      <c r="L10" s="65">
        <f t="shared" si="3"/>
        <v>24.837</v>
      </c>
      <c r="M10" s="65">
        <f t="shared" si="3"/>
        <v>17.225000000000001</v>
      </c>
      <c r="N10" s="93">
        <f t="shared" si="2"/>
        <v>0.80060356652949249</v>
      </c>
    </row>
    <row r="11" spans="2:18" hidden="1">
      <c r="B11" s="87"/>
      <c r="D11" s="65">
        <f t="shared" si="4"/>
        <v>0</v>
      </c>
      <c r="E11" s="94"/>
      <c r="F11" s="94"/>
      <c r="G11" s="94"/>
      <c r="H11" s="94"/>
      <c r="I11" s="94"/>
      <c r="J11" s="64"/>
      <c r="K11" s="65"/>
      <c r="L11" s="65"/>
      <c r="M11" s="65"/>
      <c r="N11" s="93"/>
    </row>
    <row r="12" spans="2:18" hidden="1">
      <c r="B12" s="87"/>
      <c r="D12" s="65">
        <f t="shared" si="4"/>
        <v>0</v>
      </c>
      <c r="E12" s="94"/>
      <c r="F12" s="94"/>
      <c r="G12" s="94"/>
      <c r="H12" s="94"/>
      <c r="I12" s="94"/>
      <c r="J12" s="64"/>
      <c r="K12" s="65"/>
      <c r="L12" s="65"/>
      <c r="M12" s="65"/>
      <c r="N12" s="93"/>
    </row>
    <row r="13" spans="2:18">
      <c r="B13" s="1" t="s">
        <v>160</v>
      </c>
      <c r="D13" s="95">
        <f>SUM(D6:D12)</f>
        <v>1</v>
      </c>
      <c r="E13" s="96">
        <f>SUM(E6:E10)</f>
        <v>0</v>
      </c>
      <c r="F13" s="96">
        <f t="shared" ref="F13:I13" si="6">SUM(F6:F10)</f>
        <v>62.237000000000002</v>
      </c>
      <c r="G13" s="96">
        <f t="shared" si="6"/>
        <v>210.99599999999998</v>
      </c>
      <c r="H13" s="96">
        <f t="shared" si="6"/>
        <v>244.59199999999996</v>
      </c>
      <c r="I13" s="96">
        <f t="shared" si="6"/>
        <v>436.21400000000006</v>
      </c>
      <c r="J13" s="67">
        <f>IFERROR((I13/G13)^(1/COUNT($G$4:$I$4))-1,"")</f>
        <v>0.27391893423121649</v>
      </c>
      <c r="K13" s="68" t="str">
        <f t="shared" si="3"/>
        <v/>
      </c>
      <c r="L13" s="68">
        <f t="shared" si="3"/>
        <v>209.99599999999998</v>
      </c>
      <c r="M13" s="93">
        <f>IFERROR((H13-G13)/G13,"")</f>
        <v>0.15922576731312432</v>
      </c>
      <c r="N13" s="93">
        <f t="shared" si="2"/>
        <v>0.78343527179956884</v>
      </c>
    </row>
    <row r="14" spans="2:18" ht="8.1" customHeight="1">
      <c r="R14" s="97"/>
    </row>
    <row r="15" spans="2:18" ht="15.6">
      <c r="B15" s="52" t="s">
        <v>157</v>
      </c>
      <c r="C15" s="56"/>
      <c r="D15" s="52" t="s">
        <v>159</v>
      </c>
      <c r="E15" s="57">
        <v>2020</v>
      </c>
      <c r="F15" s="57">
        <f>+E15+1</f>
        <v>2021</v>
      </c>
      <c r="G15" s="57">
        <f>+F15+1</f>
        <v>2022</v>
      </c>
      <c r="H15" s="57">
        <f t="shared" ref="H15:I15" si="7">+G15+1</f>
        <v>2023</v>
      </c>
      <c r="I15" s="57">
        <f t="shared" si="7"/>
        <v>2024</v>
      </c>
      <c r="J15" s="58" t="str">
        <f>"CAGR "&amp;$E$4&amp;" - "&amp;$I$4</f>
        <v>CAGR 2020 - 2024</v>
      </c>
      <c r="K15" s="57">
        <v>2021</v>
      </c>
      <c r="L15" s="57">
        <f>+K15+1</f>
        <v>2022</v>
      </c>
      <c r="M15" s="57">
        <f>+L15+1</f>
        <v>2023</v>
      </c>
      <c r="N15" s="57">
        <f t="shared" ref="N15" si="8">+M15+1</f>
        <v>2024</v>
      </c>
    </row>
    <row r="16" spans="2:18" s="93" customFormat="1" ht="3.95" customHeight="1">
      <c r="B16" s="53"/>
      <c r="C16" s="53"/>
      <c r="D16" s="53"/>
      <c r="E16" s="53"/>
      <c r="F16" s="53"/>
      <c r="G16" s="53"/>
      <c r="H16" s="53"/>
      <c r="I16" s="53"/>
      <c r="J16" s="60"/>
      <c r="K16" s="60"/>
      <c r="L16" s="60"/>
      <c r="M16" s="60"/>
      <c r="N16" s="60"/>
      <c r="O16" s="98"/>
    </row>
    <row r="17" spans="2:20">
      <c r="B17" s="8" t="s">
        <v>161</v>
      </c>
      <c r="D17" s="65">
        <f>IFERROR(I17/SUM($I$17:$I$21),"")</f>
        <v>0.28741856061474413</v>
      </c>
      <c r="E17" s="94"/>
      <c r="F17" s="94">
        <f>VLOOKUP($B17,'Segments - Inputs'!$J$3:$N$5,'Segments - Inputs'!K$2,FALSE)</f>
        <v>38.970999999999997</v>
      </c>
      <c r="G17" s="94">
        <f>VLOOKUP($B17,'Segments - Inputs'!$J$3:$N$5,'Segments - Inputs'!L$2,FALSE)</f>
        <v>60.686</v>
      </c>
      <c r="H17" s="94">
        <f>VLOOKUP($B17,'Segments - Inputs'!$J$3:$N$5,'Segments - Inputs'!M$2,FALSE)</f>
        <v>71.894000000000005</v>
      </c>
      <c r="I17" s="94">
        <f>VLOOKUP($B17,'Segments - Inputs'!$J$3:$N$5,'Segments - Inputs'!N$2,FALSE)</f>
        <v>125.376</v>
      </c>
      <c r="J17" s="64" t="str">
        <f>IFERROR((I17/E17)^(1/COUNT($E$4:$I$4))-1,"")</f>
        <v/>
      </c>
      <c r="K17" s="97" t="str">
        <f t="shared" ref="K17:N22" si="9">IFERROR((F17-E17)/E17,"")</f>
        <v/>
      </c>
      <c r="L17" s="97">
        <f t="shared" si="9"/>
        <v>0.55720920684611652</v>
      </c>
      <c r="M17" s="97">
        <f t="shared" si="9"/>
        <v>0.18468839600566861</v>
      </c>
      <c r="N17" s="97">
        <f t="shared" si="9"/>
        <v>0.74390074276017459</v>
      </c>
    </row>
    <row r="18" spans="2:20">
      <c r="B18" t="s">
        <v>162</v>
      </c>
      <c r="D18" s="65">
        <f t="shared" ref="D18:D21" si="10">IFERROR(I18/SUM($I$17:$I$21),"")</f>
        <v>0.71258143938525587</v>
      </c>
      <c r="E18" s="94"/>
      <c r="F18" s="94">
        <f>VLOOKUP($B18,'Segments - Inputs'!$J$3:$N$5,'Segments - Inputs'!K$2,FALSE)</f>
        <v>23.265999999999998</v>
      </c>
      <c r="G18" s="94">
        <f>VLOOKUP($B18,'Segments - Inputs'!$J$3:$N$5,'Segments - Inputs'!L$2,FALSE)</f>
        <v>150.31</v>
      </c>
      <c r="H18" s="94">
        <f>VLOOKUP($B18,'Segments - Inputs'!$J$3:$N$5,'Segments - Inputs'!M$2,FALSE)</f>
        <v>172.69800000000001</v>
      </c>
      <c r="I18" s="94">
        <f>VLOOKUP($B18,'Segments - Inputs'!$J$3:$N$5,'Segments - Inputs'!N$2,FALSE)</f>
        <v>310.83800000000002</v>
      </c>
      <c r="J18" s="64" t="str">
        <f t="shared" ref="J18:J22" si="11">IFERROR((I18/E18)^(1/COUNT($E$4:$I$4))-1,"")</f>
        <v/>
      </c>
      <c r="K18" s="97" t="str">
        <f t="shared" si="9"/>
        <v/>
      </c>
      <c r="L18" s="97">
        <f t="shared" si="9"/>
        <v>5.4605003008682207</v>
      </c>
      <c r="M18" s="97">
        <f t="shared" si="9"/>
        <v>0.14894551260727831</v>
      </c>
      <c r="N18" s="97">
        <f t="shared" si="9"/>
        <v>0.79989345562774328</v>
      </c>
    </row>
    <row r="19" spans="2:20" hidden="1">
      <c r="D19" s="65">
        <f t="shared" si="10"/>
        <v>0</v>
      </c>
      <c r="E19" s="94"/>
      <c r="F19" s="94"/>
      <c r="G19" s="94"/>
      <c r="H19" s="94"/>
      <c r="I19" s="94"/>
      <c r="J19" s="64" t="str">
        <f t="shared" si="11"/>
        <v/>
      </c>
      <c r="K19" s="97" t="str">
        <f t="shared" si="9"/>
        <v/>
      </c>
      <c r="L19" s="97" t="str">
        <f t="shared" si="9"/>
        <v/>
      </c>
      <c r="M19" s="97" t="str">
        <f t="shared" si="9"/>
        <v/>
      </c>
      <c r="N19" s="97" t="str">
        <f t="shared" si="9"/>
        <v/>
      </c>
    </row>
    <row r="20" spans="2:20" hidden="1">
      <c r="B20" s="87"/>
      <c r="D20" s="65">
        <f t="shared" si="10"/>
        <v>0</v>
      </c>
      <c r="E20" s="94"/>
      <c r="F20" s="94"/>
      <c r="G20" s="94"/>
      <c r="H20" s="94"/>
      <c r="I20" s="94"/>
      <c r="J20" s="64" t="str">
        <f t="shared" si="11"/>
        <v/>
      </c>
      <c r="K20" s="97" t="str">
        <f t="shared" si="9"/>
        <v/>
      </c>
      <c r="L20" s="97" t="str">
        <f t="shared" si="9"/>
        <v/>
      </c>
      <c r="M20" s="97" t="str">
        <f t="shared" si="9"/>
        <v/>
      </c>
      <c r="N20" s="97" t="str">
        <f t="shared" si="9"/>
        <v/>
      </c>
    </row>
    <row r="21" spans="2:20" hidden="1">
      <c r="B21" s="87"/>
      <c r="D21" s="65">
        <f t="shared" si="10"/>
        <v>0</v>
      </c>
      <c r="E21" s="94"/>
      <c r="F21" s="94"/>
      <c r="G21" s="94"/>
      <c r="H21" s="94"/>
      <c r="I21" s="94"/>
      <c r="J21" s="64" t="str">
        <f t="shared" si="11"/>
        <v/>
      </c>
      <c r="K21" s="97" t="str">
        <f t="shared" si="9"/>
        <v/>
      </c>
      <c r="L21" s="97" t="str">
        <f t="shared" si="9"/>
        <v/>
      </c>
      <c r="M21" s="97" t="str">
        <f t="shared" si="9"/>
        <v/>
      </c>
      <c r="N21" s="97" t="str">
        <f t="shared" si="9"/>
        <v/>
      </c>
    </row>
    <row r="22" spans="2:20">
      <c r="B22" s="1" t="s">
        <v>160</v>
      </c>
      <c r="D22" s="95">
        <f>SUM(D17:D21)</f>
        <v>1</v>
      </c>
      <c r="E22" s="96">
        <f>SUM(E17:E21)</f>
        <v>0</v>
      </c>
      <c r="F22" s="96">
        <f>SUM(F17:F21)</f>
        <v>62.236999999999995</v>
      </c>
      <c r="G22" s="96">
        <f t="shared" ref="G22:I22" si="12">SUM(G17:G21)</f>
        <v>210.99600000000001</v>
      </c>
      <c r="H22" s="96">
        <f t="shared" si="12"/>
        <v>244.59200000000001</v>
      </c>
      <c r="I22" s="96">
        <f t="shared" si="12"/>
        <v>436.21400000000006</v>
      </c>
      <c r="J22" s="67" t="str">
        <f t="shared" si="11"/>
        <v/>
      </c>
      <c r="K22" s="97" t="str">
        <f t="shared" si="9"/>
        <v/>
      </c>
      <c r="L22" s="97">
        <f t="shared" si="9"/>
        <v>2.3902019698892945</v>
      </c>
      <c r="M22" s="97">
        <f t="shared" si="9"/>
        <v>0.15922576731312443</v>
      </c>
      <c r="N22" s="97">
        <f t="shared" si="9"/>
        <v>0.7834352717995684</v>
      </c>
    </row>
    <row r="23" spans="2:20" ht="8.1" customHeight="1">
      <c r="B23" s="1"/>
      <c r="D23" s="1"/>
      <c r="E23" s="96"/>
      <c r="F23" s="96"/>
      <c r="G23" s="96"/>
      <c r="H23" s="96"/>
      <c r="I23" s="96"/>
      <c r="J23" s="67"/>
      <c r="K23" s="1"/>
      <c r="L23" s="1"/>
      <c r="M23" s="1"/>
      <c r="N23" s="1"/>
    </row>
    <row r="24" spans="2:20" ht="15" customHeight="1">
      <c r="B24" s="69" t="s">
        <v>163</v>
      </c>
      <c r="C24" s="70"/>
      <c r="D24" s="69" t="s">
        <v>164</v>
      </c>
      <c r="E24" s="70"/>
      <c r="F24" s="70"/>
      <c r="G24" s="70"/>
      <c r="H24" s="70"/>
      <c r="I24" s="70"/>
      <c r="J24" s="99" t="s">
        <v>165</v>
      </c>
      <c r="K24" s="100"/>
      <c r="L24" s="100"/>
      <c r="M24" s="100"/>
      <c r="N24" s="100"/>
    </row>
    <row r="25" spans="2:20" ht="3.95" customHeight="1">
      <c r="B25" s="71"/>
      <c r="C25" s="71"/>
      <c r="D25" s="71"/>
      <c r="E25" s="71"/>
      <c r="F25" s="71"/>
      <c r="G25" s="71"/>
      <c r="H25" s="71"/>
      <c r="I25" s="71"/>
      <c r="J25" s="101"/>
      <c r="K25" s="101"/>
      <c r="L25" s="101"/>
      <c r="M25" s="101"/>
      <c r="N25" s="101"/>
    </row>
    <row r="26" spans="2:20" ht="39.950000000000003" customHeight="1">
      <c r="B26" s="910" t="s">
        <v>161</v>
      </c>
      <c r="C26" s="910"/>
      <c r="D26" s="911" t="s">
        <v>166</v>
      </c>
      <c r="E26" s="911"/>
      <c r="F26" s="911"/>
      <c r="G26" s="911"/>
      <c r="H26" s="911"/>
      <c r="I26" s="911"/>
      <c r="J26" s="67"/>
      <c r="K26" s="1"/>
      <c r="L26" s="1"/>
      <c r="M26" s="1"/>
      <c r="N26" s="1"/>
    </row>
    <row r="27" spans="2:20" ht="39.950000000000003" customHeight="1">
      <c r="B27" s="910" t="s">
        <v>162</v>
      </c>
      <c r="C27" s="910"/>
      <c r="D27" s="911" t="s">
        <v>167</v>
      </c>
      <c r="E27" s="911"/>
      <c r="F27" s="911"/>
      <c r="G27" s="911"/>
      <c r="H27" s="911"/>
      <c r="I27" s="911"/>
      <c r="J27" s="67"/>
      <c r="K27" s="1"/>
      <c r="L27" s="1"/>
      <c r="M27" s="1"/>
      <c r="N27" s="1"/>
    </row>
    <row r="28" spans="2:20" ht="39.950000000000003" customHeight="1">
      <c r="B28" s="910"/>
      <c r="C28" s="910"/>
      <c r="D28" s="911"/>
      <c r="E28" s="911"/>
      <c r="F28" s="911"/>
      <c r="G28" s="911"/>
      <c r="H28" s="911"/>
      <c r="I28" s="911"/>
      <c r="J28" s="67"/>
      <c r="K28" s="1"/>
      <c r="L28" s="1"/>
      <c r="M28" s="1"/>
      <c r="N28" s="1"/>
    </row>
    <row r="29" spans="2:20" ht="39.950000000000003" hidden="1" customHeight="1">
      <c r="B29" s="910" t="str">
        <f>IF(B20=0,"",B20)</f>
        <v/>
      </c>
      <c r="C29" s="910"/>
      <c r="D29" s="911"/>
      <c r="E29" s="911"/>
      <c r="F29" s="911"/>
      <c r="G29" s="911"/>
      <c r="H29" s="911"/>
      <c r="I29" s="911"/>
      <c r="J29" s="67"/>
      <c r="K29" s="1"/>
      <c r="L29" s="1"/>
      <c r="M29" s="1"/>
      <c r="N29" s="1"/>
    </row>
    <row r="30" spans="2:20" ht="39.950000000000003" hidden="1" customHeight="1">
      <c r="B30" s="910" t="str">
        <f>IF(B21=0,"",B21)</f>
        <v/>
      </c>
      <c r="C30" s="910"/>
      <c r="D30" s="911"/>
      <c r="E30" s="911"/>
      <c r="F30" s="911"/>
      <c r="G30" s="911"/>
      <c r="H30" s="911"/>
      <c r="I30" s="911"/>
      <c r="J30" s="67"/>
      <c r="K30" s="1"/>
      <c r="L30" s="1"/>
      <c r="M30" s="1"/>
      <c r="N30" s="1"/>
    </row>
    <row r="31" spans="2:20" ht="8.1" customHeight="1">
      <c r="E31" s="73"/>
      <c r="F31" s="73"/>
      <c r="G31" s="73"/>
      <c r="H31" s="73"/>
      <c r="I31" s="73"/>
      <c r="J31" s="102"/>
    </row>
    <row r="32" spans="2:20" ht="15.6">
      <c r="B32" s="52" t="s">
        <v>168</v>
      </c>
      <c r="C32" s="56"/>
      <c r="D32" s="52" t="s">
        <v>159</v>
      </c>
      <c r="E32" s="57">
        <v>2020</v>
      </c>
      <c r="F32" s="57">
        <f>+E32+1</f>
        <v>2021</v>
      </c>
      <c r="G32" s="57">
        <f>+F32+1</f>
        <v>2022</v>
      </c>
      <c r="H32" s="57">
        <f t="shared" ref="H32:I32" si="13">+G32+1</f>
        <v>2023</v>
      </c>
      <c r="I32" s="103">
        <f t="shared" si="13"/>
        <v>2024</v>
      </c>
      <c r="J32" s="104">
        <f>I32+1</f>
        <v>2025</v>
      </c>
      <c r="K32" s="104">
        <f t="shared" ref="K32:T32" si="14">+J32+1</f>
        <v>2026</v>
      </c>
      <c r="L32" s="104">
        <f t="shared" si="14"/>
        <v>2027</v>
      </c>
      <c r="M32" s="104">
        <f t="shared" si="14"/>
        <v>2028</v>
      </c>
      <c r="N32" s="104">
        <f t="shared" si="14"/>
        <v>2029</v>
      </c>
      <c r="O32" s="104">
        <f t="shared" si="14"/>
        <v>2030</v>
      </c>
      <c r="P32" s="104">
        <f t="shared" si="14"/>
        <v>2031</v>
      </c>
      <c r="Q32" s="104">
        <f t="shared" si="14"/>
        <v>2032</v>
      </c>
      <c r="R32" s="104">
        <f t="shared" si="14"/>
        <v>2033</v>
      </c>
      <c r="S32" s="104">
        <f t="shared" si="14"/>
        <v>2034</v>
      </c>
      <c r="T32" s="104">
        <f t="shared" si="14"/>
        <v>2035</v>
      </c>
    </row>
    <row r="33" spans="2:20" ht="3.95" customHeight="1">
      <c r="B33" s="53"/>
      <c r="C33" s="53"/>
      <c r="D33" s="53"/>
      <c r="E33" s="53"/>
      <c r="F33" s="53"/>
      <c r="G33" s="53"/>
      <c r="H33" s="53"/>
      <c r="I33" s="105"/>
      <c r="J33" s="60"/>
      <c r="K33" s="60"/>
      <c r="L33" s="60"/>
      <c r="M33" s="60"/>
      <c r="N33" s="60"/>
      <c r="O33" s="60"/>
      <c r="P33" s="60"/>
      <c r="Q33" s="60"/>
      <c r="R33" s="60"/>
      <c r="S33" s="60"/>
      <c r="T33" s="60"/>
    </row>
    <row r="34" spans="2:20">
      <c r="D34" s="65">
        <f>IFERROR(I34/$I$13,"")</f>
        <v>0</v>
      </c>
      <c r="E34" s="94"/>
      <c r="F34" s="94"/>
      <c r="G34" s="94"/>
      <c r="H34" s="94"/>
      <c r="I34" s="106"/>
      <c r="J34" s="107"/>
      <c r="K34" s="107"/>
      <c r="L34" s="107"/>
      <c r="M34" s="107"/>
      <c r="N34" s="107"/>
      <c r="O34" s="107"/>
      <c r="P34" s="107"/>
      <c r="Q34" s="107"/>
      <c r="R34" s="107"/>
      <c r="S34" s="107"/>
      <c r="T34" s="107"/>
    </row>
    <row r="35" spans="2:20" hidden="1">
      <c r="D35" s="65"/>
      <c r="E35" s="108"/>
      <c r="F35" s="109"/>
      <c r="G35" s="109"/>
      <c r="H35" s="109"/>
      <c r="I35" s="110"/>
      <c r="J35" s="111"/>
      <c r="K35" s="111"/>
      <c r="L35" s="111"/>
      <c r="M35" s="111"/>
      <c r="N35" s="111"/>
      <c r="O35" s="111"/>
      <c r="P35" s="111"/>
      <c r="Q35" s="111"/>
      <c r="R35" s="111"/>
      <c r="S35" s="111"/>
      <c r="T35" s="111"/>
    </row>
    <row r="36" spans="2:20">
      <c r="D36" s="65">
        <f>IFERROR(I36/$I$13,"")</f>
        <v>0</v>
      </c>
      <c r="E36" s="94"/>
      <c r="F36" s="94"/>
      <c r="G36" s="94"/>
      <c r="H36" s="94"/>
      <c r="I36" s="106"/>
      <c r="J36" s="107"/>
      <c r="K36" s="107"/>
      <c r="L36" s="107"/>
      <c r="M36" s="107"/>
      <c r="N36" s="107"/>
      <c r="O36" s="107"/>
      <c r="P36" s="107"/>
      <c r="Q36" s="107"/>
      <c r="R36" s="107"/>
      <c r="S36" s="107"/>
      <c r="T36" s="107"/>
    </row>
    <row r="37" spans="2:20" hidden="1">
      <c r="D37" s="65"/>
      <c r="E37" s="108"/>
      <c r="F37" s="65" t="str">
        <f>IFERROR((F36-E36)/E36,"")</f>
        <v/>
      </c>
      <c r="G37" s="65" t="str">
        <f>IFERROR((G36-F36)/F36,"")</f>
        <v/>
      </c>
      <c r="H37" s="65" t="str">
        <f>IFERROR((H36-G36)/G36,"")</f>
        <v/>
      </c>
      <c r="I37" s="112" t="str">
        <f>IFERROR((I36-H36)/H36,"")</f>
        <v/>
      </c>
      <c r="J37" s="111"/>
      <c r="K37" s="111"/>
      <c r="L37" s="111"/>
      <c r="M37" s="111"/>
      <c r="N37" s="111"/>
      <c r="O37" s="111"/>
      <c r="P37" s="111"/>
      <c r="Q37" s="111"/>
      <c r="R37" s="111"/>
      <c r="S37" s="111"/>
      <c r="T37" s="111"/>
    </row>
    <row r="38" spans="2:20" hidden="1">
      <c r="B38" t="s">
        <v>169</v>
      </c>
      <c r="D38" s="65">
        <f>IFERROR(I38/$I$13,"")</f>
        <v>0</v>
      </c>
      <c r="E38" s="94"/>
      <c r="F38" s="94"/>
      <c r="G38" s="94"/>
      <c r="H38" s="94"/>
      <c r="I38" s="113"/>
      <c r="J38" s="107">
        <f>I38*(1+J39)</f>
        <v>0</v>
      </c>
      <c r="K38" s="107">
        <f t="shared" ref="K38:T38" si="15">J38*(1+K39)</f>
        <v>0</v>
      </c>
      <c r="L38" s="107">
        <f t="shared" si="15"/>
        <v>0</v>
      </c>
      <c r="M38" s="107">
        <f t="shared" si="15"/>
        <v>0</v>
      </c>
      <c r="N38" s="107">
        <f t="shared" si="15"/>
        <v>0</v>
      </c>
      <c r="O38" s="107">
        <f t="shared" si="15"/>
        <v>0</v>
      </c>
      <c r="P38" s="107">
        <f t="shared" si="15"/>
        <v>0</v>
      </c>
      <c r="Q38" s="107">
        <f t="shared" si="15"/>
        <v>0</v>
      </c>
      <c r="R38" s="107">
        <f t="shared" si="15"/>
        <v>0</v>
      </c>
      <c r="S38" s="107">
        <f t="shared" si="15"/>
        <v>0</v>
      </c>
      <c r="T38" s="107">
        <f t="shared" si="15"/>
        <v>0</v>
      </c>
    </row>
    <row r="39" spans="2:20" hidden="1">
      <c r="D39" s="65"/>
      <c r="E39" s="108"/>
      <c r="F39" s="108" t="str">
        <f>IFERROR(F38-E38/E38,"")</f>
        <v/>
      </c>
      <c r="G39" s="108" t="str">
        <f t="shared" ref="G39:I39" si="16">IFERROR(G38-F38/F38,"")</f>
        <v/>
      </c>
      <c r="H39" s="108" t="str">
        <f t="shared" si="16"/>
        <v/>
      </c>
      <c r="I39" s="110" t="str">
        <f t="shared" si="16"/>
        <v/>
      </c>
      <c r="J39" s="111"/>
      <c r="K39" s="111"/>
      <c r="L39" s="111"/>
      <c r="M39" s="111"/>
      <c r="N39" s="111"/>
      <c r="O39" s="111"/>
      <c r="P39" s="111"/>
      <c r="Q39" s="111"/>
      <c r="R39" s="111"/>
      <c r="S39" s="111"/>
      <c r="T39" s="111"/>
    </row>
    <row r="40" spans="2:20" hidden="1">
      <c r="B40" t="s">
        <v>170</v>
      </c>
      <c r="D40" s="65">
        <f>IFERROR(I40/$I$13,"")</f>
        <v>0</v>
      </c>
      <c r="E40" s="94"/>
      <c r="F40" s="94"/>
      <c r="G40" s="94"/>
      <c r="H40" s="94"/>
      <c r="I40" s="113"/>
      <c r="J40" s="107">
        <f>I40*(1+J41)</f>
        <v>0</v>
      </c>
      <c r="K40" s="107">
        <f t="shared" ref="K40:T40" si="17">J40*(1+K41)</f>
        <v>0</v>
      </c>
      <c r="L40" s="107">
        <f t="shared" si="17"/>
        <v>0</v>
      </c>
      <c r="M40" s="107">
        <f t="shared" si="17"/>
        <v>0</v>
      </c>
      <c r="N40" s="107">
        <f t="shared" si="17"/>
        <v>0</v>
      </c>
      <c r="O40" s="107">
        <f t="shared" si="17"/>
        <v>0</v>
      </c>
      <c r="P40" s="107">
        <f t="shared" si="17"/>
        <v>0</v>
      </c>
      <c r="Q40" s="107">
        <f t="shared" si="17"/>
        <v>0</v>
      </c>
      <c r="R40" s="107">
        <f t="shared" si="17"/>
        <v>0</v>
      </c>
      <c r="S40" s="107">
        <f t="shared" si="17"/>
        <v>0</v>
      </c>
      <c r="T40" s="107">
        <f t="shared" si="17"/>
        <v>0</v>
      </c>
    </row>
    <row r="41" spans="2:20" hidden="1">
      <c r="D41" s="65"/>
      <c r="E41" s="108"/>
      <c r="F41" s="108" t="str">
        <f>IFERROR(F40-E40/E40,"")</f>
        <v/>
      </c>
      <c r="G41" s="108" t="str">
        <f t="shared" ref="G41:I41" si="18">IFERROR(G40-F40/F40,"")</f>
        <v/>
      </c>
      <c r="H41" s="108" t="str">
        <f t="shared" si="18"/>
        <v/>
      </c>
      <c r="I41" s="110" t="str">
        <f t="shared" si="18"/>
        <v/>
      </c>
      <c r="J41" s="111"/>
      <c r="K41" s="111"/>
      <c r="L41" s="111"/>
      <c r="M41" s="111"/>
      <c r="N41" s="111"/>
      <c r="O41" s="111"/>
      <c r="P41" s="111"/>
      <c r="Q41" s="111"/>
      <c r="R41" s="111"/>
      <c r="S41" s="111"/>
      <c r="T41" s="111"/>
    </row>
    <row r="42" spans="2:20" hidden="1">
      <c r="B42" t="s">
        <v>171</v>
      </c>
      <c r="D42" s="65">
        <f>IFERROR(I42/$I$13,"")</f>
        <v>0</v>
      </c>
      <c r="E42" s="94"/>
      <c r="F42" s="94"/>
      <c r="G42" s="94"/>
      <c r="H42" s="94"/>
      <c r="I42" s="113"/>
      <c r="J42" s="107">
        <f>I42*(1+J43)</f>
        <v>0</v>
      </c>
      <c r="K42" s="107">
        <f t="shared" ref="K42:T42" si="19">J42*(1+K43)</f>
        <v>0</v>
      </c>
      <c r="L42" s="107">
        <f t="shared" si="19"/>
        <v>0</v>
      </c>
      <c r="M42" s="107">
        <f t="shared" si="19"/>
        <v>0</v>
      </c>
      <c r="N42" s="107">
        <f t="shared" si="19"/>
        <v>0</v>
      </c>
      <c r="O42" s="107">
        <f t="shared" si="19"/>
        <v>0</v>
      </c>
      <c r="P42" s="107">
        <f t="shared" si="19"/>
        <v>0</v>
      </c>
      <c r="Q42" s="107">
        <f t="shared" si="19"/>
        <v>0</v>
      </c>
      <c r="R42" s="107">
        <f t="shared" si="19"/>
        <v>0</v>
      </c>
      <c r="S42" s="107">
        <f t="shared" si="19"/>
        <v>0</v>
      </c>
      <c r="T42" s="107">
        <f t="shared" si="19"/>
        <v>0</v>
      </c>
    </row>
    <row r="43" spans="2:20" hidden="1">
      <c r="D43" s="65"/>
      <c r="E43" s="108"/>
      <c r="F43" s="108" t="str">
        <f>IFERROR(F42-E42/E42,"")</f>
        <v/>
      </c>
      <c r="G43" s="108" t="str">
        <f t="shared" ref="G43:I43" si="20">IFERROR(G42-F42/F42,"")</f>
        <v/>
      </c>
      <c r="H43" s="108" t="str">
        <f t="shared" si="20"/>
        <v/>
      </c>
      <c r="I43" s="110" t="str">
        <f t="shared" si="20"/>
        <v/>
      </c>
      <c r="J43" s="111"/>
      <c r="K43" s="111"/>
      <c r="L43" s="111"/>
      <c r="M43" s="111"/>
      <c r="N43" s="111"/>
      <c r="O43" s="111"/>
      <c r="P43" s="111"/>
      <c r="Q43" s="111"/>
      <c r="R43" s="111"/>
      <c r="S43" s="111"/>
      <c r="T43" s="111"/>
    </row>
    <row r="44" spans="2:20">
      <c r="B44" s="1" t="s">
        <v>160</v>
      </c>
      <c r="D44" s="95">
        <f>SUM(D34:D42)</f>
        <v>0</v>
      </c>
      <c r="E44" s="96">
        <f>SUM(E34:E42)</f>
        <v>0</v>
      </c>
      <c r="F44" s="96">
        <f t="shared" ref="F44:T44" si="21">SUM(F34:F42)</f>
        <v>0</v>
      </c>
      <c r="G44" s="96">
        <f t="shared" si="21"/>
        <v>0</v>
      </c>
      <c r="H44" s="96">
        <f t="shared" si="21"/>
        <v>0</v>
      </c>
      <c r="I44" s="114">
        <f t="shared" si="21"/>
        <v>0</v>
      </c>
      <c r="J44" s="96">
        <f t="shared" si="21"/>
        <v>0</v>
      </c>
      <c r="K44" s="96">
        <f t="shared" si="21"/>
        <v>0</v>
      </c>
      <c r="L44" s="96">
        <f t="shared" si="21"/>
        <v>0</v>
      </c>
      <c r="M44" s="96">
        <f t="shared" si="21"/>
        <v>0</v>
      </c>
      <c r="N44" s="96">
        <f t="shared" si="21"/>
        <v>0</v>
      </c>
      <c r="O44" s="96">
        <f t="shared" si="21"/>
        <v>0</v>
      </c>
      <c r="P44" s="96">
        <f t="shared" si="21"/>
        <v>0</v>
      </c>
      <c r="Q44" s="96">
        <f t="shared" si="21"/>
        <v>0</v>
      </c>
      <c r="R44" s="96">
        <f t="shared" si="21"/>
        <v>0</v>
      </c>
      <c r="S44" s="96">
        <f t="shared" si="21"/>
        <v>0</v>
      </c>
      <c r="T44" s="96">
        <f t="shared" si="21"/>
        <v>0</v>
      </c>
    </row>
    <row r="45" spans="2:20" ht="8.1" customHeight="1"/>
    <row r="46" spans="2:20" ht="15.6">
      <c r="B46" s="69" t="s">
        <v>172</v>
      </c>
      <c r="C46" s="70"/>
      <c r="D46" s="69"/>
      <c r="E46" s="70"/>
      <c r="F46" s="70"/>
      <c r="G46" s="70"/>
      <c r="H46" s="70"/>
      <c r="I46" s="70"/>
      <c r="J46" s="99"/>
      <c r="K46" s="100"/>
      <c r="L46" s="100"/>
      <c r="M46" s="100"/>
      <c r="N46" s="100"/>
      <c r="O46" s="100"/>
    </row>
    <row r="47" spans="2:20" ht="3.95" customHeight="1">
      <c r="B47" s="71"/>
      <c r="C47" s="71"/>
      <c r="D47" s="71"/>
      <c r="E47" s="71"/>
      <c r="F47" s="71"/>
      <c r="G47" s="71"/>
      <c r="H47" s="71"/>
      <c r="I47" s="71"/>
      <c r="J47" s="101"/>
      <c r="K47" s="101"/>
      <c r="L47" s="101"/>
      <c r="M47" s="101"/>
      <c r="N47" s="101"/>
      <c r="O47" s="101"/>
    </row>
    <row r="48" spans="2:20" ht="39.950000000000003" customHeight="1">
      <c r="B48" s="910"/>
      <c r="C48" s="910"/>
      <c r="D48" s="912"/>
      <c r="E48" s="912"/>
      <c r="F48" s="912"/>
      <c r="G48" s="912"/>
      <c r="H48" s="912"/>
      <c r="I48" s="912"/>
      <c r="J48" s="912"/>
      <c r="K48" s="912"/>
      <c r="L48" s="912"/>
      <c r="M48" s="912"/>
      <c r="N48" s="912"/>
      <c r="O48" s="912"/>
    </row>
    <row r="49" spans="2:14" ht="39.950000000000003" customHeight="1">
      <c r="D49" s="906"/>
      <c r="E49" s="906"/>
      <c r="F49" s="906"/>
      <c r="G49" s="906"/>
      <c r="H49" s="906"/>
      <c r="I49" s="906"/>
      <c r="J49" s="906"/>
      <c r="K49" s="906"/>
      <c r="L49" s="906"/>
      <c r="M49" s="906"/>
      <c r="N49" s="906"/>
    </row>
    <row r="50" spans="2:14" ht="39.950000000000003" customHeight="1">
      <c r="B50" s="910"/>
      <c r="C50" s="910"/>
      <c r="D50" s="906"/>
      <c r="E50" s="906"/>
      <c r="F50" s="906"/>
      <c r="G50" s="906"/>
      <c r="H50" s="906"/>
      <c r="I50" s="906"/>
      <c r="J50" s="906"/>
      <c r="K50" s="906"/>
      <c r="L50" s="906"/>
      <c r="M50" s="906"/>
      <c r="N50" s="906"/>
    </row>
    <row r="51" spans="2:14" ht="39.950000000000003" customHeight="1">
      <c r="B51" s="910"/>
      <c r="C51" s="910"/>
      <c r="D51" s="906"/>
      <c r="E51" s="906"/>
      <c r="F51" s="906"/>
      <c r="G51" s="906"/>
      <c r="H51" s="906"/>
      <c r="I51" s="906"/>
      <c r="J51" s="906"/>
      <c r="K51" s="906"/>
      <c r="L51" s="906"/>
      <c r="M51" s="906"/>
      <c r="N51" s="906"/>
    </row>
    <row r="52" spans="2:14" ht="39.950000000000003" customHeight="1">
      <c r="B52" s="910"/>
      <c r="C52" s="910"/>
      <c r="D52" s="659"/>
    </row>
  </sheetData>
  <mergeCells count="18">
    <mergeCell ref="B50:C50"/>
    <mergeCell ref="D50:N50"/>
    <mergeCell ref="B51:C51"/>
    <mergeCell ref="D51:N51"/>
    <mergeCell ref="B52:C52"/>
    <mergeCell ref="B48:C48"/>
    <mergeCell ref="D49:N49"/>
    <mergeCell ref="B26:C26"/>
    <mergeCell ref="D26:I26"/>
    <mergeCell ref="B27:C27"/>
    <mergeCell ref="D27:I27"/>
    <mergeCell ref="B28:C28"/>
    <mergeCell ref="D28:I28"/>
    <mergeCell ref="B29:C29"/>
    <mergeCell ref="D29:I29"/>
    <mergeCell ref="B30:C30"/>
    <mergeCell ref="D30:I30"/>
    <mergeCell ref="D48:O48"/>
  </mergeCells>
  <conditionalFormatting sqref="D6:D12">
    <cfRule type="dataBar" priority="4">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3">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3">
    <cfRule type="dataBar" priority="2">
      <dataBar>
        <cfvo type="min"/>
        <cfvo type="max"/>
        <color rgb="FF63C384"/>
      </dataBar>
      <extLst>
        <ext xmlns:x14="http://schemas.microsoft.com/office/spreadsheetml/2009/9/main" uri="{B025F937-C7B1-47D3-B67F-A62EFF666E3E}">
          <x14:id>{8289347D-B214-462A-80A7-26906AF72159}</x14:id>
        </ext>
      </extLst>
    </cfRule>
  </conditionalFormatting>
  <conditionalFormatting sqref="K6:K12">
    <cfRule type="dataBar" priority="11">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7:K22">
    <cfRule type="dataBar" priority="8">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L12">
    <cfRule type="dataBar" priority="10">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7">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9">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6">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1">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5">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D34:D43</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L6:L12</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5"/>
  </sheetPr>
  <dimension ref="B2:R73"/>
  <sheetViews>
    <sheetView showGridLines="0" topLeftCell="A67" zoomScale="85" zoomScaleNormal="78" workbookViewId="0">
      <selection activeCell="E28" sqref="E28"/>
    </sheetView>
  </sheetViews>
  <sheetFormatPr defaultRowHeight="14.1"/>
  <cols>
    <col min="1" max="1" width="2.375" customWidth="1"/>
    <col min="2" max="2" width="22" customWidth="1"/>
    <col min="4" max="4" width="11" customWidth="1"/>
    <col min="5" max="5" width="13.25" customWidth="1"/>
    <col min="6" max="16" width="12.625" customWidth="1"/>
    <col min="17" max="17" width="21.75" style="6" customWidth="1"/>
    <col min="18" max="32" width="12.625" customWidth="1"/>
  </cols>
  <sheetData>
    <row r="2" spans="2:18" s="41" customFormat="1" ht="20.100000000000001" customHeight="1">
      <c r="B2" s="40" t="s">
        <v>173</v>
      </c>
      <c r="Q2" s="42"/>
    </row>
    <row r="4" spans="2:18" ht="15.6">
      <c r="B4" s="52" t="s">
        <v>174</v>
      </c>
      <c r="C4" s="56"/>
      <c r="D4" s="56"/>
      <c r="E4" s="52" t="s">
        <v>159</v>
      </c>
      <c r="F4" s="57">
        <v>2025</v>
      </c>
      <c r="G4" s="57">
        <f>+F4+1</f>
        <v>2026</v>
      </c>
      <c r="H4" s="57">
        <f>+G4+1</f>
        <v>2027</v>
      </c>
      <c r="I4" s="57">
        <f t="shared" ref="I4:P4" si="0">+H4+1</f>
        <v>2028</v>
      </c>
      <c r="J4" s="57">
        <f t="shared" si="0"/>
        <v>2029</v>
      </c>
      <c r="K4" s="57">
        <f t="shared" si="0"/>
        <v>2030</v>
      </c>
      <c r="L4" s="57">
        <f t="shared" si="0"/>
        <v>2031</v>
      </c>
      <c r="M4" s="57">
        <f t="shared" si="0"/>
        <v>2032</v>
      </c>
      <c r="N4" s="57">
        <f t="shared" si="0"/>
        <v>2033</v>
      </c>
      <c r="O4" s="57">
        <f t="shared" si="0"/>
        <v>2034</v>
      </c>
      <c r="P4" s="57">
        <f t="shared" si="0"/>
        <v>2035</v>
      </c>
      <c r="Q4" s="58" t="str">
        <f>"CAGR "&amp;$F$4&amp;" - "&amp;$P$4</f>
        <v>CAGR 2025 - 2035</v>
      </c>
      <c r="R4" s="59" t="s">
        <v>175</v>
      </c>
    </row>
    <row r="5" spans="2:18" ht="3.95" customHeight="1">
      <c r="B5" s="53"/>
      <c r="C5" s="53"/>
      <c r="D5" s="53"/>
      <c r="E5" s="53"/>
      <c r="F5" s="53"/>
      <c r="G5" s="53"/>
      <c r="H5" s="53"/>
      <c r="I5" s="53"/>
      <c r="J5" s="53"/>
      <c r="K5" s="53"/>
      <c r="L5" s="53"/>
      <c r="M5" s="53"/>
      <c r="N5" s="53"/>
      <c r="O5" s="53"/>
      <c r="P5" s="53"/>
      <c r="Q5" s="60"/>
      <c r="R5" s="60"/>
    </row>
    <row r="6" spans="2:18">
      <c r="D6" s="61"/>
      <c r="E6" s="62"/>
      <c r="F6" s="658"/>
      <c r="G6" s="658"/>
      <c r="H6" s="658"/>
      <c r="I6" s="658"/>
      <c r="J6" s="658"/>
      <c r="K6" s="658"/>
      <c r="L6" s="658"/>
      <c r="M6" s="658"/>
      <c r="N6" s="658"/>
      <c r="O6" s="658"/>
      <c r="P6" s="658"/>
      <c r="Q6" s="64"/>
      <c r="R6" s="65"/>
    </row>
    <row r="7" spans="2:18">
      <c r="D7" s="61"/>
      <c r="E7" s="62"/>
      <c r="F7" s="658"/>
      <c r="G7" s="658"/>
      <c r="H7" s="658"/>
      <c r="I7" s="658"/>
      <c r="J7" s="658"/>
      <c r="K7" s="658"/>
      <c r="L7" s="658"/>
      <c r="M7" s="658"/>
      <c r="N7" s="658"/>
      <c r="O7" s="658"/>
      <c r="P7" s="658"/>
      <c r="Q7" s="64"/>
      <c r="R7" s="65"/>
    </row>
    <row r="8" spans="2:18">
      <c r="D8" s="61"/>
      <c r="E8" s="62"/>
      <c r="F8" s="63"/>
      <c r="G8" s="63"/>
      <c r="H8" s="63"/>
      <c r="I8" s="63"/>
      <c r="J8" s="63"/>
      <c r="K8" s="63"/>
      <c r="L8" s="63"/>
      <c r="M8" s="63"/>
      <c r="N8" s="63"/>
      <c r="O8" s="63"/>
      <c r="P8" s="63"/>
      <c r="Q8" s="64"/>
      <c r="R8" s="65"/>
    </row>
    <row r="9" spans="2:18">
      <c r="D9" s="61"/>
      <c r="E9" s="62"/>
      <c r="F9" s="62"/>
      <c r="G9" s="62"/>
      <c r="H9" s="62"/>
      <c r="I9" s="62"/>
      <c r="J9" s="62"/>
      <c r="K9" s="62"/>
      <c r="L9" s="62"/>
      <c r="M9" s="62"/>
      <c r="N9" s="62"/>
      <c r="O9" s="62"/>
      <c r="P9" s="62"/>
      <c r="Q9" s="64"/>
      <c r="R9" s="65"/>
    </row>
    <row r="10" spans="2:18">
      <c r="D10" s="61"/>
      <c r="E10" s="62"/>
      <c r="F10" s="62"/>
      <c r="G10" s="62"/>
      <c r="H10" s="62"/>
      <c r="I10" s="62"/>
      <c r="J10" s="62"/>
      <c r="K10" s="62"/>
      <c r="L10" s="62"/>
      <c r="M10" s="62"/>
      <c r="N10" s="62"/>
      <c r="O10" s="62"/>
      <c r="P10" s="62"/>
      <c r="Q10" s="64"/>
      <c r="R10" s="65"/>
    </row>
    <row r="11" spans="2:18">
      <c r="B11" s="1" t="s">
        <v>176</v>
      </c>
      <c r="E11" s="66">
        <f>SUM(E6:E10)</f>
        <v>0</v>
      </c>
      <c r="F11" s="66">
        <f t="shared" ref="F11:P11" si="1">SUMPRODUCT(F6:F10,$E$6:$E$10)</f>
        <v>0</v>
      </c>
      <c r="G11" s="66">
        <f t="shared" si="1"/>
        <v>0</v>
      </c>
      <c r="H11" s="66">
        <f t="shared" si="1"/>
        <v>0</v>
      </c>
      <c r="I11" s="66">
        <f t="shared" si="1"/>
        <v>0</v>
      </c>
      <c r="J11" s="66">
        <f t="shared" si="1"/>
        <v>0</v>
      </c>
      <c r="K11" s="66">
        <f t="shared" si="1"/>
        <v>0</v>
      </c>
      <c r="L11" s="66">
        <f t="shared" si="1"/>
        <v>0</v>
      </c>
      <c r="M11" s="66">
        <f t="shared" si="1"/>
        <v>0</v>
      </c>
      <c r="N11" s="66">
        <f t="shared" si="1"/>
        <v>0</v>
      </c>
      <c r="O11" s="66">
        <f t="shared" si="1"/>
        <v>0</v>
      </c>
      <c r="P11" s="66">
        <f t="shared" si="1"/>
        <v>0</v>
      </c>
      <c r="Q11" s="67">
        <f t="shared" ref="Q11" si="2">IFERROR(((1+F11)*(1+G11)*(1+H11)*(1+I11)*(1+J11)*(1+K11)*(1+L11)*(1+M11)*(1+N11)*(1+O11)*(1+P11))^(1/COUNT($F$4:$P$4))-1,"")</f>
        <v>0</v>
      </c>
      <c r="R11" s="68"/>
    </row>
    <row r="12" spans="2:18" ht="8.1" customHeight="1"/>
    <row r="13" spans="2:18" ht="15" customHeight="1">
      <c r="B13" s="69" t="s">
        <v>177</v>
      </c>
      <c r="C13" s="70"/>
      <c r="D13" s="70"/>
      <c r="E13" s="69" t="s">
        <v>164</v>
      </c>
      <c r="F13" s="70"/>
      <c r="G13" s="70"/>
      <c r="H13" s="70"/>
      <c r="I13" s="70"/>
      <c r="J13" s="70"/>
      <c r="K13" s="70"/>
      <c r="L13" s="70"/>
      <c r="M13" s="70"/>
      <c r="N13" s="70"/>
      <c r="O13" s="70"/>
      <c r="P13" s="70"/>
      <c r="Q13"/>
      <c r="R13" s="67"/>
    </row>
    <row r="14" spans="2:18" ht="3.95" customHeight="1">
      <c r="B14" s="71"/>
      <c r="C14" s="71"/>
      <c r="D14" s="71"/>
      <c r="E14" s="71"/>
      <c r="F14" s="71"/>
      <c r="G14" s="71"/>
      <c r="H14" s="71"/>
      <c r="I14" s="71"/>
      <c r="J14" s="71"/>
      <c r="K14" s="71"/>
      <c r="L14" s="71"/>
      <c r="M14" s="71"/>
      <c r="N14" s="71"/>
      <c r="O14" s="71"/>
      <c r="P14" s="71"/>
      <c r="Q14" s="67"/>
      <c r="R14" s="67"/>
    </row>
    <row r="15" spans="2:18" ht="39.950000000000003" customHeight="1">
      <c r="B15" s="910"/>
      <c r="C15" s="910"/>
      <c r="D15" s="72"/>
      <c r="E15" s="911"/>
      <c r="F15" s="911"/>
      <c r="G15" s="911"/>
      <c r="H15" s="911"/>
      <c r="I15" s="911"/>
      <c r="J15" s="911"/>
      <c r="K15" s="911"/>
      <c r="L15" s="911"/>
      <c r="M15" s="911"/>
      <c r="N15" s="911"/>
      <c r="O15" s="911"/>
      <c r="P15" s="911"/>
      <c r="Q15" s="67"/>
      <c r="R15" s="1"/>
    </row>
    <row r="16" spans="2:18" ht="39.950000000000003" customHeight="1">
      <c r="B16" s="910"/>
      <c r="C16" s="910"/>
      <c r="D16" s="72"/>
      <c r="E16" s="911"/>
      <c r="F16" s="911"/>
      <c r="G16" s="911"/>
      <c r="H16" s="911"/>
      <c r="I16" s="911"/>
      <c r="J16" s="911"/>
      <c r="K16" s="911"/>
      <c r="L16" s="911"/>
      <c r="M16" s="911"/>
      <c r="N16" s="911"/>
      <c r="O16" s="911"/>
      <c r="P16" s="911"/>
    </row>
    <row r="17" spans="2:16" ht="39.950000000000003" customHeight="1">
      <c r="B17" s="910"/>
      <c r="C17" s="910"/>
      <c r="D17" s="72"/>
      <c r="E17" s="911"/>
      <c r="F17" s="911"/>
      <c r="G17" s="911"/>
      <c r="H17" s="911"/>
      <c r="I17" s="911"/>
      <c r="J17" s="911"/>
      <c r="K17" s="911"/>
      <c r="L17" s="911"/>
      <c r="M17" s="911"/>
      <c r="N17" s="911"/>
      <c r="O17" s="911"/>
      <c r="P17" s="911"/>
    </row>
    <row r="18" spans="2:16" ht="39.950000000000003" customHeight="1">
      <c r="B18" s="910"/>
      <c r="C18" s="910"/>
      <c r="D18" s="72"/>
      <c r="E18" s="911"/>
      <c r="F18" s="911"/>
      <c r="G18" s="911"/>
      <c r="H18" s="911"/>
      <c r="I18" s="911"/>
      <c r="J18" s="911"/>
      <c r="K18" s="911"/>
      <c r="L18" s="911"/>
      <c r="M18" s="911"/>
      <c r="N18" s="911"/>
      <c r="O18" s="911"/>
      <c r="P18" s="911"/>
    </row>
    <row r="19" spans="2:16" ht="8.1" customHeight="1">
      <c r="F19" s="73"/>
      <c r="G19" s="73"/>
      <c r="H19" s="73"/>
      <c r="I19" s="73"/>
      <c r="J19" s="73"/>
      <c r="K19" s="73"/>
      <c r="L19" s="73"/>
      <c r="M19" s="73"/>
      <c r="N19" s="73"/>
      <c r="O19" s="73"/>
      <c r="P19" s="73"/>
    </row>
    <row r="20" spans="2:16" ht="15.6">
      <c r="B20" s="69" t="s">
        <v>178</v>
      </c>
      <c r="C20" s="70"/>
      <c r="D20" s="70"/>
      <c r="E20" s="69" t="s">
        <v>164</v>
      </c>
      <c r="F20" s="70"/>
      <c r="G20" s="70"/>
      <c r="H20" s="70"/>
      <c r="I20" s="70"/>
      <c r="J20" s="70"/>
      <c r="K20" s="70"/>
      <c r="L20" s="70"/>
      <c r="M20" s="70"/>
      <c r="N20" s="70"/>
      <c r="O20" s="70"/>
      <c r="P20" s="70"/>
    </row>
    <row r="21" spans="2:16" ht="3.95" customHeight="1">
      <c r="B21" s="71"/>
      <c r="C21" s="71"/>
      <c r="D21" s="71"/>
      <c r="E21" s="71"/>
      <c r="F21" s="71"/>
      <c r="G21" s="71"/>
      <c r="H21" s="71"/>
      <c r="I21" s="71"/>
      <c r="J21" s="71"/>
      <c r="K21" s="71"/>
      <c r="L21" s="71"/>
      <c r="M21" s="71"/>
      <c r="N21" s="71"/>
      <c r="O21" s="71"/>
      <c r="P21" s="71"/>
    </row>
    <row r="22" spans="2:16" ht="39.950000000000003" customHeight="1">
      <c r="B22" s="910"/>
      <c r="C22" s="910"/>
      <c r="D22" s="72"/>
      <c r="E22" s="911"/>
      <c r="F22" s="911"/>
      <c r="G22" s="911"/>
      <c r="H22" s="911"/>
      <c r="I22" s="911"/>
      <c r="J22" s="911"/>
      <c r="K22" s="911"/>
      <c r="L22" s="911"/>
      <c r="M22" s="911"/>
      <c r="N22" s="911"/>
      <c r="O22" s="911"/>
      <c r="P22" s="911"/>
    </row>
    <row r="23" spans="2:16" ht="39.950000000000003" customHeight="1">
      <c r="B23" s="910"/>
      <c r="C23" s="910"/>
      <c r="D23" s="72"/>
      <c r="E23" s="911"/>
      <c r="F23" s="911"/>
      <c r="G23" s="911"/>
      <c r="H23" s="911"/>
      <c r="I23" s="911"/>
      <c r="J23" s="911"/>
      <c r="K23" s="911"/>
      <c r="L23" s="911"/>
      <c r="M23" s="911"/>
      <c r="N23" s="911"/>
      <c r="O23" s="911"/>
      <c r="P23" s="911"/>
    </row>
    <row r="24" spans="2:16" ht="39.950000000000003" hidden="1" customHeight="1">
      <c r="B24" s="910"/>
      <c r="C24" s="910"/>
      <c r="D24" s="72"/>
      <c r="E24" s="911"/>
      <c r="F24" s="911"/>
      <c r="G24" s="911"/>
      <c r="H24" s="911"/>
      <c r="I24" s="911"/>
      <c r="J24" s="911"/>
      <c r="K24" s="911"/>
      <c r="L24" s="911"/>
      <c r="M24" s="911"/>
      <c r="N24" s="911"/>
      <c r="O24" s="911"/>
      <c r="P24" s="911"/>
    </row>
    <row r="25" spans="2:16" ht="8.1" customHeight="1">
      <c r="B25" s="910"/>
      <c r="C25" s="910"/>
      <c r="D25" s="72"/>
      <c r="E25" s="911"/>
      <c r="F25" s="911"/>
      <c r="G25" s="911"/>
      <c r="H25" s="911"/>
      <c r="I25" s="911"/>
      <c r="J25" s="911"/>
      <c r="K25" s="911"/>
      <c r="L25" s="911"/>
      <c r="M25" s="911"/>
      <c r="N25" s="911"/>
      <c r="O25" s="911"/>
      <c r="P25" s="911"/>
    </row>
    <row r="26" spans="2:16" ht="15.6">
      <c r="B26" s="52" t="s">
        <v>179</v>
      </c>
      <c r="C26" s="56"/>
      <c r="D26" s="56"/>
      <c r="E26" s="52" t="s">
        <v>180</v>
      </c>
      <c r="F26" s="52"/>
      <c r="G26" s="74" t="s">
        <v>181</v>
      </c>
      <c r="H26" s="75" t="s">
        <v>182</v>
      </c>
      <c r="I26" s="57" t="s">
        <v>179</v>
      </c>
      <c r="J26" s="57"/>
      <c r="K26" s="57"/>
      <c r="L26" s="57"/>
      <c r="M26" s="57"/>
      <c r="N26" s="57"/>
      <c r="O26" s="57"/>
      <c r="P26" s="57"/>
    </row>
    <row r="27" spans="2:16" ht="3.95" customHeight="1">
      <c r="B27" s="53"/>
      <c r="C27" s="53"/>
      <c r="D27" s="53"/>
      <c r="E27" s="53"/>
      <c r="F27" s="53"/>
      <c r="G27" s="53"/>
      <c r="H27" s="53"/>
      <c r="I27" s="53"/>
      <c r="J27" s="53"/>
      <c r="K27" s="53"/>
      <c r="L27" s="53"/>
      <c r="M27" s="53"/>
      <c r="N27" s="53"/>
      <c r="O27" s="53"/>
      <c r="P27" s="53"/>
    </row>
    <row r="28" spans="2:16">
      <c r="B28" s="76" t="e" cm="1" vm="1">
        <f t="array" ref="B28">+_FV(#REF!,"Name")</f>
        <v>#VALUE!</v>
      </c>
      <c r="C28" s="76"/>
      <c r="D28" s="76"/>
      <c r="E28" s="77"/>
      <c r="F28" s="77"/>
      <c r="G28" s="78" cm="1">
        <f t="array" ref="G28:G38">TRANSPOSE(Peers!D97:N97)</f>
        <v>436.2</v>
      </c>
      <c r="H28" s="76"/>
      <c r="I28" s="79" t="str">
        <f t="shared" ref="I28:I35" si="3">IFERROR(G28/$G$40,"")</f>
        <v/>
      </c>
    </row>
    <row r="29" spans="2:16">
      <c r="B29" t="e" cm="1" vm="1">
        <f t="array" ref="B29">+_FV(Peers!A8,"Name")</f>
        <v>#VALUE!</v>
      </c>
      <c r="E29" s="80"/>
      <c r="F29" s="80"/>
      <c r="G29" s="81">
        <v>0</v>
      </c>
      <c r="I29" s="82" t="str">
        <f t="shared" si="3"/>
        <v/>
      </c>
    </row>
    <row r="30" spans="2:16">
      <c r="B30" t="e" cm="1" vm="1">
        <f t="array" ref="B30">+_FV(Peers!A9,"Name")</f>
        <v>#VALUE!</v>
      </c>
      <c r="E30" s="80"/>
      <c r="F30" s="80"/>
      <c r="G30" s="81">
        <v>0</v>
      </c>
      <c r="I30" s="82" t="str">
        <f t="shared" si="3"/>
        <v/>
      </c>
    </row>
    <row r="31" spans="2:16">
      <c r="B31" t="e" cm="1" vm="1">
        <f t="array" ref="B31">+_FV(Peers!A10,"Name")</f>
        <v>#VALUE!</v>
      </c>
      <c r="E31" s="80"/>
      <c r="F31" s="80"/>
      <c r="G31" s="81">
        <v>0</v>
      </c>
      <c r="I31" s="82" t="str">
        <f t="shared" si="3"/>
        <v/>
      </c>
    </row>
    <row r="32" spans="2:16">
      <c r="B32" t="e" cm="1" vm="1">
        <f t="array" ref="B32">+_FV(Peers!A11,"Name")</f>
        <v>#VALUE!</v>
      </c>
      <c r="E32" s="80"/>
      <c r="F32" s="80"/>
      <c r="G32" s="81">
        <v>0</v>
      </c>
      <c r="I32" s="82" t="str">
        <f t="shared" si="3"/>
        <v/>
      </c>
    </row>
    <row r="33" spans="2:16">
      <c r="B33" t="e" cm="1" vm="1">
        <f t="array" ref="B33">+_FV(Peers!A12,"Name")</f>
        <v>#VALUE!</v>
      </c>
      <c r="E33" s="80"/>
      <c r="F33" s="80"/>
      <c r="G33" s="81">
        <v>0</v>
      </c>
      <c r="I33" s="82" t="str">
        <f t="shared" si="3"/>
        <v/>
      </c>
    </row>
    <row r="34" spans="2:16">
      <c r="B34" t="e" cm="1" vm="1">
        <f t="array" ref="B34">+_FV(Peers!A13,"Name")</f>
        <v>#VALUE!</v>
      </c>
      <c r="E34" s="80"/>
      <c r="F34" s="80"/>
      <c r="G34" s="81">
        <v>0</v>
      </c>
      <c r="I34" s="82" t="str">
        <f t="shared" si="3"/>
        <v/>
      </c>
    </row>
    <row r="35" spans="2:16">
      <c r="B35" t="e" cm="1" vm="1">
        <f t="array" ref="B35">+_FV(Peers!A14,"Name")</f>
        <v>#VALUE!</v>
      </c>
      <c r="E35" s="80"/>
      <c r="F35" s="80"/>
      <c r="G35" s="81">
        <v>0</v>
      </c>
      <c r="I35" s="82" t="str">
        <f t="shared" si="3"/>
        <v/>
      </c>
    </row>
    <row r="36" spans="2:16">
      <c r="B36" t="e" cm="1" vm="1">
        <f t="array" ref="B36">+_FV(Peers!A15,"Name")</f>
        <v>#VALUE!</v>
      </c>
      <c r="E36" s="80"/>
      <c r="F36" s="80"/>
      <c r="G36" s="81">
        <v>0</v>
      </c>
      <c r="I36" s="82" t="str">
        <f>IFERROR(G36/$G$40,"")</f>
        <v/>
      </c>
    </row>
    <row r="37" spans="2:16">
      <c r="B37" t="e" cm="1" vm="1">
        <f t="array" ref="B37">+_FV(Peers!A16,"Name")</f>
        <v>#VALUE!</v>
      </c>
      <c r="E37" s="80"/>
      <c r="F37" s="80"/>
      <c r="G37" s="81">
        <v>0</v>
      </c>
      <c r="I37" s="83" t="str">
        <f>IFERROR(G37/$G$40,"")</f>
        <v/>
      </c>
    </row>
    <row r="38" spans="2:16">
      <c r="B38" t="e" cm="1" vm="1">
        <f t="array" ref="B38">+_FV(Peers!A17,"Name")</f>
        <v>#VALUE!</v>
      </c>
      <c r="E38" s="80"/>
      <c r="F38" s="80"/>
      <c r="G38" s="81">
        <v>0</v>
      </c>
      <c r="I38" s="83" t="str">
        <f>IFERROR(G38/$G$40,"")</f>
        <v/>
      </c>
    </row>
    <row r="39" spans="2:16">
      <c r="B39" s="38" t="s">
        <v>183</v>
      </c>
      <c r="C39" s="38"/>
      <c r="D39" s="38"/>
      <c r="E39" s="84" t="s">
        <v>184</v>
      </c>
      <c r="F39" s="38"/>
      <c r="G39" s="85">
        <f>G40-SUM(G28:G38)</f>
        <v>-436.2</v>
      </c>
      <c r="H39" s="38"/>
      <c r="I39" s="86" t="str">
        <f t="shared" ref="I39" si="4">IFERROR(G39/$G$40,"")</f>
        <v/>
      </c>
    </row>
    <row r="40" spans="2:16">
      <c r="B40" s="1" t="s">
        <v>185</v>
      </c>
      <c r="E40" s="87" t="s">
        <v>184</v>
      </c>
      <c r="G40" s="81"/>
      <c r="H40" s="27"/>
      <c r="I40" s="88">
        <v>1</v>
      </c>
    </row>
    <row r="41" spans="2:16" ht="8.1" customHeight="1"/>
    <row r="42" spans="2:16" ht="15.6">
      <c r="B42" s="52" t="s">
        <v>186</v>
      </c>
      <c r="C42" s="56"/>
      <c r="D42" s="52"/>
      <c r="E42" s="52" t="s">
        <v>187</v>
      </c>
      <c r="F42" s="57"/>
      <c r="G42" s="57"/>
      <c r="H42" s="913" t="s">
        <v>188</v>
      </c>
      <c r="I42" s="913"/>
      <c r="J42" s="57"/>
      <c r="K42" s="57"/>
      <c r="P42" s="89"/>
    </row>
    <row r="43" spans="2:16" ht="3.95" customHeight="1">
      <c r="B43" s="53"/>
      <c r="C43" s="53"/>
      <c r="D43" s="53"/>
      <c r="E43" s="53"/>
      <c r="F43" s="53"/>
      <c r="G43" s="53"/>
      <c r="H43" s="53"/>
      <c r="I43" s="53"/>
      <c r="J43" s="53"/>
      <c r="K43" s="53"/>
    </row>
    <row r="44" spans="2:16">
      <c r="B44" s="1" t="s">
        <v>189</v>
      </c>
      <c r="E44" s="398" t="str">
        <f>IFERROR(AVERAGE(E45:E50),"")</f>
        <v/>
      </c>
    </row>
    <row r="45" spans="2:16">
      <c r="B45" s="25" t="s">
        <v>190</v>
      </c>
      <c r="E45" s="91"/>
    </row>
    <row r="46" spans="2:16">
      <c r="B46" s="25" t="s">
        <v>191</v>
      </c>
      <c r="E46" s="91"/>
    </row>
    <row r="47" spans="2:16">
      <c r="B47" s="25" t="s">
        <v>192</v>
      </c>
      <c r="E47" s="91"/>
    </row>
    <row r="48" spans="2:16">
      <c r="B48" s="25" t="s">
        <v>193</v>
      </c>
      <c r="E48" s="91"/>
    </row>
    <row r="49" spans="2:5">
      <c r="B49" s="25" t="s">
        <v>194</v>
      </c>
      <c r="E49" s="91"/>
    </row>
    <row r="50" spans="2:5">
      <c r="B50" s="25" t="s">
        <v>195</v>
      </c>
      <c r="E50" s="91"/>
    </row>
    <row r="51" spans="2:5">
      <c r="B51" s="1" t="s">
        <v>196</v>
      </c>
      <c r="E51" s="90" t="str">
        <f>IFERROR(AVERAGE(E52:E56),"")</f>
        <v/>
      </c>
    </row>
    <row r="52" spans="2:5">
      <c r="B52" s="25" t="s">
        <v>197</v>
      </c>
      <c r="E52" s="91"/>
    </row>
    <row r="53" spans="2:5">
      <c r="B53" s="25" t="s">
        <v>198</v>
      </c>
      <c r="E53" s="91"/>
    </row>
    <row r="54" spans="2:5">
      <c r="B54" s="25" t="s">
        <v>199</v>
      </c>
      <c r="E54" s="91"/>
    </row>
    <row r="55" spans="2:5">
      <c r="B55" s="25" t="s">
        <v>200</v>
      </c>
      <c r="E55" s="91"/>
    </row>
    <row r="56" spans="2:5">
      <c r="B56" s="25" t="s">
        <v>201</v>
      </c>
      <c r="E56" s="91"/>
    </row>
    <row r="57" spans="2:5">
      <c r="B57" s="1" t="s">
        <v>202</v>
      </c>
      <c r="E57" s="90" t="str">
        <f>IFERROR(AVERAGE(E58:E62),"")</f>
        <v/>
      </c>
    </row>
    <row r="58" spans="2:5">
      <c r="B58" s="25" t="s">
        <v>203</v>
      </c>
      <c r="E58" s="91"/>
    </row>
    <row r="59" spans="2:5">
      <c r="B59" s="25" t="s">
        <v>204</v>
      </c>
      <c r="E59" s="91"/>
    </row>
    <row r="60" spans="2:5">
      <c r="B60" s="25" t="s">
        <v>195</v>
      </c>
      <c r="E60" s="91"/>
    </row>
    <row r="61" spans="2:5">
      <c r="B61" s="25" t="s">
        <v>205</v>
      </c>
      <c r="E61" s="91"/>
    </row>
    <row r="62" spans="2:5">
      <c r="B62" s="25" t="s">
        <v>206</v>
      </c>
      <c r="E62" s="91"/>
    </row>
    <row r="63" spans="2:5">
      <c r="B63" s="1" t="s">
        <v>207</v>
      </c>
      <c r="E63" s="90" t="str">
        <f>IFERROR(AVERAGE(E64:E68),"")</f>
        <v/>
      </c>
    </row>
    <row r="64" spans="2:5">
      <c r="B64" s="25" t="s">
        <v>208</v>
      </c>
      <c r="E64" s="91"/>
    </row>
    <row r="65" spans="2:5">
      <c r="B65" s="25" t="s">
        <v>209</v>
      </c>
      <c r="E65" s="91"/>
    </row>
    <row r="66" spans="2:5">
      <c r="B66" s="25" t="s">
        <v>210</v>
      </c>
      <c r="E66" s="91"/>
    </row>
    <row r="67" spans="2:5">
      <c r="B67" s="25" t="s">
        <v>211</v>
      </c>
      <c r="E67" s="91"/>
    </row>
    <row r="68" spans="2:5">
      <c r="B68" s="25" t="s">
        <v>212</v>
      </c>
      <c r="E68" s="91"/>
    </row>
    <row r="69" spans="2:5">
      <c r="B69" s="1" t="s">
        <v>213</v>
      </c>
      <c r="E69" s="90" t="str">
        <f>IFERROR(AVERAGE(E70:E74),"")</f>
        <v/>
      </c>
    </row>
    <row r="70" spans="2:5">
      <c r="B70" s="25" t="s">
        <v>214</v>
      </c>
      <c r="E70" s="91"/>
    </row>
    <row r="71" spans="2:5">
      <c r="B71" s="25" t="s">
        <v>215</v>
      </c>
      <c r="E71" s="91"/>
    </row>
    <row r="72" spans="2:5">
      <c r="B72" s="25" t="s">
        <v>216</v>
      </c>
      <c r="E72" s="91"/>
    </row>
    <row r="73" spans="2:5">
      <c r="B73" s="25" t="s">
        <v>217</v>
      </c>
      <c r="E73" s="91"/>
    </row>
  </sheetData>
  <mergeCells count="17">
    <mergeCell ref="B18:C18"/>
    <mergeCell ref="E18:P18"/>
    <mergeCell ref="B15:C15"/>
    <mergeCell ref="E15:P15"/>
    <mergeCell ref="B16:C16"/>
    <mergeCell ref="E16:P16"/>
    <mergeCell ref="B17:C17"/>
    <mergeCell ref="E17:P17"/>
    <mergeCell ref="B22:C22"/>
    <mergeCell ref="E22:P22"/>
    <mergeCell ref="B23:C23"/>
    <mergeCell ref="E23:P23"/>
    <mergeCell ref="H42:I42"/>
    <mergeCell ref="B24:C24"/>
    <mergeCell ref="E24:P24"/>
    <mergeCell ref="B25:C25"/>
    <mergeCell ref="E25:P25"/>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5" tint="0.59999389629810485"/>
  </sheetPr>
  <dimension ref="A1:AZ143"/>
  <sheetViews>
    <sheetView showGridLines="0" topLeftCell="A8" zoomScale="59" zoomScaleNormal="68" workbookViewId="0">
      <pane xSplit="3" topLeftCell="D1" activePane="topRight" state="frozen"/>
      <selection pane="topRight" activeCell="D74" sqref="D74"/>
    </sheetView>
  </sheetViews>
  <sheetFormatPr defaultColWidth="9" defaultRowHeight="14.25" customHeight="1"/>
  <cols>
    <col min="1" max="1" width="7.375" style="375" bestFit="1" customWidth="1"/>
    <col min="2" max="2" width="31" style="375" customWidth="1"/>
    <col min="3" max="3" width="6.375" style="375" customWidth="1"/>
    <col min="4" max="15" width="19.625" style="375" customWidth="1"/>
    <col min="16" max="16384" width="9" style="375"/>
  </cols>
  <sheetData>
    <row r="1" spans="1:52" s="374" customFormat="1" ht="12" customHeight="1">
      <c r="A1" s="399"/>
      <c r="B1" s="399"/>
      <c r="C1" s="400"/>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399"/>
      <c r="AK1" s="399"/>
      <c r="AL1" s="399"/>
      <c r="AM1" s="399"/>
      <c r="AN1" s="399"/>
      <c r="AO1" s="399"/>
      <c r="AP1" s="399"/>
      <c r="AQ1" s="399"/>
      <c r="AR1" s="399"/>
      <c r="AS1" s="399"/>
      <c r="AT1" s="399"/>
      <c r="AU1" s="399"/>
      <c r="AV1" s="399"/>
      <c r="AW1" s="399"/>
      <c r="AX1" s="399"/>
      <c r="AY1" s="399"/>
      <c r="AZ1" s="399"/>
    </row>
    <row r="2" spans="1:52" s="374" customFormat="1" ht="14.1">
      <c r="A2" s="399"/>
      <c r="B2" s="401"/>
      <c r="C2" s="401"/>
      <c r="D2" s="915"/>
      <c r="E2" s="916"/>
      <c r="F2" s="506"/>
      <c r="G2" s="495"/>
      <c r="H2" s="506"/>
      <c r="I2" s="495"/>
      <c r="J2" s="506"/>
      <c r="K2" s="521"/>
      <c r="L2" s="527"/>
      <c r="M2" s="521"/>
      <c r="N2" s="401"/>
      <c r="O2" s="401"/>
      <c r="P2" s="403"/>
      <c r="Q2" s="403"/>
      <c r="R2" s="403"/>
      <c r="S2" s="399"/>
      <c r="T2" s="403"/>
      <c r="U2" s="403"/>
      <c r="V2" s="399"/>
      <c r="W2" s="404"/>
      <c r="X2" s="404"/>
      <c r="Y2" s="404"/>
      <c r="Z2" s="404"/>
      <c r="AA2" s="404"/>
      <c r="AB2" s="404"/>
      <c r="AC2" s="399"/>
      <c r="AD2" s="404"/>
      <c r="AE2" s="404"/>
      <c r="AF2" s="404"/>
      <c r="AG2" s="404"/>
      <c r="AH2" s="404"/>
      <c r="AI2" s="399"/>
      <c r="AJ2" s="404"/>
      <c r="AK2" s="405"/>
      <c r="AL2" s="405"/>
      <c r="AM2" s="405"/>
      <c r="AN2" s="405"/>
      <c r="AO2" s="399"/>
      <c r="AP2" s="404"/>
      <c r="AQ2" s="399"/>
      <c r="AR2" s="399"/>
      <c r="AS2" s="399"/>
      <c r="AT2" s="399"/>
      <c r="AU2" s="399"/>
      <c r="AV2" s="399"/>
      <c r="AW2" s="399"/>
      <c r="AX2" s="399"/>
      <c r="AY2" s="399"/>
      <c r="AZ2" s="399"/>
    </row>
    <row r="3" spans="1:52" s="374" customFormat="1" ht="14.1">
      <c r="A3" s="399"/>
      <c r="B3" s="401"/>
      <c r="C3" s="401"/>
      <c r="D3" s="919" t="s">
        <v>218</v>
      </c>
      <c r="E3" s="918"/>
      <c r="F3" s="917" t="s">
        <v>36</v>
      </c>
      <c r="G3" s="918"/>
      <c r="H3" s="917" t="s">
        <v>219</v>
      </c>
      <c r="I3" s="918"/>
      <c r="J3" s="917" t="s">
        <v>220</v>
      </c>
      <c r="K3" s="918"/>
      <c r="L3" s="917" t="s">
        <v>14</v>
      </c>
      <c r="M3" s="918"/>
      <c r="N3" s="919" t="s">
        <v>18</v>
      </c>
      <c r="O3" s="919"/>
      <c r="P3" s="403"/>
      <c r="Q3" s="615"/>
      <c r="R3" s="403"/>
      <c r="S3" s="403"/>
      <c r="T3" s="403"/>
      <c r="U3" s="403"/>
      <c r="V3" s="403"/>
      <c r="W3" s="403"/>
      <c r="X3" s="403"/>
      <c r="Y3" s="403"/>
      <c r="Z3" s="403"/>
      <c r="AA3" s="403"/>
      <c r="AB3" s="403"/>
      <c r="AC3" s="403"/>
      <c r="AD3" s="403"/>
      <c r="AE3" s="403"/>
      <c r="AF3" s="403"/>
      <c r="AG3" s="403"/>
      <c r="AH3" s="403"/>
      <c r="AI3" s="403"/>
      <c r="AJ3" s="403"/>
      <c r="AK3" s="403"/>
      <c r="AL3" s="403"/>
      <c r="AM3" s="403"/>
      <c r="AN3" s="403"/>
      <c r="AO3" s="399"/>
      <c r="AP3" s="403"/>
      <c r="AQ3" s="399"/>
      <c r="AR3" s="399"/>
      <c r="AS3" s="399"/>
      <c r="AT3" s="399"/>
      <c r="AU3" s="399"/>
      <c r="AV3" s="399"/>
      <c r="AW3" s="399"/>
      <c r="AX3" s="399"/>
      <c r="AY3" s="399"/>
      <c r="AZ3" s="399"/>
    </row>
    <row r="4" spans="1:52" s="374" customFormat="1" ht="14.1">
      <c r="A4" s="399"/>
      <c r="B4" s="401" t="s">
        <v>221</v>
      </c>
      <c r="C4" s="401" t="s">
        <v>222</v>
      </c>
      <c r="D4" s="402" t="str">
        <f>+Inputs!O4&amp;"-"&amp;Inputs!P4</f>
        <v>2022-2023</v>
      </c>
      <c r="E4" s="495" t="str">
        <f>+Inputs!P4&amp;"-"&amp;Inputs!Q4</f>
        <v>2023-2024</v>
      </c>
      <c r="F4" s="506">
        <v>2023</v>
      </c>
      <c r="G4" s="495">
        <v>2024</v>
      </c>
      <c r="H4" s="506" t="str">
        <f>+Inputs!O4&amp;"-"&amp;Inputs!P4</f>
        <v>2022-2023</v>
      </c>
      <c r="I4" s="495" t="str">
        <f>+Inputs!P4&amp;"-"&amp;Inputs!Q4</f>
        <v>2023-2024</v>
      </c>
      <c r="J4" s="506">
        <v>2023</v>
      </c>
      <c r="K4" s="495">
        <v>2024</v>
      </c>
      <c r="L4" s="506">
        <v>2023</v>
      </c>
      <c r="M4" s="495">
        <v>2024</v>
      </c>
      <c r="N4" s="402">
        <v>2023</v>
      </c>
      <c r="O4" s="402">
        <v>2024</v>
      </c>
      <c r="P4" s="403"/>
      <c r="Q4" s="615"/>
      <c r="R4" s="403"/>
      <c r="S4" s="403"/>
      <c r="T4" s="403"/>
      <c r="U4" s="403"/>
      <c r="V4" s="403"/>
      <c r="W4" s="403"/>
      <c r="X4" s="403"/>
      <c r="Y4" s="403"/>
      <c r="Z4" s="403"/>
      <c r="AA4" s="403"/>
      <c r="AB4" s="403"/>
      <c r="AC4" s="403"/>
      <c r="AD4" s="403"/>
      <c r="AE4" s="403"/>
      <c r="AF4" s="403"/>
      <c r="AG4" s="403"/>
      <c r="AH4" s="403"/>
      <c r="AI4" s="403"/>
      <c r="AJ4" s="403"/>
      <c r="AK4" s="403"/>
      <c r="AL4" s="403"/>
      <c r="AM4" s="403"/>
      <c r="AN4" s="403"/>
      <c r="AO4" s="399"/>
      <c r="AP4" s="403"/>
      <c r="AQ4" s="399"/>
      <c r="AR4" s="399"/>
      <c r="AS4" s="399"/>
      <c r="AT4" s="399"/>
      <c r="AU4" s="399"/>
      <c r="AV4" s="399"/>
      <c r="AW4" s="399"/>
      <c r="AX4" s="399"/>
      <c r="AY4" s="399"/>
      <c r="AZ4" s="399"/>
    </row>
    <row r="5" spans="1:52" s="374" customFormat="1" ht="3.75" customHeight="1">
      <c r="A5" s="399"/>
      <c r="B5" s="406"/>
      <c r="C5" s="406"/>
      <c r="D5" s="406"/>
      <c r="E5" s="496"/>
      <c r="F5" s="507"/>
      <c r="G5" s="496"/>
      <c r="H5" s="507"/>
      <c r="I5" s="496"/>
      <c r="J5" s="507"/>
      <c r="K5" s="496"/>
      <c r="L5" s="507"/>
      <c r="M5" s="496"/>
      <c r="N5" s="406"/>
      <c r="O5" s="406"/>
      <c r="P5" s="407"/>
      <c r="Q5" s="615"/>
      <c r="R5" s="407"/>
      <c r="S5" s="407"/>
      <c r="T5" s="407"/>
      <c r="U5" s="407"/>
      <c r="V5" s="407"/>
      <c r="W5" s="407"/>
      <c r="X5" s="407"/>
      <c r="Y5" s="407"/>
      <c r="Z5" s="407"/>
      <c r="AA5" s="407"/>
      <c r="AB5" s="407"/>
      <c r="AC5" s="407"/>
      <c r="AD5" s="407"/>
      <c r="AE5" s="407"/>
      <c r="AF5" s="407"/>
      <c r="AG5" s="407"/>
      <c r="AH5" s="407"/>
      <c r="AI5" s="407"/>
      <c r="AJ5" s="407"/>
      <c r="AK5" s="407"/>
      <c r="AL5" s="407"/>
      <c r="AM5" s="407"/>
      <c r="AN5" s="407"/>
      <c r="AO5" s="407"/>
      <c r="AP5" s="407"/>
      <c r="AQ5" s="407"/>
      <c r="AR5" s="407"/>
      <c r="AS5" s="407"/>
      <c r="AT5" s="407"/>
      <c r="AU5" s="407"/>
      <c r="AV5" s="407"/>
      <c r="AW5" s="407"/>
      <c r="AX5" s="407"/>
      <c r="AY5" s="407"/>
      <c r="AZ5" s="407"/>
    </row>
    <row r="6" spans="1:52" s="383" customFormat="1" ht="17.25" customHeight="1">
      <c r="A6" s="408" t="e">
        <f>+D91</f>
        <v>#REF!</v>
      </c>
      <c r="B6" s="409" t="str" cm="1">
        <f t="array" ref="B6">IFERROR(_FV(A6,"Name"),"")</f>
        <v/>
      </c>
      <c r="C6" s="410" t="str" cm="1">
        <f t="array" ref="C6">IFERROR(_FV(A6,"Ticker symbol",TRUE),"")</f>
        <v/>
      </c>
      <c r="D6" s="497">
        <f>IFERROR(D94/D93-1,"")</f>
        <v>0.15924170616113731</v>
      </c>
      <c r="E6" s="498">
        <f>IFERROR(D97/D94-1,"")</f>
        <v>0.78331970564186437</v>
      </c>
      <c r="F6" s="508">
        <f>IFERROR(D95/D94,"")</f>
        <v>-0.7277187244480785</v>
      </c>
      <c r="G6" s="509">
        <f>IFERROR(D100/D97,"")</f>
        <v>-0.41746905089408537</v>
      </c>
      <c r="H6" s="515">
        <f>IFERROR(D96/D94,"")</f>
        <v>-0.63041700735895334</v>
      </c>
      <c r="I6" s="498">
        <f>IFERROR(D105/D97,"")</f>
        <v>-0.34555249885373684</v>
      </c>
      <c r="J6" s="545" t="str" cm="1">
        <f t="array" ref="J6">IFERROR((_FV(A6,"Market cap",TRUE)/1000000+D$121-D$111)/D$94,"")</f>
        <v/>
      </c>
      <c r="K6" s="546" t="str" cm="1">
        <f t="array" ref="K6">IFERROR((_FV(A6,"Market cap",TRUE)/1000000+D$121-D$111)/D$97,"")</f>
        <v/>
      </c>
      <c r="L6" s="547" t="str" cm="1">
        <f t="array" ref="L6">+IFERROR((_FV(A6,"Market cap",TRUE)/1000000+D$121-D$111)/D$95,"")</f>
        <v/>
      </c>
      <c r="M6" s="548" t="str" cm="1">
        <f t="array" ref="M6">IFERROR((_FV(A6,"Market cap",TRUE)/1000000+D$121-D$111)/D$100,"")</f>
        <v/>
      </c>
      <c r="N6" s="549" t="str" cm="1">
        <f t="array" ref="N6">IFERROR((_FV(A6,"Market cap",TRUE)/1000000)/D$96,"")</f>
        <v/>
      </c>
      <c r="O6" s="550" t="str" cm="1">
        <f t="array" ref="O6">IFERROR((_FV(A6,"Market cap",TRUE)/1000000)/D$105,"")</f>
        <v/>
      </c>
      <c r="P6" s="412"/>
      <c r="Q6" s="615"/>
      <c r="R6" s="415"/>
      <c r="S6" s="416"/>
      <c r="T6" s="415"/>
      <c r="U6" s="415"/>
      <c r="V6" s="416"/>
      <c r="W6" s="415"/>
      <c r="X6" s="415"/>
      <c r="Y6" s="415"/>
      <c r="Z6" s="415"/>
      <c r="AA6" s="415"/>
      <c r="AB6" s="416"/>
      <c r="AC6" s="416"/>
      <c r="AD6" s="411"/>
      <c r="AE6" s="411"/>
      <c r="AF6" s="411"/>
      <c r="AG6" s="411"/>
      <c r="AH6" s="411"/>
      <c r="AI6" s="416"/>
      <c r="AJ6" s="416"/>
      <c r="AK6" s="416"/>
      <c r="AL6" s="417"/>
      <c r="AM6" s="418"/>
      <c r="AN6" s="419"/>
      <c r="AO6" s="416"/>
      <c r="AP6" s="416"/>
    </row>
    <row r="7" spans="1:52" ht="3.75" customHeight="1">
      <c r="A7" s="408"/>
      <c r="B7" s="420"/>
      <c r="C7" s="421"/>
      <c r="E7" s="499"/>
      <c r="F7" s="510"/>
      <c r="G7" s="511"/>
      <c r="H7" s="516"/>
      <c r="I7" s="517"/>
      <c r="J7" s="516"/>
      <c r="K7" s="517"/>
      <c r="L7" s="530"/>
      <c r="M7" s="531"/>
      <c r="N7" s="425"/>
      <c r="O7" s="426"/>
      <c r="P7" s="423"/>
      <c r="Q7" s="423"/>
      <c r="R7" s="427"/>
      <c r="S7" s="426"/>
      <c r="T7" s="427"/>
      <c r="U7" s="427"/>
      <c r="V7" s="426"/>
      <c r="W7" s="427"/>
      <c r="X7" s="427"/>
      <c r="Y7" s="427"/>
      <c r="Z7" s="427"/>
      <c r="AA7" s="427"/>
      <c r="AB7" s="426"/>
      <c r="AC7" s="426"/>
      <c r="AD7" s="422"/>
      <c r="AE7" s="422"/>
      <c r="AF7" s="422"/>
      <c r="AG7" s="422"/>
      <c r="AH7" s="422"/>
      <c r="AI7" s="426"/>
      <c r="AJ7" s="426"/>
      <c r="AK7" s="426"/>
      <c r="AL7" s="428"/>
      <c r="AM7" s="429"/>
      <c r="AN7" s="430"/>
      <c r="AO7" s="426"/>
      <c r="AP7" s="426"/>
    </row>
    <row r="8" spans="1:52" s="377" customFormat="1" ht="17.25" customHeight="1">
      <c r="A8" s="408" t="str">
        <f>+E91</f>
        <v>PEER 1</v>
      </c>
      <c r="B8" s="409" t="str" cm="1">
        <f t="array" ref="B8">IFERROR(_FV(A8,"Name"),"")</f>
        <v/>
      </c>
      <c r="C8" s="410" t="str" cm="1">
        <f t="array" ref="C8">+IFERROR(_FV(A8,"Ticker symbol",TRUE),"")</f>
        <v/>
      </c>
      <c r="D8" s="500" t="str">
        <f>+IFERROR(E94/E93-1,"")</f>
        <v/>
      </c>
      <c r="E8" s="501" t="str">
        <f>IFERROR(E97/E94-1,"")</f>
        <v/>
      </c>
      <c r="F8" s="512" t="str">
        <f>IFERROR(E95/E94,"")</f>
        <v/>
      </c>
      <c r="G8" s="501" t="str">
        <f>+IFERROR(E100/E97,"")</f>
        <v/>
      </c>
      <c r="H8" s="512" t="str">
        <f>IFERROR(E96/E94,"")</f>
        <v/>
      </c>
      <c r="I8" s="501" t="str">
        <f>+IFERROR(E105/E97,"")</f>
        <v/>
      </c>
      <c r="J8" s="522" t="str" cm="1">
        <f t="array" ref="J8">+IFERROR((_FV(A8,"Market cap",TRUE)/1000000+E$121-E$111)/E$94,"")</f>
        <v/>
      </c>
      <c r="K8" s="523" t="str" cm="1">
        <f t="array" ref="K8">IFERROR(+(_FV(A8,"Market cap",TRUE)/1000000+E$121-E$111)/E$97,"")</f>
        <v/>
      </c>
      <c r="L8" s="528" t="str" cm="1">
        <f t="array" ref="L8">IFERROR(+(_FV(A8,"Market cap",TRUE)/1000000+E$121-E$111)/E$95,"")</f>
        <v/>
      </c>
      <c r="M8" s="529" t="str" cm="1">
        <f t="array" ref="M8">IFERROR(+(_FV(A8,"Market cap",TRUE)/1000000+E$121-E$111)/E$100,"")</f>
        <v/>
      </c>
      <c r="N8" s="414" t="str" cm="1">
        <f t="array" ref="N8">IFERROR(+(_FV(A8,"Market cap",TRUE)/1000000)/E$96,"")</f>
        <v/>
      </c>
      <c r="O8" s="413" t="str" cm="1">
        <f t="array" ref="O8">IFERROR(+(_FV(A8,"Market cap",TRUE)/1000000)/E$105,"")</f>
        <v/>
      </c>
      <c r="P8" s="412"/>
      <c r="Q8" s="412"/>
      <c r="R8" s="415"/>
      <c r="S8" s="416"/>
      <c r="T8" s="415"/>
      <c r="U8" s="415"/>
      <c r="V8" s="416"/>
      <c r="W8" s="415"/>
      <c r="X8" s="415"/>
      <c r="Y8" s="415"/>
      <c r="Z8" s="415"/>
      <c r="AA8" s="415"/>
      <c r="AB8" s="416"/>
      <c r="AC8" s="416"/>
      <c r="AD8" s="411"/>
      <c r="AE8" s="411"/>
      <c r="AF8" s="411"/>
      <c r="AG8" s="411"/>
      <c r="AH8" s="411"/>
      <c r="AI8" s="416"/>
      <c r="AJ8" s="416"/>
      <c r="AK8" s="416"/>
      <c r="AL8" s="417"/>
      <c r="AM8" s="418"/>
      <c r="AN8" s="419"/>
      <c r="AO8" s="416"/>
      <c r="AP8" s="416"/>
      <c r="AQ8" s="408"/>
      <c r="AR8" s="408"/>
      <c r="AS8" s="408"/>
      <c r="AT8" s="408"/>
      <c r="AU8" s="408"/>
      <c r="AV8" s="408"/>
      <c r="AW8" s="408"/>
      <c r="AX8" s="408"/>
      <c r="AY8" s="408"/>
      <c r="AZ8" s="408"/>
    </row>
    <row r="9" spans="1:52" s="377" customFormat="1" ht="17.25" customHeight="1">
      <c r="A9" s="431" t="str">
        <f>+F91</f>
        <v>PEER 2</v>
      </c>
      <c r="B9" s="409" t="str" cm="1">
        <f t="array" ref="B9">IFERROR(_FV(A9,"Name"),"")</f>
        <v/>
      </c>
      <c r="C9" s="410" t="str" cm="1">
        <f t="array" ref="C9">+IFERROR(_FV(A9,"Ticker symbol",TRUE),"")</f>
        <v/>
      </c>
      <c r="D9" s="500" t="str">
        <f>IFERROR(F94/F93-1,"")</f>
        <v/>
      </c>
      <c r="E9" s="501" t="str">
        <f>IFERROR(+F97/F94-1,"")</f>
        <v/>
      </c>
      <c r="F9" s="512" t="str">
        <f>IFERROR(F95/F94,"")</f>
        <v/>
      </c>
      <c r="G9" s="501" t="str">
        <f>IFERROR(F100/F97,"")</f>
        <v/>
      </c>
      <c r="H9" s="512" t="str">
        <f>IFERROR(F96/F94,"")</f>
        <v/>
      </c>
      <c r="I9" s="501" t="str">
        <f>+IFERROR(F105/F97,"")</f>
        <v/>
      </c>
      <c r="J9" s="522" t="str" cm="1">
        <f t="array" ref="J9">IFERROR(+(_FV(A9,"Market cap",TRUE)/1000000+F$121-F$111)/F$94,"")</f>
        <v/>
      </c>
      <c r="K9" s="523" t="str" cm="1">
        <f t="array" ref="K9">IFERROR(+(_FV(A9,"Market cap",TRUE)/1000000+F$121-F$111)/F$97,"")</f>
        <v/>
      </c>
      <c r="L9" s="528" t="str" cm="1">
        <f t="array" ref="L9">IFERROR(+(_FV(A9,"Market cap",TRUE)/1000000+F$121-F$111)/F$95,"")</f>
        <v/>
      </c>
      <c r="M9" s="529" t="str" cm="1">
        <f t="array" ref="M9">IFERROR(+(_FV(A9,"Market cap",TRUE)/1000000+F$121-F$111)/F$100,"")</f>
        <v/>
      </c>
      <c r="N9" s="414" t="str" cm="1">
        <f t="array" ref="N9">IFERROR(+(_FV(A9,"Market cap",TRUE)/1000000)/F$96,"")</f>
        <v/>
      </c>
      <c r="O9" s="413" t="str" cm="1">
        <f t="array" ref="O9">IFERROR(+(_FV(A9,"Market cap",TRUE)/1000000)/F$105,"")</f>
        <v/>
      </c>
      <c r="P9" s="412"/>
      <c r="Q9" s="412"/>
      <c r="R9" s="415"/>
      <c r="S9" s="416"/>
      <c r="T9" s="415"/>
      <c r="U9" s="415"/>
      <c r="V9" s="416"/>
      <c r="W9" s="415"/>
      <c r="X9" s="415"/>
      <c r="Y9" s="415"/>
      <c r="Z9" s="415"/>
      <c r="AA9" s="415"/>
      <c r="AB9" s="416"/>
      <c r="AC9" s="416"/>
      <c r="AD9" s="411"/>
      <c r="AE9" s="411"/>
      <c r="AF9" s="411"/>
      <c r="AG9" s="411"/>
      <c r="AH9" s="411"/>
      <c r="AI9" s="416"/>
      <c r="AJ9" s="416"/>
      <c r="AK9" s="416"/>
      <c r="AL9" s="417"/>
      <c r="AM9" s="418"/>
      <c r="AN9" s="419"/>
      <c r="AO9" s="416"/>
      <c r="AP9" s="416"/>
      <c r="AQ9" s="408"/>
      <c r="AR9" s="408"/>
      <c r="AS9" s="408"/>
      <c r="AT9" s="408"/>
      <c r="AU9" s="408"/>
      <c r="AV9" s="408"/>
      <c r="AW9" s="408"/>
      <c r="AX9" s="408"/>
      <c r="AY9" s="408"/>
      <c r="AZ9" s="408"/>
    </row>
    <row r="10" spans="1:52" s="377" customFormat="1" ht="17.25" customHeight="1">
      <c r="A10" s="431" t="str">
        <f>+G91</f>
        <v>PEER 3</v>
      </c>
      <c r="B10" s="409" t="str" cm="1">
        <f t="array" ref="B10">IFERROR(_FV(A10,"Name"),"")</f>
        <v/>
      </c>
      <c r="C10" s="410" t="str" cm="1">
        <f t="array" ref="C10">IFERROR(_FV(A10,"Ticker symbol",TRUE),"")</f>
        <v/>
      </c>
      <c r="D10" s="500" t="str">
        <f>+IFERROR(G94/G93-1,"")</f>
        <v/>
      </c>
      <c r="E10" s="501" t="str">
        <f>IFERROR(G97/G94-1,"")</f>
        <v/>
      </c>
      <c r="F10" s="512" t="str">
        <f>IFERROR(G95/G94,"")</f>
        <v/>
      </c>
      <c r="G10" s="501" t="str">
        <f>IFERROR(G100/G97,"")</f>
        <v/>
      </c>
      <c r="H10" s="512" t="str">
        <f>IFERROR(G96/G94,"")</f>
        <v/>
      </c>
      <c r="I10" s="501" t="str">
        <f>+IFERROR(G105/G97,"")</f>
        <v/>
      </c>
      <c r="J10" s="522" t="str" cm="1">
        <f t="array" ref="J10">IFERROR(+(_FV(A10,"Market cap",TRUE)/1000000+G$121-G$111)/G$94,"")</f>
        <v/>
      </c>
      <c r="K10" s="523" t="str" cm="1">
        <f t="array" ref="K10">IFERROR(+(_FV(A10,"Market cap",TRUE)/1000000+G$121-G$111)/G$97,"")</f>
        <v/>
      </c>
      <c r="L10" s="528" t="str" cm="1">
        <f t="array" ref="L10">IFERROR(+(_FV(A10,"Market cap",TRUE)/1000000+G$121-G$111)/G$95,"")</f>
        <v/>
      </c>
      <c r="M10" s="529" t="str" cm="1">
        <f t="array" ref="M10">IFERROR(+(_FV(A10,"Market cap",TRUE)/1000000+G$121-G$111)/G$100,"")</f>
        <v/>
      </c>
      <c r="N10" s="414" t="str" cm="1">
        <f t="array" ref="N10">IFERROR(+(_FV(A10,"Market cap",TRUE)/1000000)/G$96,"")</f>
        <v/>
      </c>
      <c r="O10" s="413" t="str" cm="1">
        <f t="array" ref="O10">IFERROR(+(_FV(A10,"Market cap",TRUE)/1000000)/G$105,"")</f>
        <v/>
      </c>
      <c r="P10" s="412"/>
      <c r="Q10" s="412"/>
      <c r="R10" s="412"/>
      <c r="S10" s="416"/>
      <c r="T10" s="415"/>
      <c r="U10" s="415"/>
      <c r="V10" s="416"/>
      <c r="W10" s="415"/>
      <c r="X10" s="415"/>
      <c r="Y10" s="415"/>
      <c r="Z10" s="415"/>
      <c r="AA10" s="415"/>
      <c r="AB10" s="416"/>
      <c r="AC10" s="416"/>
      <c r="AD10" s="411"/>
      <c r="AE10" s="411"/>
      <c r="AF10" s="411"/>
      <c r="AG10" s="411"/>
      <c r="AH10" s="411"/>
      <c r="AI10" s="416"/>
      <c r="AJ10" s="416"/>
      <c r="AK10" s="416"/>
      <c r="AL10" s="417"/>
      <c r="AM10" s="418"/>
      <c r="AN10" s="419"/>
      <c r="AO10" s="416"/>
      <c r="AP10" s="416"/>
      <c r="AQ10" s="408"/>
      <c r="AR10" s="408"/>
      <c r="AS10" s="408"/>
      <c r="AT10" s="408"/>
      <c r="AU10" s="408"/>
      <c r="AV10" s="408"/>
      <c r="AW10" s="408"/>
      <c r="AX10" s="408"/>
      <c r="AY10" s="408"/>
      <c r="AZ10" s="408"/>
    </row>
    <row r="11" spans="1:52" s="377" customFormat="1" ht="17.25" customHeight="1">
      <c r="A11" s="431" t="str">
        <f>+H91</f>
        <v>PEER 4</v>
      </c>
      <c r="B11" s="409" t="str" cm="1">
        <f t="array" ref="B11">IFERROR(_FV(A11,"Name"),"")</f>
        <v/>
      </c>
      <c r="C11" s="410" t="str" cm="1">
        <f t="array" ref="C11">IFERROR(_FV(A11,"Ticker symbol",TRUE),"")</f>
        <v/>
      </c>
      <c r="D11" s="500" t="str">
        <f>IFERROR(H94/H93-1,"")</f>
        <v/>
      </c>
      <c r="E11" s="501" t="str">
        <f>IFERROR(H97/H94-1,"")</f>
        <v/>
      </c>
      <c r="F11" s="512" t="str">
        <f>IFERROR(H95/H94,"")</f>
        <v/>
      </c>
      <c r="G11" s="501" t="str">
        <f>IFERROR(H100/H97,"")</f>
        <v/>
      </c>
      <c r="H11" s="512" t="str">
        <f>IFERROR(H96/H94,"")</f>
        <v/>
      </c>
      <c r="I11" s="501" t="str">
        <f>+IFERROR(H105/H102,"")</f>
        <v/>
      </c>
      <c r="J11" s="522" t="str" cm="1">
        <f t="array" ref="J11">IFERROR((_FV(A11,"Market cap",TRUE)/1000000+H$121-H$111)/H$94,"")</f>
        <v/>
      </c>
      <c r="K11" s="523" t="str" cm="1">
        <f t="array" ref="K11">IFERROR(+(_FV(A11,"Market cap",TRUE)/1000000+H$121-H$111)/H$97,"")</f>
        <v/>
      </c>
      <c r="L11" s="528" t="str" cm="1">
        <f t="array" ref="L11">IFERROR(+(_FV(A11,"Market cap",TRUE)/1000000+H$121-H$111)/H$95,"")</f>
        <v/>
      </c>
      <c r="M11" s="529" t="str" cm="1">
        <f t="array" ref="M11">IFERROR(+(_FV(A11,"Market cap",TRUE)/1000000+H$121-H$111)/H$100,"")</f>
        <v/>
      </c>
      <c r="N11" s="414" t="str" cm="1">
        <f t="array" ref="N11">IFERROR(+(_FV(A11,"Market cap",TRUE)/1000000)/H$96,"")</f>
        <v/>
      </c>
      <c r="O11" s="413" t="str" cm="1">
        <f t="array" ref="O11">IFERROR(+(_FV(A11,"Market cap",TRUE)/1000000)/H$105,"")</f>
        <v/>
      </c>
      <c r="P11" s="412"/>
      <c r="Q11" s="412"/>
      <c r="R11" s="412"/>
      <c r="S11" s="416"/>
      <c r="T11" s="415"/>
      <c r="U11" s="415"/>
      <c r="V11" s="416"/>
      <c r="W11" s="415"/>
      <c r="X11" s="415"/>
      <c r="Y11" s="415"/>
      <c r="Z11" s="415"/>
      <c r="AA11" s="415"/>
      <c r="AB11" s="416"/>
      <c r="AC11" s="416"/>
      <c r="AD11" s="411"/>
      <c r="AE11" s="411"/>
      <c r="AF11" s="411"/>
      <c r="AG11" s="411"/>
      <c r="AH11" s="411"/>
      <c r="AI11" s="416"/>
      <c r="AJ11" s="416"/>
      <c r="AK11" s="416"/>
      <c r="AL11" s="417"/>
      <c r="AM11" s="418"/>
      <c r="AN11" s="419"/>
      <c r="AO11" s="416"/>
      <c r="AP11" s="416"/>
      <c r="AQ11" s="408"/>
      <c r="AR11" s="408"/>
      <c r="AS11" s="408"/>
      <c r="AT11" s="408"/>
      <c r="AU11" s="408"/>
      <c r="AV11" s="408"/>
      <c r="AW11" s="408"/>
      <c r="AX11" s="408"/>
      <c r="AY11" s="408"/>
      <c r="AZ11" s="408"/>
    </row>
    <row r="12" spans="1:52" s="377" customFormat="1" ht="17.25" customHeight="1">
      <c r="A12" s="431" t="str">
        <f>+I91</f>
        <v>PEER 5</v>
      </c>
      <c r="B12" s="409" t="str" cm="1">
        <f t="array" ref="B12">IFERROR(_FV(A12,"Name"),"")</f>
        <v/>
      </c>
      <c r="C12" s="410" t="str" cm="1">
        <f t="array" ref="C12">IFERROR(_FV(A12,"Ticker symbol",TRUE),"")</f>
        <v/>
      </c>
      <c r="D12" s="500" t="str">
        <f>+IFERROR(I94/I93-1,"")</f>
        <v/>
      </c>
      <c r="E12" s="501" t="str">
        <f>IFERROR(I97/I94-1,"")</f>
        <v/>
      </c>
      <c r="F12" s="512" t="str">
        <f>IFERROR(I95/I94,"")</f>
        <v/>
      </c>
      <c r="G12" s="501" t="str">
        <f>IFERROR(I100/I97,"")</f>
        <v/>
      </c>
      <c r="H12" s="512" t="str">
        <f>IFERROR(I96/I94,"")</f>
        <v/>
      </c>
      <c r="I12" s="501" t="str">
        <f>+IFERROR(I105/I97,"")</f>
        <v/>
      </c>
      <c r="J12" s="522" t="str" cm="1">
        <f t="array" ref="J12">IFERROR((_FV(A12,"Market cap",TRUE)/1000000+I$121-I$111)/I$94,"")</f>
        <v/>
      </c>
      <c r="K12" s="523" t="str" cm="1">
        <f t="array" ref="K12">IFERROR(+(_FV(A12,"Market cap",TRUE)/1000000+I$121-I$111)/I$97,"")</f>
        <v/>
      </c>
      <c r="L12" s="528" t="str" cm="1">
        <f t="array" ref="L12">IFERROR(+(_FV(A12,"Market cap",TRUE)/1000000+I$121-I$111)/I$95,"")</f>
        <v/>
      </c>
      <c r="M12" s="529" t="str" cm="1">
        <f t="array" ref="M12">IFERROR(+(_FV(A12,"Market cap",TRUE)/1000000+I$121-I$111)/I$100,"")</f>
        <v/>
      </c>
      <c r="N12" s="414" t="str" cm="1">
        <f t="array" ref="N12">IFERROR(+(_FV(A12,"Market cap",TRUE)/1000000)/I$96,"")</f>
        <v/>
      </c>
      <c r="O12" s="413" t="str" cm="1">
        <f t="array" ref="O12">IFERROR(+(_FV(A12,"Market cap",TRUE)/1000000)/I$105,"")</f>
        <v/>
      </c>
      <c r="P12" s="412"/>
      <c r="Q12" s="412"/>
      <c r="R12" s="412"/>
      <c r="S12" s="416"/>
      <c r="T12" s="415"/>
      <c r="U12" s="415"/>
      <c r="V12" s="416"/>
      <c r="W12" s="415"/>
      <c r="X12" s="415"/>
      <c r="Y12" s="415"/>
      <c r="Z12" s="415"/>
      <c r="AA12" s="415"/>
      <c r="AB12" s="416"/>
      <c r="AC12" s="416"/>
      <c r="AD12" s="411"/>
      <c r="AE12" s="411"/>
      <c r="AF12" s="411"/>
      <c r="AG12" s="411"/>
      <c r="AH12" s="411"/>
      <c r="AI12" s="416"/>
      <c r="AJ12" s="416"/>
      <c r="AK12" s="416"/>
      <c r="AL12" s="417"/>
      <c r="AM12" s="418"/>
      <c r="AN12" s="419"/>
      <c r="AO12" s="416"/>
      <c r="AP12" s="416"/>
      <c r="AQ12" s="408"/>
      <c r="AR12" s="408"/>
      <c r="AS12" s="408"/>
      <c r="AT12" s="408"/>
      <c r="AU12" s="408"/>
      <c r="AV12" s="408"/>
      <c r="AW12" s="408"/>
      <c r="AX12" s="408"/>
      <c r="AY12" s="408"/>
      <c r="AZ12" s="408"/>
    </row>
    <row r="13" spans="1:52" s="377" customFormat="1" ht="17.25" customHeight="1">
      <c r="A13" s="431" t="str">
        <f>+J91</f>
        <v>PEER 6</v>
      </c>
      <c r="B13" s="409" t="str" cm="1">
        <f t="array" ref="B13">IFERROR(_FV(A13,"Name"),"")</f>
        <v/>
      </c>
      <c r="C13" s="410" t="str" cm="1">
        <f t="array" ref="C13">IFERROR(_FV(A13,"Ticker symbol",TRUE),"")</f>
        <v/>
      </c>
      <c r="D13" s="500" t="str">
        <f>IFERROR(J94/J93-1,"")</f>
        <v/>
      </c>
      <c r="E13" s="501" t="str">
        <f>IFERROR(J97/J94-1,"")</f>
        <v/>
      </c>
      <c r="F13" s="512" t="str">
        <f>IFERROR(J95/J94,"")</f>
        <v/>
      </c>
      <c r="G13" s="501" t="str">
        <f>IFERROR(J100/J97,"")</f>
        <v/>
      </c>
      <c r="H13" s="518" t="str">
        <f>IFERROR(J96/J94,"")</f>
        <v/>
      </c>
      <c r="I13" s="501" t="str">
        <f>+IFERROR(J105/J97,"")</f>
        <v/>
      </c>
      <c r="J13" s="522" t="str" cm="1">
        <f t="array" ref="J13">IFERROR(+(_FV(A13,"Market cap",TRUE)/1000000+J$121-J$111)/J$94,"")</f>
        <v/>
      </c>
      <c r="K13" s="523" t="str" cm="1">
        <f t="array" ref="K13">IFERROR(+(_FV(A13,"Market cap",TRUE)/1000000+J$121-J$111)/J$97,"")</f>
        <v/>
      </c>
      <c r="L13" s="528" t="str" cm="1">
        <f t="array" ref="L13">IFERROR(+(_FV(A13,"Market cap",TRUE)/1000000+J$121-J$111)/J$95,"")</f>
        <v/>
      </c>
      <c r="M13" s="529" t="str" cm="1">
        <f t="array" ref="M13">IFERROR(+(_FV(A13,"Market cap",TRUE)/1000000+J$121-J$111)/J$100,"")</f>
        <v/>
      </c>
      <c r="N13" s="414" t="str" cm="1">
        <f t="array" ref="N13">IFERROR(+(_FV(A13,"Market cap",TRUE)/1000000)/J$96,"")</f>
        <v/>
      </c>
      <c r="O13" s="413" t="str" cm="1">
        <f t="array" ref="O13">IFERROR(+(_FV(A13,"Market cap",TRUE)/1000000)/J$105,"")</f>
        <v/>
      </c>
      <c r="P13" s="412"/>
      <c r="Q13" s="412"/>
      <c r="R13" s="412"/>
      <c r="S13" s="416"/>
      <c r="T13" s="415"/>
      <c r="U13" s="415"/>
      <c r="V13" s="416"/>
      <c r="W13" s="415"/>
      <c r="X13" s="415"/>
      <c r="Y13" s="415"/>
      <c r="Z13" s="415"/>
      <c r="AA13" s="415"/>
      <c r="AB13" s="416"/>
      <c r="AC13" s="416"/>
      <c r="AD13" s="411"/>
      <c r="AE13" s="411"/>
      <c r="AF13" s="411"/>
      <c r="AG13" s="411"/>
      <c r="AH13" s="411"/>
      <c r="AI13" s="416"/>
      <c r="AJ13" s="416"/>
      <c r="AK13" s="416"/>
      <c r="AL13" s="417"/>
      <c r="AM13" s="418"/>
      <c r="AN13" s="419"/>
      <c r="AO13" s="416"/>
      <c r="AP13" s="416"/>
      <c r="AQ13" s="408"/>
      <c r="AR13" s="408"/>
      <c r="AS13" s="408"/>
      <c r="AT13" s="408"/>
      <c r="AU13" s="408"/>
      <c r="AV13" s="408"/>
      <c r="AW13" s="408"/>
      <c r="AX13" s="408"/>
      <c r="AY13" s="408"/>
      <c r="AZ13" s="408"/>
    </row>
    <row r="14" spans="1:52" s="377" customFormat="1" ht="17.25" customHeight="1">
      <c r="A14" s="431" t="str">
        <f>+K91</f>
        <v>PEER 7</v>
      </c>
      <c r="B14" s="409" t="str" cm="1">
        <f t="array" ref="B14">IFERROR(_FV(A14,"Name"),"")</f>
        <v/>
      </c>
      <c r="C14" s="410" t="str" cm="1">
        <f t="array" ref="C14">IFERROR(_FV(A14,"Ticker symbol",TRUE),"")</f>
        <v/>
      </c>
      <c r="D14" s="500" t="str">
        <f>IFERROR(K94/K93-1,"")</f>
        <v/>
      </c>
      <c r="E14" s="501" t="str">
        <f>IFERROR(K97/K94-1,"")</f>
        <v/>
      </c>
      <c r="F14" s="512" t="str">
        <f>+IFERROR(K95/K94,"")</f>
        <v/>
      </c>
      <c r="G14" s="501" t="str">
        <f>IFERROR(K100/K97,"")</f>
        <v/>
      </c>
      <c r="H14" s="518" t="str">
        <f>IFERROR(K96/K94,"")</f>
        <v/>
      </c>
      <c r="I14" s="501" t="str">
        <f>+IFERROR(K105/K97,"")</f>
        <v/>
      </c>
      <c r="J14" s="522" t="str" cm="1">
        <f t="array" ref="J14">IFERROR((_FV(A14,"Market cap",TRUE)/1000000+D$121-K$111)/K$94,"")</f>
        <v/>
      </c>
      <c r="K14" s="523" t="str" cm="1">
        <f t="array" ref="K14">IFERROR(+(_FV(A14,"Market cap",TRUE)/1000000+D$121-K$111)/K$97,"")</f>
        <v/>
      </c>
      <c r="L14" s="528" t="str" cm="1">
        <f t="array" ref="L14">IFERROR(+(_FV(A14,"Market cap",TRUE)/1000000+D$121-K$111)/K$95,"")</f>
        <v/>
      </c>
      <c r="M14" s="529" t="str" cm="1">
        <f t="array" ref="M14">IFERROR(+(_FV(A14,"Market cap",TRUE)/1000000+D$121-K$111)/K$100,"")</f>
        <v/>
      </c>
      <c r="N14" s="414" t="str" cm="1">
        <f t="array" ref="N14">IFERROR(+(_FV(A14,"Market cap",TRUE)/1000000)/K$96,"")</f>
        <v/>
      </c>
      <c r="O14" s="413" t="str" cm="1">
        <f t="array" ref="O14">IFERROR(+(_FV(A14,"Market cap",TRUE)/1000000)/K$105,"")</f>
        <v/>
      </c>
      <c r="P14" s="412"/>
      <c r="Q14" s="412"/>
      <c r="R14" s="412"/>
      <c r="S14" s="416"/>
      <c r="T14" s="415"/>
      <c r="U14" s="415"/>
      <c r="V14" s="416"/>
      <c r="W14" s="415"/>
      <c r="X14" s="415"/>
      <c r="Y14" s="415"/>
      <c r="Z14" s="415"/>
      <c r="AA14" s="415"/>
      <c r="AB14" s="416"/>
      <c r="AC14" s="416"/>
      <c r="AD14" s="411"/>
      <c r="AE14" s="411"/>
      <c r="AF14" s="411"/>
      <c r="AG14" s="411"/>
      <c r="AH14" s="411"/>
      <c r="AI14" s="416"/>
      <c r="AJ14" s="416"/>
      <c r="AK14" s="416"/>
      <c r="AL14" s="417"/>
      <c r="AM14" s="418"/>
      <c r="AN14" s="419"/>
      <c r="AO14" s="416"/>
      <c r="AP14" s="416"/>
      <c r="AQ14" s="408"/>
      <c r="AR14" s="408"/>
      <c r="AS14" s="408"/>
      <c r="AT14" s="408"/>
      <c r="AU14" s="408"/>
      <c r="AV14" s="408"/>
      <c r="AW14" s="408"/>
      <c r="AX14" s="408"/>
      <c r="AY14" s="408"/>
      <c r="AZ14" s="408"/>
    </row>
    <row r="15" spans="1:52" s="377" customFormat="1" ht="17.25" customHeight="1">
      <c r="A15" s="431" t="str">
        <f>+L91</f>
        <v>PEER 8</v>
      </c>
      <c r="B15" s="409" t="str" cm="1">
        <f t="array" ref="B15">IFERROR(_FV(A15,"Name"),"")</f>
        <v/>
      </c>
      <c r="C15" s="410" t="str" cm="1">
        <f t="array" ref="C15">IFERROR(_FV(A15,"Ticker symbol",TRUE),"")</f>
        <v/>
      </c>
      <c r="D15" s="500" t="str">
        <f>+IFERROR(L94/L93,"")</f>
        <v/>
      </c>
      <c r="E15" s="501" t="str">
        <f>IFERROR(L97/L94,"")</f>
        <v/>
      </c>
      <c r="F15" s="512" t="str">
        <f>IFERROR(L95/L94,"")</f>
        <v/>
      </c>
      <c r="G15" s="501" t="str">
        <f>IFERROR(L100/L97,"")</f>
        <v/>
      </c>
      <c r="H15" s="518" t="str">
        <f>IFERROR(L96/L94,"")</f>
        <v/>
      </c>
      <c r="I15" s="501" t="str">
        <f>+IFERROR(L105/L97,"")</f>
        <v/>
      </c>
      <c r="J15" s="522" t="str" cm="1">
        <f t="array" ref="J15">IFERROR(+(_FV(A15,"Market cap",TRUE)/1000000+L$121-L$111)/L$94,"")</f>
        <v/>
      </c>
      <c r="K15" s="523" t="str" cm="1">
        <f t="array" ref="K15">IFERROR(+(_FV(A15,"Market cap",TRUE)/1000000+L$121-L$111)/L$97,"")</f>
        <v/>
      </c>
      <c r="L15" s="528" t="str" cm="1">
        <f t="array" ref="L15">IFERROR(+(_FV(A15,"Market cap",TRUE)/1000000+L$121-L$111)/L$95,"")</f>
        <v/>
      </c>
      <c r="M15" s="529" t="str" cm="1">
        <f t="array" ref="M15">IFERROR(+(_FV(A15,"Market cap",TRUE)/1000000+L$121-L$111)/L$100,"")</f>
        <v/>
      </c>
      <c r="N15" s="414" t="str" cm="1">
        <f t="array" ref="N15">IFERROR(+(_FV(A15,"Market cap",TRUE)/1000000)/L$96,"")</f>
        <v/>
      </c>
      <c r="O15" s="413" t="str" cm="1">
        <f t="array" ref="O15">IFERROR(+(_FV(A15,"Market cap",TRUE)/1000000)/L$105,"")</f>
        <v/>
      </c>
      <c r="P15" s="412"/>
      <c r="Q15" s="412"/>
      <c r="R15" s="412"/>
      <c r="S15" s="416"/>
      <c r="T15" s="415"/>
      <c r="U15" s="415"/>
      <c r="V15" s="416"/>
      <c r="W15" s="415"/>
      <c r="X15" s="415"/>
      <c r="Y15" s="415"/>
      <c r="Z15" s="415"/>
      <c r="AA15" s="415"/>
      <c r="AB15" s="416"/>
      <c r="AC15" s="416"/>
      <c r="AD15" s="411"/>
      <c r="AE15" s="411"/>
      <c r="AF15" s="411"/>
      <c r="AG15" s="411"/>
      <c r="AH15" s="411"/>
      <c r="AI15" s="416"/>
      <c r="AJ15" s="416"/>
      <c r="AK15" s="416"/>
      <c r="AL15" s="417"/>
      <c r="AM15" s="418"/>
      <c r="AN15" s="419"/>
      <c r="AO15" s="416"/>
      <c r="AP15" s="416"/>
      <c r="AQ15" s="408"/>
      <c r="AR15" s="408"/>
      <c r="AS15" s="408"/>
      <c r="AT15" s="408"/>
      <c r="AU15" s="408"/>
      <c r="AV15" s="408"/>
      <c r="AW15" s="408"/>
      <c r="AX15" s="408"/>
      <c r="AY15" s="408"/>
      <c r="AZ15" s="408"/>
    </row>
    <row r="16" spans="1:52" s="377" customFormat="1" ht="17.25" customHeight="1">
      <c r="A16" s="431" t="str">
        <f>+M91</f>
        <v>PEER 9</v>
      </c>
      <c r="B16" s="409" t="str" cm="1">
        <f t="array" ref="B16">IFERROR(_FV(A16,"Name"),"")</f>
        <v/>
      </c>
      <c r="C16" s="410" t="str" cm="1">
        <f t="array" ref="C16">IFERROR(_FV(A16,"Ticker symbol",TRUE),"")</f>
        <v/>
      </c>
      <c r="D16" s="500" t="str">
        <f>IFERROR(M94/M93-1,"")</f>
        <v/>
      </c>
      <c r="E16" s="501" t="str">
        <f>IFERROR(M97/M94-1,"")</f>
        <v/>
      </c>
      <c r="F16" s="512" t="str">
        <f>IFERROR(M95/M94,"")</f>
        <v/>
      </c>
      <c r="G16" s="501" t="str">
        <f>IFERROR(M100/M97,"")</f>
        <v/>
      </c>
      <c r="H16" s="518" t="str">
        <f>IFERROR(M96/M94,"")</f>
        <v/>
      </c>
      <c r="I16" s="501" t="str">
        <f>+IFERROR(M105/M97,"")</f>
        <v/>
      </c>
      <c r="J16" s="522" t="str" cm="1">
        <f t="array" ref="J16">IFERROR(+(_FV(A16,"Market cap",TRUE)/1000000+M$121-M$111)/M$94,"")</f>
        <v/>
      </c>
      <c r="K16" s="523" t="str" cm="1">
        <f t="array" ref="K16">IFERROR(+(_FV(A16,"Market cap",TRUE)/1000000+M$121-M$111)/M$97,"")</f>
        <v/>
      </c>
      <c r="L16" s="528" t="str" cm="1">
        <f t="array" ref="L16">IFERROR(+(_FV(A16,"Market cap",TRUE)/1000000+M$121-M$111)/M$95,"")</f>
        <v/>
      </c>
      <c r="M16" s="529" t="str" cm="1">
        <f t="array" ref="M16">IFERROR(+(_FV(A16,"Market cap",TRUE)/1000000+M$121-M$111)/M$100,"")</f>
        <v/>
      </c>
      <c r="N16" s="414" t="str" cm="1">
        <f t="array" ref="N16">IFERROR(+(_FV(A16,"Market cap",TRUE)/1000000)/M$96,"")</f>
        <v/>
      </c>
      <c r="O16" s="413" t="str" cm="1">
        <f t="array" ref="O16">IFERROR(+(_FV(A16,"Market cap",TRUE)/1000000)/M$105,"")</f>
        <v/>
      </c>
      <c r="P16" s="412"/>
      <c r="Q16" s="412"/>
      <c r="R16" s="412"/>
      <c r="S16" s="416"/>
      <c r="T16" s="415"/>
      <c r="U16" s="415"/>
      <c r="V16" s="416"/>
      <c r="W16" s="415"/>
      <c r="X16" s="415"/>
      <c r="Y16" s="415"/>
      <c r="Z16" s="415"/>
      <c r="AA16" s="415"/>
      <c r="AB16" s="416"/>
      <c r="AC16" s="416"/>
      <c r="AD16" s="411"/>
      <c r="AE16" s="411"/>
      <c r="AF16" s="411"/>
      <c r="AG16" s="411"/>
      <c r="AH16" s="411"/>
      <c r="AI16" s="416"/>
      <c r="AJ16" s="416"/>
      <c r="AK16" s="416"/>
      <c r="AL16" s="417"/>
      <c r="AM16" s="418"/>
      <c r="AN16" s="419"/>
      <c r="AO16" s="416"/>
      <c r="AP16" s="416"/>
      <c r="AQ16" s="408"/>
      <c r="AR16" s="408"/>
      <c r="AS16" s="408"/>
      <c r="AT16" s="408"/>
      <c r="AU16" s="408"/>
      <c r="AV16" s="408"/>
      <c r="AW16" s="408"/>
      <c r="AX16" s="408"/>
      <c r="AY16" s="408"/>
      <c r="AZ16" s="408"/>
    </row>
    <row r="17" spans="1:42" s="377" customFormat="1" ht="17.25" customHeight="1">
      <c r="A17" s="431" t="str">
        <f>+N91</f>
        <v>PEER 10</v>
      </c>
      <c r="B17" s="552" t="str" cm="1">
        <f t="array" ref="B17">IFERROR(_FV(A17,"Name"),"")</f>
        <v/>
      </c>
      <c r="C17" s="553" t="str" cm="1">
        <f t="array" ref="C17">+IFERROR(_FV(A17,"Ticker symbol",TRUE),"")</f>
        <v/>
      </c>
      <c r="D17" s="554" t="str">
        <f>IFERROR(N94/N93-1,"")</f>
        <v/>
      </c>
      <c r="E17" s="555" t="str">
        <f>IFERROR(N97/N94-1,"")</f>
        <v/>
      </c>
      <c r="F17" s="556" t="str">
        <f>IFERROR(N95/N94,"")</f>
        <v/>
      </c>
      <c r="G17" s="555" t="str">
        <f>IFERROR(N100/N97,"")</f>
        <v/>
      </c>
      <c r="H17" s="557" t="str">
        <f>IFERROR(N96/N94,"")</f>
        <v/>
      </c>
      <c r="I17" s="555" t="str">
        <f>+IFERROR(N105/N97,"")</f>
        <v/>
      </c>
      <c r="J17" s="558" t="str" cm="1">
        <f t="array" ref="J17">IFERROR(+(_FV(A17,"Market cap",TRUE)/1000000+N$121-N$111)/N$94,"")</f>
        <v/>
      </c>
      <c r="K17" s="559" t="str" cm="1">
        <f t="array" ref="K17">IFERROR(+(_FV(A17,"Market cap",TRUE)/1000000+N$121-N$111)/N$97,"")</f>
        <v/>
      </c>
      <c r="L17" s="560" t="str" cm="1">
        <f t="array" ref="L17">IFERROR(+(_FV(A17,"Market cap",TRUE)/1000000+N$121-N$111)/N$95,"")</f>
        <v/>
      </c>
      <c r="M17" s="561" t="str" cm="1">
        <f t="array" ref="M17">IFERROR(+(_FV(A17,"Market cap",TRUE)/1000000+N$121-N$111)/N$100,"")</f>
        <v/>
      </c>
      <c r="N17" s="562" t="str" cm="1">
        <f t="array" ref="N17">IFERROR(+(_FV(A17,"Market cap",TRUE)/1000000)/N$96,"")</f>
        <v/>
      </c>
      <c r="O17" s="563" t="str" cm="1">
        <f t="array" ref="O17">IFERROR(+(_FV(A17,"Market cap",TRUE)/1000000)/N$105,"")</f>
        <v/>
      </c>
      <c r="P17" s="412"/>
      <c r="Q17" s="412"/>
      <c r="R17" s="412"/>
      <c r="S17" s="416"/>
      <c r="T17" s="415"/>
      <c r="U17" s="415"/>
      <c r="V17" s="416"/>
      <c r="W17" s="415"/>
      <c r="X17" s="415"/>
      <c r="Y17" s="415"/>
      <c r="Z17" s="415"/>
      <c r="AA17" s="415"/>
      <c r="AB17" s="416"/>
      <c r="AC17" s="416"/>
      <c r="AD17" s="411"/>
      <c r="AE17" s="411"/>
      <c r="AF17" s="411"/>
      <c r="AG17" s="411"/>
      <c r="AH17" s="411"/>
      <c r="AI17" s="416"/>
      <c r="AJ17" s="416"/>
      <c r="AK17" s="416"/>
      <c r="AL17" s="417"/>
      <c r="AM17" s="418"/>
      <c r="AN17" s="419"/>
      <c r="AO17" s="416"/>
      <c r="AP17" s="416"/>
    </row>
    <row r="18" spans="1:42" s="374" customFormat="1" ht="15.75" customHeight="1">
      <c r="A18" s="431"/>
      <c r="B18" s="376" t="s">
        <v>223</v>
      </c>
      <c r="C18" s="376"/>
      <c r="D18" s="502">
        <f t="shared" ref="D18:O18" si="0">IFERROR(AVERAGE(D6:D17),"")</f>
        <v>0.15924170616113731</v>
      </c>
      <c r="E18" s="503">
        <f t="shared" si="0"/>
        <v>0.78331970564186437</v>
      </c>
      <c r="F18" s="513">
        <f t="shared" si="0"/>
        <v>-0.7277187244480785</v>
      </c>
      <c r="G18" s="503">
        <f t="shared" si="0"/>
        <v>-0.41746905089408537</v>
      </c>
      <c r="H18" s="519">
        <f t="shared" si="0"/>
        <v>-0.63041700735895334</v>
      </c>
      <c r="I18" s="520">
        <f t="shared" si="0"/>
        <v>-0.34555249885373684</v>
      </c>
      <c r="J18" s="524" t="str">
        <f t="shared" si="0"/>
        <v/>
      </c>
      <c r="K18" s="525" t="str">
        <f t="shared" si="0"/>
        <v/>
      </c>
      <c r="L18" s="524" t="str">
        <f t="shared" si="0"/>
        <v/>
      </c>
      <c r="M18" s="525" t="str">
        <f t="shared" si="0"/>
        <v/>
      </c>
      <c r="N18" s="393" t="str">
        <f t="shared" si="0"/>
        <v/>
      </c>
      <c r="O18" s="393" t="str">
        <f t="shared" si="0"/>
        <v/>
      </c>
      <c r="P18" s="542"/>
      <c r="Q18" s="432"/>
      <c r="R18" s="432"/>
      <c r="S18" s="426"/>
      <c r="T18" s="432"/>
      <c r="U18" s="432"/>
      <c r="V18" s="426"/>
      <c r="W18" s="432"/>
      <c r="X18" s="432"/>
      <c r="Y18" s="432"/>
      <c r="Z18" s="432"/>
      <c r="AA18" s="432"/>
      <c r="AB18" s="432"/>
      <c r="AC18" s="426"/>
      <c r="AD18" s="432"/>
      <c r="AE18" s="432"/>
      <c r="AF18" s="432"/>
      <c r="AG18" s="432"/>
      <c r="AH18" s="432"/>
      <c r="AI18" s="426"/>
      <c r="AJ18" s="433"/>
      <c r="AK18" s="426"/>
      <c r="AL18" s="433"/>
      <c r="AM18" s="429"/>
      <c r="AN18" s="433"/>
      <c r="AO18" s="426"/>
      <c r="AP18" s="433"/>
    </row>
    <row r="19" spans="1:42" s="374" customFormat="1" ht="15.75" customHeight="1">
      <c r="A19" s="431"/>
      <c r="B19" s="434" t="s">
        <v>224</v>
      </c>
      <c r="C19" s="376"/>
      <c r="D19" s="504">
        <f>IFERROR(+D18-D6,"")</f>
        <v>0</v>
      </c>
      <c r="E19" s="505">
        <f>IFERROR(E18-E6,"")</f>
        <v>0</v>
      </c>
      <c r="F19" s="514">
        <f>+IFERROR(F18-F6,"")</f>
        <v>0</v>
      </c>
      <c r="G19" s="505">
        <f>IFERROR(G18-G6,"")</f>
        <v>0</v>
      </c>
      <c r="H19" s="514">
        <f>IFERROR(+H6-H18,"")</f>
        <v>0</v>
      </c>
      <c r="I19" s="505">
        <f>+IFERROR(I6-I18,"")</f>
        <v>0</v>
      </c>
      <c r="J19" s="551" t="str">
        <f>+IFERROR(J6-J18,"")</f>
        <v/>
      </c>
      <c r="K19" s="526" t="str">
        <f>+IFERROR(K6-K18,"")</f>
        <v/>
      </c>
      <c r="L19" s="551" t="str">
        <f>IFERROR(+L6-L18,"")</f>
        <v/>
      </c>
      <c r="M19" s="526" t="str">
        <f>IFERROR(M6-M18,"")</f>
        <v/>
      </c>
      <c r="N19" s="551" t="str">
        <f>IFERROR(+N6-N18,"")</f>
        <v/>
      </c>
      <c r="O19" s="551" t="str">
        <f>IFERROR(+O6-O18,"")</f>
        <v/>
      </c>
      <c r="P19" s="543"/>
      <c r="Q19" s="427"/>
      <c r="R19" s="427"/>
      <c r="S19" s="426"/>
      <c r="T19" s="427"/>
      <c r="U19" s="427"/>
      <c r="V19" s="426"/>
      <c r="W19" s="427"/>
      <c r="X19" s="427"/>
      <c r="Y19" s="427"/>
      <c r="Z19" s="427"/>
      <c r="AA19" s="427"/>
      <c r="AB19" s="427"/>
      <c r="AC19" s="426"/>
      <c r="AD19" s="427"/>
      <c r="AE19" s="427"/>
      <c r="AF19" s="427"/>
      <c r="AG19" s="427"/>
      <c r="AH19" s="427"/>
      <c r="AI19" s="426"/>
      <c r="AJ19" s="435"/>
      <c r="AK19" s="426"/>
      <c r="AL19" s="435"/>
      <c r="AM19" s="426"/>
      <c r="AN19" s="435"/>
      <c r="AO19" s="426"/>
      <c r="AP19" s="435"/>
    </row>
    <row r="20" spans="1:42" s="374" customFormat="1" ht="14.25" customHeight="1">
      <c r="A20" s="399"/>
      <c r="B20" s="399"/>
      <c r="C20" s="399"/>
      <c r="D20" s="399"/>
      <c r="E20" s="399"/>
      <c r="F20" s="399"/>
      <c r="G20" s="399"/>
      <c r="H20" s="399"/>
      <c r="I20" s="399"/>
      <c r="J20" s="399"/>
      <c r="K20" s="399"/>
      <c r="L20" s="399"/>
      <c r="M20" s="399"/>
      <c r="N20" s="399"/>
      <c r="O20" s="399"/>
      <c r="P20" s="437"/>
      <c r="Q20" s="399"/>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row>
    <row r="21" spans="1:42" s="374" customFormat="1" ht="14.1">
      <c r="A21" s="399"/>
      <c r="B21" s="436"/>
      <c r="C21" s="436"/>
      <c r="D21" s="914" t="s">
        <v>225</v>
      </c>
      <c r="E21" s="914"/>
      <c r="F21" s="914"/>
      <c r="G21" s="620" t="s">
        <v>226</v>
      </c>
      <c r="H21" s="620" t="s">
        <v>227</v>
      </c>
      <c r="I21" s="620" t="s">
        <v>228</v>
      </c>
      <c r="J21" s="914" t="s">
        <v>229</v>
      </c>
      <c r="K21" s="914"/>
      <c r="L21" s="914"/>
      <c r="M21" s="914" t="s">
        <v>230</v>
      </c>
      <c r="N21" s="914"/>
      <c r="O21" s="914"/>
      <c r="P21" s="540"/>
      <c r="Q21" s="437"/>
      <c r="R21" s="437"/>
      <c r="S21" s="437"/>
      <c r="T21" s="437"/>
      <c r="U21" s="437"/>
      <c r="V21" s="437"/>
      <c r="W21" s="437"/>
      <c r="X21" s="437"/>
      <c r="Y21" s="399"/>
      <c r="Z21" s="399"/>
      <c r="AA21" s="399"/>
      <c r="AB21" s="399"/>
      <c r="AC21" s="399"/>
      <c r="AD21" s="399"/>
      <c r="AE21" s="399"/>
      <c r="AF21" s="399"/>
      <c r="AG21" s="399"/>
      <c r="AH21" s="399"/>
      <c r="AI21" s="399"/>
      <c r="AJ21" s="399"/>
      <c r="AK21" s="399"/>
      <c r="AL21" s="399"/>
      <c r="AM21" s="399"/>
      <c r="AN21" s="399"/>
      <c r="AO21" s="399"/>
      <c r="AP21" s="399"/>
    </row>
    <row r="22" spans="1:42" s="374" customFormat="1" ht="14.25" customHeight="1">
      <c r="A22" s="399"/>
      <c r="B22" s="438" t="s">
        <v>231</v>
      </c>
      <c r="C22" s="436"/>
      <c r="D22" s="402" t="s">
        <v>232</v>
      </c>
      <c r="E22" s="402" t="s">
        <v>233</v>
      </c>
      <c r="F22" s="402" t="s">
        <v>234</v>
      </c>
      <c r="G22" s="402" t="s">
        <v>235</v>
      </c>
      <c r="H22" s="402" t="s">
        <v>236</v>
      </c>
      <c r="I22" s="402" t="s">
        <v>237</v>
      </c>
      <c r="J22" s="402" t="s">
        <v>232</v>
      </c>
      <c r="K22" s="402" t="s">
        <v>233</v>
      </c>
      <c r="L22" s="402" t="s">
        <v>234</v>
      </c>
      <c r="M22" s="402" t="s">
        <v>232</v>
      </c>
      <c r="N22" s="402" t="s">
        <v>233</v>
      </c>
      <c r="O22" s="402" t="s">
        <v>234</v>
      </c>
      <c r="P22" s="540" t="s">
        <v>238</v>
      </c>
      <c r="Q22" s="437"/>
      <c r="R22" s="437"/>
      <c r="S22" s="437"/>
      <c r="T22" s="437"/>
      <c r="U22" s="437"/>
      <c r="V22" s="437"/>
      <c r="W22" s="437"/>
      <c r="X22" s="437"/>
      <c r="Y22" s="399"/>
      <c r="Z22" s="399"/>
      <c r="AA22" s="399"/>
      <c r="AB22" s="399"/>
      <c r="AC22" s="399"/>
      <c r="AD22" s="399"/>
      <c r="AE22" s="399"/>
      <c r="AF22" s="399"/>
      <c r="AG22" s="399"/>
      <c r="AH22" s="399"/>
      <c r="AI22" s="399"/>
      <c r="AJ22" s="399"/>
      <c r="AK22" s="399"/>
      <c r="AL22" s="399"/>
      <c r="AM22" s="399"/>
      <c r="AN22" s="399"/>
      <c r="AO22" s="399"/>
      <c r="AP22" s="399"/>
    </row>
    <row r="23" spans="1:42" s="374" customFormat="1" ht="3.75" customHeight="1">
      <c r="A23" s="399"/>
      <c r="B23" s="439"/>
      <c r="C23" s="440"/>
      <c r="D23" s="535"/>
      <c r="E23" s="537"/>
      <c r="F23" s="532"/>
      <c r="G23" s="535"/>
      <c r="H23" s="537"/>
      <c r="I23" s="532"/>
      <c r="J23" s="440"/>
      <c r="K23" s="440"/>
      <c r="L23" s="532"/>
      <c r="M23" s="440"/>
      <c r="N23" s="440"/>
      <c r="O23" s="440"/>
      <c r="P23" s="541"/>
      <c r="Q23" s="437"/>
      <c r="R23" s="437"/>
      <c r="S23" s="437"/>
      <c r="T23" s="437"/>
      <c r="U23" s="437"/>
      <c r="V23" s="437"/>
      <c r="W23" s="437"/>
      <c r="X23" s="437"/>
      <c r="Y23" s="399"/>
      <c r="Z23" s="399"/>
      <c r="AA23" s="399"/>
      <c r="AB23" s="399"/>
      <c r="AC23" s="399"/>
      <c r="AD23" s="399"/>
      <c r="AE23" s="399"/>
      <c r="AF23" s="399"/>
      <c r="AG23" s="399"/>
      <c r="AH23" s="399"/>
      <c r="AI23" s="399"/>
      <c r="AJ23" s="399"/>
      <c r="AK23" s="399"/>
      <c r="AL23" s="399"/>
      <c r="AM23" s="399"/>
      <c r="AN23" s="399"/>
      <c r="AO23" s="399"/>
      <c r="AP23" s="399"/>
    </row>
    <row r="24" spans="1:42" s="374" customFormat="1" ht="14.1">
      <c r="A24" s="399"/>
      <c r="B24" s="399" t="s">
        <v>239</v>
      </c>
      <c r="C24" s="399"/>
      <c r="D24" s="536" t="str">
        <f>IFERROR(SMALL(K6:K17,2),"")</f>
        <v/>
      </c>
      <c r="E24" s="538" t="str">
        <f>IFERROR(SMALL(M6:M17,2),"")</f>
        <v/>
      </c>
      <c r="F24" s="533" t="str">
        <f>IFERROR(SMALL(O6:O17,2),"")</f>
        <v/>
      </c>
      <c r="G24" s="536">
        <f>-Inputs!$Q$99+Inputs!$Q$100</f>
        <v>40.699999999999989</v>
      </c>
      <c r="H24" s="538">
        <f>+Inputs!$Q$101</f>
        <v>0</v>
      </c>
      <c r="I24" s="533">
        <f>+Inputs!$Q$102</f>
        <v>0</v>
      </c>
      <c r="J24" s="441" t="str">
        <f>IFERROR(+D24*$D$97+G24+H24+I24,"")</f>
        <v/>
      </c>
      <c r="K24" s="441" t="str">
        <f>IFERROR(E24*$D$100+G24+H24+I24,"")</f>
        <v/>
      </c>
      <c r="L24" s="534" t="str">
        <f>IFERROR(F24*$D$105,"")</f>
        <v/>
      </c>
      <c r="M24" s="539" t="str" cm="1">
        <f t="array" ref="M24">IFERROR(+(J24/_FV($A$6,"Shares outstanding",TRUE)*1000000)/$P$24-1,"")</f>
        <v/>
      </c>
      <c r="N24" s="539" t="str" cm="1">
        <f t="array" ref="N24">IFERROR((+K24/_FV($A$6,"Shares outstanding",TRUE)*1000000)/$P$24-1,"")</f>
        <v/>
      </c>
      <c r="O24" s="539" t="str" cm="1">
        <f t="array" ref="O24">IFERROR(+(L24/_FV($A$6,"Shares outstanding",TRUE)*1000000)/$P$24-1,"")</f>
        <v/>
      </c>
      <c r="P24" s="544" t="e" cm="1" vm="3">
        <f t="array" ref="P24">+_FV(A6,"Price")</f>
        <v>#VALUE!</v>
      </c>
      <c r="Q24" s="399"/>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row>
    <row r="25" spans="1:42" ht="14.1">
      <c r="B25" s="399" t="s">
        <v>223</v>
      </c>
      <c r="C25" s="399"/>
      <c r="D25" s="536" t="str">
        <f>+IFERROR(AVERAGE(K6:K17),"")</f>
        <v/>
      </c>
      <c r="E25" s="538" t="str">
        <f>IFERROR(+AVERAGE(M6:M17),"")</f>
        <v/>
      </c>
      <c r="F25" s="533" t="str">
        <f>IFERROR(+AVERAGE(O6:O17),"")</f>
        <v/>
      </c>
      <c r="G25" s="536">
        <f>-Inputs!$Q$99+Inputs!$Q$100</f>
        <v>40.699999999999989</v>
      </c>
      <c r="H25" s="538">
        <f>+Inputs!$Q$101</f>
        <v>0</v>
      </c>
      <c r="I25" s="533">
        <f>+Inputs!$Q$102</f>
        <v>0</v>
      </c>
      <c r="J25" s="441" t="str">
        <f>IFERROR(+D25*$D$97+G25+H25+I25,"")</f>
        <v/>
      </c>
      <c r="K25" s="441" t="str">
        <f>IFERROR(E25*$D$100+G25+H25+I25,"")</f>
        <v/>
      </c>
      <c r="L25" s="534" t="str">
        <f>IFERROR(+F25*$D$105,"")</f>
        <v/>
      </c>
      <c r="M25" s="539" t="str" cm="1">
        <f t="array" ref="M25">IFERROR(+(J25/_FV($A$6,"Shares outstanding",TRUE)*1000000)/$P$24-1,"")</f>
        <v/>
      </c>
      <c r="N25" s="539" t="str" cm="1">
        <f t="array" ref="N25">IFERROR((+K25/_FV($A$6,"Shares outstanding",TRUE)*1000000)/$P$24-1,"")</f>
        <v/>
      </c>
      <c r="O25" s="539" t="str" cm="1">
        <f t="array" ref="O25">IFERROR(+(L25/_FV($A$6,"Shares outstanding",TRUE)*1000000)/$P$24-1,"")</f>
        <v/>
      </c>
      <c r="P25" s="540"/>
    </row>
    <row r="26" spans="1:42" s="374" customFormat="1" ht="14.1">
      <c r="A26" s="399"/>
      <c r="B26" s="399" t="s">
        <v>240</v>
      </c>
      <c r="C26" s="399"/>
      <c r="D26" s="536" t="str">
        <f>IFERROR(MEDIAN(K6:K17),"")</f>
        <v/>
      </c>
      <c r="E26" s="538" t="str">
        <f>IFERROR(MEDIAN(M6:M17),"")</f>
        <v/>
      </c>
      <c r="F26" s="533" t="str">
        <f>IFERROR(MEDIAN(O6:O17),"")</f>
        <v/>
      </c>
      <c r="G26" s="536">
        <f>-Inputs!$Q$99+Inputs!$Q$100</f>
        <v>40.699999999999989</v>
      </c>
      <c r="H26" s="538">
        <f>+Inputs!$Q$101</f>
        <v>0</v>
      </c>
      <c r="I26" s="533">
        <f>+Inputs!$Q$102</f>
        <v>0</v>
      </c>
      <c r="J26" s="441" t="str">
        <f>IFERROR(D26*$D$97+G26+H26+I26,"")</f>
        <v/>
      </c>
      <c r="K26" s="441" t="str">
        <f>IFERROR(E26*$D$100+G26+H26+I26,"")</f>
        <v/>
      </c>
      <c r="L26" s="534" t="str">
        <f>IFERROR(+F26*$D$105,"")</f>
        <v/>
      </c>
      <c r="M26" s="539" t="str" cm="1">
        <f t="array" ref="M26">IFERROR(+(J26/_FV($A$6,"Shares outstanding",TRUE)*1000000)/$P$24-1,"")</f>
        <v/>
      </c>
      <c r="N26" s="539" t="str" cm="1">
        <f t="array" ref="N26">IFERROR((+K26/_FV($A$6,"Shares outstanding",TRUE)*1000000)/$P$24-1,"")</f>
        <v/>
      </c>
      <c r="O26" s="539" t="str" cm="1">
        <f t="array" ref="O26">+IFERROR((L26/_FV($A$6,"Shares outstanding",TRUE)*1000000)/$P$24-1,"")</f>
        <v/>
      </c>
      <c r="P26" s="541"/>
      <c r="Q26" s="399"/>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row>
    <row r="27" spans="1:42" s="374" customFormat="1" ht="14.1">
      <c r="A27" s="399"/>
      <c r="B27" s="399" t="s">
        <v>241</v>
      </c>
      <c r="C27" s="399"/>
      <c r="D27" s="536" t="str">
        <f>IFERROR(LARGE(K6:K17,2),"")</f>
        <v/>
      </c>
      <c r="E27" s="538" t="str">
        <f>IFERROR(LARGE(M6:M17,2),"")</f>
        <v/>
      </c>
      <c r="F27" s="533" t="str">
        <f>IFERROR(LARGE(O6:O17,2),"")</f>
        <v/>
      </c>
      <c r="G27" s="536">
        <f>-Inputs!$Q$99+Inputs!$Q$100</f>
        <v>40.699999999999989</v>
      </c>
      <c r="H27" s="538">
        <f>+Inputs!$Q$101</f>
        <v>0</v>
      </c>
      <c r="I27" s="533">
        <f>+Inputs!$Q$102</f>
        <v>0</v>
      </c>
      <c r="J27" s="441" t="str">
        <f>IFERROR(+D27*$D$97+G27+H27+I27,"")</f>
        <v/>
      </c>
      <c r="K27" s="441" t="str">
        <f>IFERROR(E27*$D$100+G27+H27+I27,"")</f>
        <v/>
      </c>
      <c r="L27" s="534" t="str">
        <f>IFERROR(+F27*$D$105,"")</f>
        <v/>
      </c>
      <c r="M27" s="539" t="str" cm="1">
        <f t="array" ref="M27">IFERROR(+(J27/_FV($A$6,"Shares outstanding",TRUE)*1000000)/$P$24-1,"")</f>
        <v/>
      </c>
      <c r="N27" s="539" t="str" cm="1">
        <f t="array" ref="N27">IFERROR((+K27/_FV($A$6,"Shares outstanding",TRUE)*1000000)/$P$24-1,"")</f>
        <v/>
      </c>
      <c r="O27" s="539" t="str" cm="1">
        <f t="array" ref="O27">IFERROR(+(L27/_FV($A$6,"Shares outstanding",TRUE)*1000000)/$P$24-1,"")</f>
        <v/>
      </c>
      <c r="P27" s="541"/>
      <c r="Q27" s="399"/>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row>
    <row r="28" spans="1:42" s="374" customFormat="1" ht="14.25" customHeight="1">
      <c r="A28" s="399"/>
      <c r="B28" s="399"/>
      <c r="C28" s="399"/>
      <c r="D28" s="399"/>
      <c r="E28" s="399"/>
      <c r="F28" s="399"/>
      <c r="G28" s="399"/>
      <c r="H28" s="399"/>
      <c r="I28" s="399"/>
      <c r="J28" s="399"/>
      <c r="K28" s="399"/>
      <c r="L28" s="399"/>
      <c r="M28" s="399"/>
      <c r="N28" s="399"/>
      <c r="O28" s="443"/>
      <c r="P28" s="399"/>
      <c r="Q28" s="399"/>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row>
    <row r="29" spans="1:42" s="377" customFormat="1" ht="14.25" customHeight="1">
      <c r="A29" s="408"/>
      <c r="B29" s="617" t="s">
        <v>242</v>
      </c>
      <c r="C29" s="618"/>
      <c r="D29" s="384" t="str">
        <f>+LEFT(B6, FIND(" ", B6 &amp; " ") - 1)</f>
        <v/>
      </c>
      <c r="E29" s="384" t="str">
        <f>+LEFT(B8, FIND(" ", B8 &amp; " ") - 1)</f>
        <v/>
      </c>
      <c r="F29" s="384" t="str">
        <f>+LEFT(B9, FIND(" ", B9 &amp; " ") - 1)</f>
        <v/>
      </c>
      <c r="G29" s="384" t="str">
        <f>+LEFT(B10, FIND(" ", B10 &amp; " ") - 1)</f>
        <v/>
      </c>
      <c r="H29" s="384" t="str">
        <f>+LEFT(B11, FIND(" ", B11 &amp; " ") - 1)</f>
        <v/>
      </c>
      <c r="I29" s="384" t="str">
        <f>+LEFT(B12, FIND(" ", B12 &amp; " ") - 1)</f>
        <v/>
      </c>
      <c r="J29" s="384" t="str">
        <f>+LEFT(C12, FIND(" ", C12 &amp; " ") - 1)</f>
        <v/>
      </c>
      <c r="K29" s="384" t="str">
        <f>+LEFT(B14, FIND(" ", B14 &amp; " ") - 1)</f>
        <v/>
      </c>
      <c r="L29" s="384" t="str">
        <f>+LEFT(B15, FIND(" ", B15 &amp; " ") - 1)</f>
        <v/>
      </c>
      <c r="M29" s="384" t="str">
        <f>+LEFT(B16, FIND(" ", B16 &amp; " ") - 1)</f>
        <v/>
      </c>
      <c r="N29" s="384" t="str">
        <f>+LEFT(B17, FIND(" ", B17 &amp; " ") - 1)</f>
        <v/>
      </c>
      <c r="O29" s="444" t="s">
        <v>223</v>
      </c>
      <c r="P29" s="408"/>
      <c r="Q29" s="408" t="s">
        <v>147</v>
      </c>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c r="AO29" s="408"/>
      <c r="AP29" s="408"/>
    </row>
    <row r="30" spans="1:42" s="374" customFormat="1" ht="3.75" customHeight="1">
      <c r="A30" s="399"/>
      <c r="B30" s="434"/>
      <c r="C30" s="434"/>
      <c r="D30" s="434"/>
      <c r="E30" s="434"/>
      <c r="F30" s="434"/>
      <c r="G30" s="434"/>
      <c r="H30" s="434"/>
      <c r="I30" s="434"/>
      <c r="J30" s="434"/>
      <c r="K30" s="434"/>
      <c r="L30" s="434"/>
      <c r="M30" s="434"/>
      <c r="N30" s="434"/>
      <c r="O30" s="445"/>
      <c r="P30" s="399"/>
      <c r="Q30" s="399"/>
      <c r="R30" s="446"/>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row>
    <row r="31" spans="1:42" s="374" customFormat="1" ht="14.25" customHeight="1">
      <c r="A31" s="399"/>
      <c r="B31" s="399" t="s">
        <v>243</v>
      </c>
      <c r="C31" s="399"/>
      <c r="D31" s="447">
        <f>IFERROR(D101/D97,"")</f>
        <v>-0.34440623567171025</v>
      </c>
      <c r="E31" s="447" t="str">
        <f t="shared" ref="E31:N31" si="1">IFERROR(E101/E97,"")</f>
        <v/>
      </c>
      <c r="F31" s="447" t="str">
        <f t="shared" si="1"/>
        <v/>
      </c>
      <c r="G31" s="447" t="str">
        <f t="shared" si="1"/>
        <v/>
      </c>
      <c r="H31" s="447" t="str">
        <f t="shared" si="1"/>
        <v/>
      </c>
      <c r="I31" s="447" t="str">
        <f t="shared" si="1"/>
        <v/>
      </c>
      <c r="J31" s="447" t="str">
        <f t="shared" si="1"/>
        <v/>
      </c>
      <c r="K31" s="447" t="str">
        <f t="shared" si="1"/>
        <v/>
      </c>
      <c r="L31" s="447" t="str">
        <f t="shared" si="1"/>
        <v/>
      </c>
      <c r="M31" s="447" t="str">
        <f t="shared" si="1"/>
        <v/>
      </c>
      <c r="N31" s="447" t="str">
        <f t="shared" si="1"/>
        <v/>
      </c>
      <c r="O31" s="688">
        <f t="shared" ref="O31:O36" si="2">IFERROR(+AVERAGE(D31:N31),"")</f>
        <v>-0.34440623567171025</v>
      </c>
      <c r="P31" s="399"/>
      <c r="Q31" s="399"/>
      <c r="R31" s="446"/>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row>
    <row r="32" spans="1:42" s="374" customFormat="1" ht="14.25" customHeight="1">
      <c r="A32" s="399"/>
      <c r="B32" s="399" t="s">
        <v>42</v>
      </c>
      <c r="C32" s="399"/>
      <c r="D32" s="447">
        <f>IFERROR(D105/D97,"")</f>
        <v>-0.34555249885373684</v>
      </c>
      <c r="E32" s="447" t="str">
        <f t="shared" ref="E32:N32" si="3">IFERROR(E105/E97,"")</f>
        <v/>
      </c>
      <c r="F32" s="447" t="str">
        <f t="shared" si="3"/>
        <v/>
      </c>
      <c r="G32" s="447" t="str">
        <f t="shared" si="3"/>
        <v/>
      </c>
      <c r="H32" s="447" t="str">
        <f t="shared" si="3"/>
        <v/>
      </c>
      <c r="I32" s="447" t="str">
        <f t="shared" si="3"/>
        <v/>
      </c>
      <c r="J32" s="447" t="str">
        <f t="shared" si="3"/>
        <v/>
      </c>
      <c r="K32" s="447" t="str">
        <f t="shared" si="3"/>
        <v/>
      </c>
      <c r="L32" s="447" t="str">
        <f t="shared" si="3"/>
        <v/>
      </c>
      <c r="M32" s="447" t="str">
        <f t="shared" si="3"/>
        <v/>
      </c>
      <c r="N32" s="447" t="str">
        <f t="shared" si="3"/>
        <v/>
      </c>
      <c r="O32" s="688">
        <f t="shared" si="2"/>
        <v>-0.34555249885373684</v>
      </c>
      <c r="P32" s="399"/>
      <c r="Q32" s="399"/>
      <c r="R32" s="446"/>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row>
    <row r="33" spans="2:18" s="374" customFormat="1" ht="14.25" customHeight="1">
      <c r="B33" s="399" t="s">
        <v>244</v>
      </c>
      <c r="C33" s="399"/>
      <c r="D33" s="447">
        <f>IFERROR(D105/D117,"")</f>
        <v>-0.12727349489149711</v>
      </c>
      <c r="E33" s="447" t="str">
        <f t="shared" ref="E33:N33" si="4">IFERROR(E105/E117,"")</f>
        <v/>
      </c>
      <c r="F33" s="447" t="str">
        <f t="shared" si="4"/>
        <v/>
      </c>
      <c r="G33" s="447" t="str">
        <f t="shared" si="4"/>
        <v/>
      </c>
      <c r="H33" s="447" t="str">
        <f t="shared" si="4"/>
        <v/>
      </c>
      <c r="I33" s="447" t="str">
        <f t="shared" si="4"/>
        <v/>
      </c>
      <c r="J33" s="447" t="str">
        <f t="shared" si="4"/>
        <v/>
      </c>
      <c r="K33" s="447" t="str">
        <f t="shared" si="4"/>
        <v/>
      </c>
      <c r="L33" s="447" t="str">
        <f t="shared" si="4"/>
        <v/>
      </c>
      <c r="M33" s="447" t="str">
        <f t="shared" si="4"/>
        <v/>
      </c>
      <c r="N33" s="447" t="str">
        <f t="shared" si="4"/>
        <v/>
      </c>
      <c r="O33" s="688">
        <f t="shared" si="2"/>
        <v>-0.12727349489149711</v>
      </c>
      <c r="P33" s="399"/>
      <c r="Q33" s="399"/>
      <c r="R33" s="446"/>
    </row>
    <row r="34" spans="2:18" s="374" customFormat="1" ht="14.25" customHeight="1">
      <c r="B34" s="399" t="s">
        <v>245</v>
      </c>
      <c r="C34" s="399"/>
      <c r="D34" s="447">
        <f>IFERROR(+(D102/D121)*(1-(D104/D103)),"")</f>
        <v>8.7496590372867378E-3</v>
      </c>
      <c r="E34" s="447" t="str">
        <f t="shared" ref="E34:N34" si="5">IFERROR(+(E102/E121)*(1-(E104/E103)),"")</f>
        <v/>
      </c>
      <c r="F34" s="447" t="str">
        <f t="shared" si="5"/>
        <v/>
      </c>
      <c r="G34" s="447" t="str">
        <f t="shared" si="5"/>
        <v/>
      </c>
      <c r="H34" s="447" t="str">
        <f t="shared" si="5"/>
        <v/>
      </c>
      <c r="I34" s="447" t="str">
        <f t="shared" si="5"/>
        <v/>
      </c>
      <c r="J34" s="447" t="str">
        <f t="shared" si="5"/>
        <v/>
      </c>
      <c r="K34" s="447" t="str">
        <f t="shared" si="5"/>
        <v/>
      </c>
      <c r="L34" s="447" t="str">
        <f t="shared" si="5"/>
        <v/>
      </c>
      <c r="M34" s="447" t="str">
        <f t="shared" si="5"/>
        <v/>
      </c>
      <c r="N34" s="447" t="str">
        <f t="shared" si="5"/>
        <v/>
      </c>
      <c r="O34" s="688">
        <f t="shared" si="2"/>
        <v>8.7496590372867378E-3</v>
      </c>
      <c r="P34" s="399"/>
      <c r="Q34" s="399"/>
      <c r="R34" s="446"/>
    </row>
    <row r="35" spans="2:18" s="374" customFormat="1" ht="14.25" customHeight="1">
      <c r="B35" s="399" t="s">
        <v>246</v>
      </c>
      <c r="C35" s="399"/>
      <c r="D35" s="447">
        <f>IFERROR(+D105/D122,"")</f>
        <v>-0.39416841004184106</v>
      </c>
      <c r="E35" s="447" t="str">
        <f t="shared" ref="E35:N35" si="6">IFERROR(+E105/E122,"")</f>
        <v/>
      </c>
      <c r="F35" s="447" t="str">
        <f t="shared" si="6"/>
        <v/>
      </c>
      <c r="G35" s="447" t="str">
        <f t="shared" si="6"/>
        <v/>
      </c>
      <c r="H35" s="447" t="str">
        <f t="shared" si="6"/>
        <v/>
      </c>
      <c r="I35" s="447" t="str">
        <f t="shared" si="6"/>
        <v/>
      </c>
      <c r="J35" s="447" t="str">
        <f t="shared" si="6"/>
        <v/>
      </c>
      <c r="K35" s="447" t="str">
        <f t="shared" si="6"/>
        <v/>
      </c>
      <c r="L35" s="447" t="str">
        <f t="shared" si="6"/>
        <v/>
      </c>
      <c r="M35" s="447" t="str">
        <f t="shared" si="6"/>
        <v/>
      </c>
      <c r="N35" s="447" t="str">
        <f t="shared" si="6"/>
        <v/>
      </c>
      <c r="O35" s="688">
        <f t="shared" si="2"/>
        <v>-0.39416841004184106</v>
      </c>
      <c r="P35" s="399"/>
      <c r="Q35" s="399"/>
      <c r="R35" s="446"/>
    </row>
    <row r="36" spans="2:18" s="374" customFormat="1" ht="14.25" customHeight="1">
      <c r="B36" s="399" t="s">
        <v>247</v>
      </c>
      <c r="C36" s="399"/>
      <c r="D36" s="447">
        <f>IFERROR(+D105/(D121+D122),"")</f>
        <v>-0.17901425178147271</v>
      </c>
      <c r="E36" s="447" t="str">
        <f t="shared" ref="E36:N36" si="7">IFERROR(+E105/(E121+E122),"")</f>
        <v/>
      </c>
      <c r="F36" s="447" t="str">
        <f t="shared" si="7"/>
        <v/>
      </c>
      <c r="G36" s="447" t="str">
        <f t="shared" si="7"/>
        <v/>
      </c>
      <c r="H36" s="447" t="str">
        <f t="shared" si="7"/>
        <v/>
      </c>
      <c r="I36" s="447" t="str">
        <f t="shared" si="7"/>
        <v/>
      </c>
      <c r="J36" s="447" t="str">
        <f t="shared" si="7"/>
        <v/>
      </c>
      <c r="K36" s="447" t="str">
        <f t="shared" si="7"/>
        <v/>
      </c>
      <c r="L36" s="447" t="str">
        <f t="shared" si="7"/>
        <v/>
      </c>
      <c r="M36" s="447" t="str">
        <f t="shared" si="7"/>
        <v/>
      </c>
      <c r="N36" s="447" t="str">
        <f t="shared" si="7"/>
        <v/>
      </c>
      <c r="O36" s="688">
        <f t="shared" si="2"/>
        <v>-0.17901425178147271</v>
      </c>
      <c r="P36" s="399"/>
      <c r="Q36" s="399"/>
      <c r="R36" s="446"/>
    </row>
    <row r="37" spans="2:18" s="374" customFormat="1" ht="3.75" customHeight="1">
      <c r="B37" s="399"/>
      <c r="C37" s="399"/>
      <c r="D37" s="399"/>
      <c r="E37" s="399"/>
      <c r="F37" s="399"/>
      <c r="G37" s="399"/>
      <c r="H37" s="399"/>
      <c r="I37" s="399"/>
      <c r="J37" s="399"/>
      <c r="K37" s="399"/>
      <c r="L37" s="399"/>
      <c r="M37" s="399"/>
      <c r="N37" s="399"/>
      <c r="O37" s="443"/>
      <c r="P37" s="399"/>
      <c r="Q37" s="399"/>
      <c r="R37" s="446"/>
    </row>
    <row r="38" spans="2:18" s="377" customFormat="1" ht="14.25" customHeight="1">
      <c r="B38" s="617" t="s">
        <v>248</v>
      </c>
      <c r="C38" s="618"/>
      <c r="D38" s="384" t="str">
        <f>+D29</f>
        <v/>
      </c>
      <c r="E38" s="384" t="str">
        <f t="shared" ref="E38:O38" si="8">+E29</f>
        <v/>
      </c>
      <c r="F38" s="384" t="str">
        <f t="shared" si="8"/>
        <v/>
      </c>
      <c r="G38" s="384" t="str">
        <f t="shared" si="8"/>
        <v/>
      </c>
      <c r="H38" s="384" t="str">
        <f t="shared" si="8"/>
        <v/>
      </c>
      <c r="I38" s="384" t="str">
        <f t="shared" si="8"/>
        <v/>
      </c>
      <c r="J38" s="384" t="str">
        <f t="shared" si="8"/>
        <v/>
      </c>
      <c r="K38" s="384" t="str">
        <f t="shared" si="8"/>
        <v/>
      </c>
      <c r="L38" s="384" t="str">
        <f t="shared" si="8"/>
        <v/>
      </c>
      <c r="M38" s="384" t="str">
        <f t="shared" si="8"/>
        <v/>
      </c>
      <c r="N38" s="384" t="str">
        <f t="shared" si="8"/>
        <v/>
      </c>
      <c r="O38" s="384" t="str">
        <f t="shared" si="8"/>
        <v>Average</v>
      </c>
      <c r="P38" s="408"/>
      <c r="Q38" s="408"/>
      <c r="R38" s="619"/>
    </row>
    <row r="39" spans="2:18" s="374" customFormat="1" ht="3.75" customHeight="1">
      <c r="B39" s="434"/>
      <c r="C39" s="434"/>
      <c r="D39" s="434"/>
      <c r="E39" s="434"/>
      <c r="F39" s="434"/>
      <c r="G39" s="434"/>
      <c r="H39" s="434"/>
      <c r="I39" s="434"/>
      <c r="J39" s="434"/>
      <c r="K39" s="434"/>
      <c r="L39" s="434"/>
      <c r="M39" s="434"/>
      <c r="N39" s="434"/>
      <c r="O39" s="445"/>
      <c r="P39" s="399"/>
      <c r="Q39" s="399"/>
      <c r="R39" s="446"/>
    </row>
    <row r="40" spans="2:18" s="374" customFormat="1" ht="14.25" customHeight="1">
      <c r="B40" s="399" t="s">
        <v>249</v>
      </c>
      <c r="C40" s="399"/>
      <c r="D40" s="448">
        <f>IFERROR(D121/D117,"")</f>
        <v>0.38807734526724647</v>
      </c>
      <c r="E40" s="448" t="str">
        <f t="shared" ref="E40:N40" si="9">IFERROR(E121/E117,"")</f>
        <v/>
      </c>
      <c r="F40" s="448" t="str">
        <f t="shared" si="9"/>
        <v/>
      </c>
      <c r="G40" s="448" t="str">
        <f t="shared" si="9"/>
        <v/>
      </c>
      <c r="H40" s="448" t="str">
        <f t="shared" si="9"/>
        <v/>
      </c>
      <c r="I40" s="448" t="str">
        <f t="shared" si="9"/>
        <v/>
      </c>
      <c r="J40" s="448" t="str">
        <f t="shared" si="9"/>
        <v/>
      </c>
      <c r="K40" s="448" t="str">
        <f t="shared" si="9"/>
        <v/>
      </c>
      <c r="L40" s="448" t="str">
        <f t="shared" si="9"/>
        <v/>
      </c>
      <c r="M40" s="448" t="str">
        <f t="shared" si="9"/>
        <v/>
      </c>
      <c r="N40" s="448" t="str">
        <f t="shared" si="9"/>
        <v/>
      </c>
      <c r="O40" s="687">
        <f t="shared" ref="O40:O42" si="10">IFERROR(+AVERAGE(D40:N40),"")</f>
        <v>0.38807734526724647</v>
      </c>
      <c r="P40" s="399"/>
      <c r="Q40" s="399"/>
      <c r="R40" s="446"/>
    </row>
    <row r="41" spans="2:18" s="374" customFormat="1" ht="14.25" customHeight="1">
      <c r="B41" s="399" t="s">
        <v>250</v>
      </c>
      <c r="C41" s="399"/>
      <c r="D41" s="448">
        <f>IFERROR(+(D121-D111)/D100,"")</f>
        <v>-1.0356946732564523</v>
      </c>
      <c r="E41" s="448" t="str">
        <f t="shared" ref="E41:N41" si="11">IFERROR(+(E121-E111)/E100,"")</f>
        <v/>
      </c>
      <c r="F41" s="448" t="str">
        <f t="shared" si="11"/>
        <v/>
      </c>
      <c r="G41" s="448" t="str">
        <f t="shared" si="11"/>
        <v/>
      </c>
      <c r="H41" s="448" t="str">
        <f t="shared" si="11"/>
        <v/>
      </c>
      <c r="I41" s="448" t="str">
        <f t="shared" si="11"/>
        <v/>
      </c>
      <c r="J41" s="448" t="str">
        <f t="shared" si="11"/>
        <v/>
      </c>
      <c r="K41" s="448" t="str">
        <f t="shared" si="11"/>
        <v/>
      </c>
      <c r="L41" s="448" t="str">
        <f t="shared" si="11"/>
        <v/>
      </c>
      <c r="M41" s="448" t="str">
        <f t="shared" si="11"/>
        <v/>
      </c>
      <c r="N41" s="448" t="str">
        <f t="shared" si="11"/>
        <v/>
      </c>
      <c r="O41" s="687">
        <f t="shared" si="10"/>
        <v>-1.0356946732564523</v>
      </c>
      <c r="P41" s="399"/>
      <c r="Q41" s="399"/>
      <c r="R41" s="446"/>
    </row>
    <row r="42" spans="2:18" s="374" customFormat="1" ht="14.25" customHeight="1">
      <c r="B42" s="399" t="s">
        <v>251</v>
      </c>
      <c r="C42" s="399"/>
      <c r="D42" s="448">
        <f t="shared" ref="D42:N42" si="12">IFERROR(D101/D102,"")</f>
        <v>-37.557500000000005</v>
      </c>
      <c r="E42" s="448" t="str">
        <f t="shared" si="12"/>
        <v/>
      </c>
      <c r="F42" s="448" t="str">
        <f t="shared" si="12"/>
        <v/>
      </c>
      <c r="G42" s="448" t="str">
        <f t="shared" si="12"/>
        <v/>
      </c>
      <c r="H42" s="448" t="str">
        <f t="shared" si="12"/>
        <v/>
      </c>
      <c r="I42" s="448" t="str">
        <f t="shared" si="12"/>
        <v/>
      </c>
      <c r="J42" s="448" t="str">
        <f t="shared" si="12"/>
        <v/>
      </c>
      <c r="K42" s="448" t="str">
        <f t="shared" si="12"/>
        <v/>
      </c>
      <c r="L42" s="448" t="str">
        <f t="shared" si="12"/>
        <v/>
      </c>
      <c r="M42" s="448" t="str">
        <f t="shared" si="12"/>
        <v/>
      </c>
      <c r="N42" s="448" t="str">
        <f t="shared" si="12"/>
        <v/>
      </c>
      <c r="O42" s="687">
        <f t="shared" si="10"/>
        <v>-37.557500000000005</v>
      </c>
      <c r="P42" s="399"/>
      <c r="Q42" s="399"/>
      <c r="R42" s="446"/>
    </row>
    <row r="43" spans="2:18" s="374" customFormat="1" ht="3.75" customHeight="1">
      <c r="B43" s="399"/>
      <c r="C43" s="399"/>
      <c r="D43" s="399"/>
      <c r="E43" s="399"/>
      <c r="F43" s="399"/>
      <c r="G43" s="399"/>
      <c r="H43" s="399"/>
      <c r="I43" s="399"/>
      <c r="J43" s="399"/>
      <c r="K43" s="399"/>
      <c r="L43" s="399"/>
      <c r="M43" s="399"/>
      <c r="N43" s="399"/>
      <c r="O43" s="443"/>
      <c r="P43" s="399"/>
      <c r="Q43" s="399"/>
      <c r="R43" s="446"/>
    </row>
    <row r="44" spans="2:18" s="377" customFormat="1" ht="14.25" customHeight="1">
      <c r="B44" s="617" t="s">
        <v>252</v>
      </c>
      <c r="C44" s="618"/>
      <c r="D44" s="384" t="str">
        <f>+D29</f>
        <v/>
      </c>
      <c r="E44" s="384" t="str">
        <f t="shared" ref="E44:O44" si="13">+E29</f>
        <v/>
      </c>
      <c r="F44" s="384" t="str">
        <f t="shared" si="13"/>
        <v/>
      </c>
      <c r="G44" s="384" t="str">
        <f t="shared" si="13"/>
        <v/>
      </c>
      <c r="H44" s="384" t="str">
        <f t="shared" si="13"/>
        <v/>
      </c>
      <c r="I44" s="384" t="str">
        <f t="shared" si="13"/>
        <v/>
      </c>
      <c r="J44" s="384" t="str">
        <f t="shared" si="13"/>
        <v/>
      </c>
      <c r="K44" s="384" t="str">
        <f t="shared" si="13"/>
        <v/>
      </c>
      <c r="L44" s="384" t="str">
        <f t="shared" si="13"/>
        <v/>
      </c>
      <c r="M44" s="384" t="str">
        <f t="shared" si="13"/>
        <v/>
      </c>
      <c r="N44" s="384" t="str">
        <f t="shared" si="13"/>
        <v/>
      </c>
      <c r="O44" s="384" t="str">
        <f t="shared" si="13"/>
        <v>Average</v>
      </c>
      <c r="P44" s="408"/>
      <c r="Q44" s="408"/>
      <c r="R44" s="619"/>
    </row>
    <row r="45" spans="2:18" s="374" customFormat="1" ht="3.75" customHeight="1">
      <c r="B45" s="434"/>
      <c r="C45" s="434"/>
      <c r="D45" s="434"/>
      <c r="E45" s="434"/>
      <c r="F45" s="434"/>
      <c r="G45" s="434"/>
      <c r="H45" s="434"/>
      <c r="I45" s="434"/>
      <c r="J45" s="434"/>
      <c r="K45" s="434"/>
      <c r="L45" s="434"/>
      <c r="M45" s="434"/>
      <c r="N45" s="434"/>
      <c r="O45" s="445"/>
      <c r="P45" s="399"/>
      <c r="Q45" s="399"/>
      <c r="R45" s="446"/>
    </row>
    <row r="46" spans="2:18" s="374" customFormat="1" ht="14.25" customHeight="1">
      <c r="B46" s="399" t="s">
        <v>50</v>
      </c>
      <c r="C46" s="399"/>
      <c r="D46" s="448">
        <f>IFERROR(D111/D119,"")</f>
        <v>0.79823269513991169</v>
      </c>
      <c r="E46" s="448" t="str">
        <f t="shared" ref="E46:N46" si="14">IFERROR(E111/E119,"")</f>
        <v/>
      </c>
      <c r="F46" s="448" t="str">
        <f t="shared" si="14"/>
        <v/>
      </c>
      <c r="G46" s="448" t="str">
        <f t="shared" si="14"/>
        <v/>
      </c>
      <c r="H46" s="448" t="str">
        <f t="shared" si="14"/>
        <v/>
      </c>
      <c r="I46" s="448" t="str">
        <f t="shared" si="14"/>
        <v/>
      </c>
      <c r="J46" s="448" t="str">
        <f t="shared" si="14"/>
        <v/>
      </c>
      <c r="K46" s="448" t="str">
        <f t="shared" si="14"/>
        <v/>
      </c>
      <c r="L46" s="448" t="str">
        <f t="shared" si="14"/>
        <v/>
      </c>
      <c r="M46" s="448" t="str">
        <f t="shared" si="14"/>
        <v/>
      </c>
      <c r="N46" s="448" t="str">
        <f t="shared" si="14"/>
        <v/>
      </c>
      <c r="O46" s="687">
        <f t="shared" ref="O46:O48" si="15">IFERROR(+AVERAGE(D46:N46),"")</f>
        <v>0.79823269513991169</v>
      </c>
      <c r="P46" s="399"/>
      <c r="Q46" s="399"/>
      <c r="R46" s="446"/>
    </row>
    <row r="47" spans="2:18" s="374" customFormat="1" ht="14.25" customHeight="1">
      <c r="B47" s="399" t="s">
        <v>53</v>
      </c>
      <c r="C47" s="399"/>
      <c r="D47" s="448">
        <f>IFERROR(+(D111+D112)/D119,"")</f>
        <v>0.90544918998527235</v>
      </c>
      <c r="E47" s="448" t="str">
        <f t="shared" ref="E47:N47" si="16">IFERROR(+(E111+E112)/E119,"")</f>
        <v/>
      </c>
      <c r="F47" s="448" t="str">
        <f t="shared" si="16"/>
        <v/>
      </c>
      <c r="G47" s="448" t="str">
        <f t="shared" si="16"/>
        <v/>
      </c>
      <c r="H47" s="448" t="str">
        <f t="shared" si="16"/>
        <v/>
      </c>
      <c r="I47" s="448" t="str">
        <f t="shared" si="16"/>
        <v/>
      </c>
      <c r="J47" s="448" t="str">
        <f t="shared" si="16"/>
        <v/>
      </c>
      <c r="K47" s="448" t="str">
        <f t="shared" si="16"/>
        <v/>
      </c>
      <c r="L47" s="448" t="str">
        <f t="shared" si="16"/>
        <v/>
      </c>
      <c r="M47" s="448" t="str">
        <f t="shared" si="16"/>
        <v/>
      </c>
      <c r="N47" s="448" t="str">
        <f t="shared" si="16"/>
        <v/>
      </c>
      <c r="O47" s="687">
        <f t="shared" si="15"/>
        <v>0.90544918998527235</v>
      </c>
      <c r="P47" s="399"/>
      <c r="Q47" s="399"/>
      <c r="R47" s="446"/>
    </row>
    <row r="48" spans="2:18" s="374" customFormat="1" ht="14.25" customHeight="1">
      <c r="B48" s="399" t="s">
        <v>55</v>
      </c>
      <c r="C48" s="399"/>
      <c r="D48" s="448">
        <f>IFERROR(D115/D119,"")</f>
        <v>2.0400589101620028</v>
      </c>
      <c r="E48" s="448" t="str">
        <f t="shared" ref="E48:N48" si="17">IFERROR(E115/E119,"")</f>
        <v/>
      </c>
      <c r="F48" s="448" t="str">
        <f t="shared" si="17"/>
        <v/>
      </c>
      <c r="G48" s="448" t="str">
        <f t="shared" si="17"/>
        <v/>
      </c>
      <c r="H48" s="448" t="str">
        <f t="shared" si="17"/>
        <v/>
      </c>
      <c r="I48" s="448" t="str">
        <f t="shared" si="17"/>
        <v/>
      </c>
      <c r="J48" s="448" t="str">
        <f t="shared" si="17"/>
        <v/>
      </c>
      <c r="K48" s="448" t="str">
        <f t="shared" si="17"/>
        <v/>
      </c>
      <c r="L48" s="448" t="str">
        <f t="shared" si="17"/>
        <v/>
      </c>
      <c r="M48" s="448" t="str">
        <f t="shared" si="17"/>
        <v/>
      </c>
      <c r="N48" s="448" t="str">
        <f t="shared" si="17"/>
        <v/>
      </c>
      <c r="O48" s="687">
        <f t="shared" si="15"/>
        <v>2.0400589101620028</v>
      </c>
      <c r="P48" s="399"/>
      <c r="Q48" s="399"/>
      <c r="R48" s="446"/>
    </row>
    <row r="49" spans="2:18" s="374" customFormat="1" ht="3.75" customHeight="1">
      <c r="B49" s="399"/>
      <c r="C49" s="399"/>
      <c r="D49" s="448"/>
      <c r="E49" s="399"/>
      <c r="F49" s="399"/>
      <c r="G49" s="399"/>
      <c r="H49" s="399"/>
      <c r="I49" s="399"/>
      <c r="J49" s="399"/>
      <c r="K49" s="399"/>
      <c r="L49" s="399"/>
      <c r="M49" s="399"/>
      <c r="N49" s="399"/>
      <c r="O49" s="443"/>
      <c r="P49" s="399"/>
      <c r="Q49" s="399"/>
      <c r="R49" s="446"/>
    </row>
    <row r="50" spans="2:18" s="377" customFormat="1" ht="14.25" customHeight="1">
      <c r="B50" s="617" t="s">
        <v>253</v>
      </c>
      <c r="C50" s="618"/>
      <c r="D50" s="384" t="str">
        <f>+D29</f>
        <v/>
      </c>
      <c r="E50" s="384" t="str">
        <f t="shared" ref="E50:O50" si="18">+E29</f>
        <v/>
      </c>
      <c r="F50" s="384" t="str">
        <f t="shared" si="18"/>
        <v/>
      </c>
      <c r="G50" s="384" t="str">
        <f t="shared" si="18"/>
        <v/>
      </c>
      <c r="H50" s="384" t="str">
        <f t="shared" si="18"/>
        <v/>
      </c>
      <c r="I50" s="384" t="str">
        <f t="shared" si="18"/>
        <v/>
      </c>
      <c r="J50" s="384" t="str">
        <f t="shared" si="18"/>
        <v/>
      </c>
      <c r="K50" s="384" t="str">
        <f t="shared" si="18"/>
        <v/>
      </c>
      <c r="L50" s="384" t="str">
        <f t="shared" si="18"/>
        <v/>
      </c>
      <c r="M50" s="384" t="str">
        <f t="shared" si="18"/>
        <v/>
      </c>
      <c r="N50" s="384" t="str">
        <f t="shared" si="18"/>
        <v/>
      </c>
      <c r="O50" s="384" t="str">
        <f t="shared" si="18"/>
        <v>Average</v>
      </c>
      <c r="P50" s="408"/>
      <c r="Q50" s="408"/>
      <c r="R50" s="619"/>
    </row>
    <row r="51" spans="2:18" s="374" customFormat="1" ht="3.75" customHeight="1">
      <c r="B51" s="434"/>
      <c r="C51" s="434"/>
      <c r="D51" s="434"/>
      <c r="E51" s="434"/>
      <c r="F51" s="434"/>
      <c r="G51" s="434"/>
      <c r="H51" s="434"/>
      <c r="I51" s="434"/>
      <c r="J51" s="434"/>
      <c r="K51" s="434"/>
      <c r="L51" s="434"/>
      <c r="M51" s="434"/>
      <c r="N51" s="434"/>
      <c r="O51" s="445"/>
      <c r="P51" s="399"/>
      <c r="Q51" s="399"/>
      <c r="R51" s="446"/>
    </row>
    <row r="52" spans="2:18" s="374" customFormat="1" ht="14.25" customHeight="1">
      <c r="B52" s="399" t="s">
        <v>254</v>
      </c>
      <c r="C52" s="399"/>
      <c r="D52" s="743">
        <f>IFERROR(D98/(AVERAGE(D113:D114)),"")</f>
        <v>2.8202643171806168</v>
      </c>
      <c r="E52" s="743" t="str">
        <f t="shared" ref="E52:N52" si="19">IFERROR(E98/(AVERAGE(E113:E114)),"")</f>
        <v/>
      </c>
      <c r="F52" s="743" t="str">
        <f t="shared" si="19"/>
        <v/>
      </c>
      <c r="G52" s="743" t="str">
        <f t="shared" si="19"/>
        <v/>
      </c>
      <c r="H52" s="743" t="str">
        <f t="shared" si="19"/>
        <v/>
      </c>
      <c r="I52" s="743" t="str">
        <f t="shared" si="19"/>
        <v/>
      </c>
      <c r="J52" s="743" t="str">
        <f t="shared" si="19"/>
        <v/>
      </c>
      <c r="K52" s="743" t="str">
        <f t="shared" si="19"/>
        <v/>
      </c>
      <c r="L52" s="743" t="str">
        <f t="shared" si="19"/>
        <v/>
      </c>
      <c r="M52" s="743" t="str">
        <f t="shared" si="19"/>
        <v/>
      </c>
      <c r="N52" s="743" t="str">
        <f t="shared" si="19"/>
        <v/>
      </c>
      <c r="O52" s="687">
        <f t="shared" ref="O52:O57" si="20">IFERROR(+AVERAGE(D52:N52),"")</f>
        <v>2.8202643171806168</v>
      </c>
      <c r="P52" s="399"/>
      <c r="Q52" s="399"/>
      <c r="R52" s="446"/>
    </row>
    <row r="53" spans="2:18" s="374" customFormat="1" ht="14.25" customHeight="1">
      <c r="B53" s="399" t="s">
        <v>255</v>
      </c>
      <c r="C53" s="399"/>
      <c r="D53" s="743">
        <f>IFERROR(D97/D112,"")</f>
        <v>11.983516483516484</v>
      </c>
      <c r="E53" s="743" t="str">
        <f t="shared" ref="E53:N53" si="21">IFERROR(E97/E112,"")</f>
        <v/>
      </c>
      <c r="F53" s="743" t="str">
        <f t="shared" si="21"/>
        <v/>
      </c>
      <c r="G53" s="743" t="str">
        <f t="shared" si="21"/>
        <v/>
      </c>
      <c r="H53" s="743" t="str">
        <f t="shared" si="21"/>
        <v/>
      </c>
      <c r="I53" s="743" t="str">
        <f t="shared" si="21"/>
        <v/>
      </c>
      <c r="J53" s="743" t="str">
        <f t="shared" si="21"/>
        <v/>
      </c>
      <c r="K53" s="743" t="str">
        <f t="shared" si="21"/>
        <v/>
      </c>
      <c r="L53" s="743" t="str">
        <f t="shared" si="21"/>
        <v/>
      </c>
      <c r="M53" s="743" t="str">
        <f t="shared" si="21"/>
        <v/>
      </c>
      <c r="N53" s="743" t="str">
        <f t="shared" si="21"/>
        <v/>
      </c>
      <c r="O53" s="687">
        <f t="shared" si="20"/>
        <v>11.983516483516484</v>
      </c>
      <c r="P53" s="399"/>
      <c r="Q53" s="399"/>
      <c r="R53" s="446"/>
    </row>
    <row r="54" spans="2:18" s="374" customFormat="1" ht="14.25" customHeight="1">
      <c r="B54" s="399" t="s">
        <v>256</v>
      </c>
      <c r="C54" s="399"/>
      <c r="D54" s="743">
        <f>IFERROR(D98/D118,"")</f>
        <v>4.4151724137931039</v>
      </c>
      <c r="E54" s="743" t="str">
        <f t="shared" ref="E54:N54" si="22">IFERROR(E98/E118,"")</f>
        <v/>
      </c>
      <c r="F54" s="743" t="str">
        <f t="shared" si="22"/>
        <v/>
      </c>
      <c r="G54" s="743" t="str">
        <f t="shared" si="22"/>
        <v/>
      </c>
      <c r="H54" s="743" t="str">
        <f t="shared" si="22"/>
        <v/>
      </c>
      <c r="I54" s="743" t="str">
        <f t="shared" si="22"/>
        <v/>
      </c>
      <c r="J54" s="743" t="str">
        <f t="shared" si="22"/>
        <v/>
      </c>
      <c r="K54" s="743" t="str">
        <f t="shared" si="22"/>
        <v/>
      </c>
      <c r="L54" s="743" t="str">
        <f t="shared" si="22"/>
        <v/>
      </c>
      <c r="M54" s="743" t="str">
        <f t="shared" si="22"/>
        <v/>
      </c>
      <c r="N54" s="743" t="str">
        <f t="shared" si="22"/>
        <v/>
      </c>
      <c r="O54" s="687">
        <f t="shared" si="20"/>
        <v>4.4151724137931039</v>
      </c>
      <c r="P54" s="399"/>
      <c r="Q54" s="399"/>
      <c r="R54" s="446"/>
    </row>
    <row r="55" spans="2:18" s="374" customFormat="1" ht="14.25" customHeight="1">
      <c r="B55" s="399" t="s">
        <v>257</v>
      </c>
      <c r="C55" s="399"/>
      <c r="D55" s="448">
        <f>IFERROR(D97/D116,"")</f>
        <v>1.6591860022822367</v>
      </c>
      <c r="E55" s="448" t="str">
        <f t="shared" ref="E55:N55" si="23">IFERROR(E97/E116,"")</f>
        <v/>
      </c>
      <c r="F55" s="448" t="str">
        <f t="shared" si="23"/>
        <v/>
      </c>
      <c r="G55" s="448" t="str">
        <f t="shared" si="23"/>
        <v/>
      </c>
      <c r="H55" s="448" t="str">
        <f t="shared" si="23"/>
        <v/>
      </c>
      <c r="I55" s="448" t="str">
        <f t="shared" si="23"/>
        <v/>
      </c>
      <c r="J55" s="448" t="str">
        <f t="shared" si="23"/>
        <v/>
      </c>
      <c r="K55" s="448" t="str">
        <f t="shared" si="23"/>
        <v/>
      </c>
      <c r="L55" s="448" t="str">
        <f t="shared" si="23"/>
        <v/>
      </c>
      <c r="M55" s="448" t="str">
        <f t="shared" si="23"/>
        <v/>
      </c>
      <c r="N55" s="448" t="str">
        <f t="shared" si="23"/>
        <v/>
      </c>
      <c r="O55" s="687">
        <f t="shared" si="20"/>
        <v>1.6591860022822367</v>
      </c>
      <c r="P55" s="399"/>
      <c r="Q55" s="399"/>
      <c r="R55" s="446"/>
    </row>
    <row r="56" spans="2:18" s="374" customFormat="1" ht="14.25" customHeight="1">
      <c r="B56" s="399" t="s">
        <v>258</v>
      </c>
      <c r="C56" s="399"/>
      <c r="D56" s="448">
        <f>IFERROR(D97/D117,"")</f>
        <v>0.36831883813222999</v>
      </c>
      <c r="E56" s="448" t="str">
        <f t="shared" ref="E56:N56" si="24">IFERROR(E97/E117,"")</f>
        <v/>
      </c>
      <c r="F56" s="448" t="str">
        <f t="shared" si="24"/>
        <v/>
      </c>
      <c r="G56" s="448" t="str">
        <f t="shared" si="24"/>
        <v/>
      </c>
      <c r="H56" s="448" t="str">
        <f t="shared" si="24"/>
        <v/>
      </c>
      <c r="I56" s="448" t="str">
        <f t="shared" si="24"/>
        <v/>
      </c>
      <c r="J56" s="448" t="str">
        <f t="shared" si="24"/>
        <v/>
      </c>
      <c r="K56" s="448" t="str">
        <f t="shared" si="24"/>
        <v/>
      </c>
      <c r="L56" s="448" t="str">
        <f t="shared" si="24"/>
        <v/>
      </c>
      <c r="M56" s="448" t="str">
        <f t="shared" si="24"/>
        <v/>
      </c>
      <c r="N56" s="448" t="str">
        <f t="shared" si="24"/>
        <v/>
      </c>
      <c r="O56" s="687">
        <f t="shared" si="20"/>
        <v>0.36831883813222999</v>
      </c>
      <c r="P56" s="399"/>
      <c r="Q56" s="399"/>
      <c r="R56" s="446"/>
    </row>
    <row r="57" spans="2:18" s="374" customFormat="1" ht="14.25" customHeight="1">
      <c r="B57" s="399" t="s">
        <v>259</v>
      </c>
      <c r="C57" s="399"/>
      <c r="D57" s="744">
        <f>IFERROR(365/D52+365/D53-365/D54,"")</f>
        <v>77.209520580526998</v>
      </c>
      <c r="E57" s="744" t="str">
        <f t="shared" ref="E57:N57" si="25">IFERROR(365/E52+365/E53-365/E54,"")</f>
        <v/>
      </c>
      <c r="F57" s="744" t="str">
        <f t="shared" si="25"/>
        <v/>
      </c>
      <c r="G57" s="744" t="str">
        <f t="shared" si="25"/>
        <v/>
      </c>
      <c r="H57" s="744" t="str">
        <f t="shared" si="25"/>
        <v/>
      </c>
      <c r="I57" s="744" t="str">
        <f t="shared" si="25"/>
        <v/>
      </c>
      <c r="J57" s="744" t="str">
        <f t="shared" si="25"/>
        <v/>
      </c>
      <c r="K57" s="744" t="str">
        <f t="shared" si="25"/>
        <v/>
      </c>
      <c r="L57" s="744" t="str">
        <f t="shared" si="25"/>
        <v/>
      </c>
      <c r="M57" s="744" t="str">
        <f t="shared" si="25"/>
        <v/>
      </c>
      <c r="N57" s="744" t="str">
        <f t="shared" si="25"/>
        <v/>
      </c>
      <c r="O57" s="687">
        <f t="shared" si="20"/>
        <v>77.209520580526998</v>
      </c>
      <c r="P57" s="399"/>
      <c r="Q57" s="399"/>
      <c r="R57" s="446"/>
    </row>
    <row r="58" spans="2:18" s="374" customFormat="1" ht="3.95" customHeight="1">
      <c r="B58" s="399"/>
      <c r="C58" s="399"/>
      <c r="D58" s="687"/>
      <c r="E58" s="687"/>
      <c r="F58" s="687"/>
      <c r="G58" s="687"/>
      <c r="H58" s="687"/>
      <c r="I58" s="687"/>
      <c r="J58" s="687"/>
      <c r="K58" s="687"/>
      <c r="L58" s="687"/>
      <c r="M58" s="687"/>
      <c r="N58" s="687"/>
      <c r="O58" s="687"/>
      <c r="P58" s="399"/>
      <c r="Q58" s="399"/>
      <c r="R58" s="446"/>
    </row>
    <row r="59" spans="2:18" s="374" customFormat="1" ht="14.25" customHeight="1">
      <c r="B59" s="617" t="s">
        <v>260</v>
      </c>
      <c r="C59" s="618"/>
      <c r="D59" s="384" t="str">
        <f>+D38</f>
        <v/>
      </c>
      <c r="E59" s="384" t="str">
        <f t="shared" ref="E59:O59" si="26">+E38</f>
        <v/>
      </c>
      <c r="F59" s="384" t="str">
        <f t="shared" si="26"/>
        <v/>
      </c>
      <c r="G59" s="384" t="str">
        <f t="shared" si="26"/>
        <v/>
      </c>
      <c r="H59" s="384" t="str">
        <f t="shared" si="26"/>
        <v/>
      </c>
      <c r="I59" s="384" t="str">
        <f t="shared" si="26"/>
        <v/>
      </c>
      <c r="J59" s="384" t="str">
        <f t="shared" si="26"/>
        <v/>
      </c>
      <c r="K59" s="384" t="str">
        <f t="shared" si="26"/>
        <v/>
      </c>
      <c r="L59" s="384" t="str">
        <f t="shared" si="26"/>
        <v/>
      </c>
      <c r="M59" s="384" t="str">
        <f t="shared" si="26"/>
        <v/>
      </c>
      <c r="N59" s="384" t="str">
        <f t="shared" si="26"/>
        <v/>
      </c>
      <c r="O59" s="384" t="str">
        <f t="shared" si="26"/>
        <v>Average</v>
      </c>
      <c r="P59" s="399"/>
      <c r="Q59" s="399"/>
      <c r="R59" s="446"/>
    </row>
    <row r="60" spans="2:18" s="374" customFormat="1" ht="3.95" customHeight="1">
      <c r="B60" s="434"/>
      <c r="C60" s="434"/>
      <c r="D60" s="434"/>
      <c r="E60" s="434"/>
      <c r="F60" s="434"/>
      <c r="G60" s="434"/>
      <c r="H60" s="434"/>
      <c r="I60" s="434"/>
      <c r="J60" s="434"/>
      <c r="K60" s="434"/>
      <c r="L60" s="434"/>
      <c r="M60" s="434"/>
      <c r="N60" s="434"/>
      <c r="O60" s="445"/>
      <c r="P60" s="399"/>
      <c r="Q60" s="399"/>
      <c r="R60" s="446"/>
    </row>
    <row r="61" spans="2:18" s="374" customFormat="1" ht="14.25" customHeight="1">
      <c r="B61" s="399" t="s">
        <v>261</v>
      </c>
      <c r="C61" s="399"/>
      <c r="D61" s="688">
        <f>IFERROR(D132/D97,"")</f>
        <v>0.24965612104539203</v>
      </c>
      <c r="E61" s="688" t="str">
        <f t="shared" ref="E61:N61" si="27">IFERROR(E132/E97,"")</f>
        <v/>
      </c>
      <c r="F61" s="688" t="str">
        <f t="shared" si="27"/>
        <v/>
      </c>
      <c r="G61" s="688" t="str">
        <f t="shared" si="27"/>
        <v/>
      </c>
      <c r="H61" s="688" t="str">
        <f t="shared" si="27"/>
        <v/>
      </c>
      <c r="I61" s="688" t="str">
        <f t="shared" si="27"/>
        <v/>
      </c>
      <c r="J61" s="688" t="str">
        <f t="shared" si="27"/>
        <v/>
      </c>
      <c r="K61" s="688" t="str">
        <f t="shared" si="27"/>
        <v/>
      </c>
      <c r="L61" s="688" t="str">
        <f t="shared" si="27"/>
        <v/>
      </c>
      <c r="M61" s="688" t="str">
        <f t="shared" si="27"/>
        <v/>
      </c>
      <c r="N61" s="688" t="str">
        <f t="shared" si="27"/>
        <v/>
      </c>
      <c r="O61" s="688">
        <f>IFERROR(+AVERAGE(D61:N61),"")</f>
        <v>0.24965612104539203</v>
      </c>
      <c r="P61" s="399"/>
      <c r="Q61" s="399"/>
      <c r="R61" s="446"/>
    </row>
    <row r="62" spans="2:18" s="374" customFormat="1" ht="14.25" customHeight="1">
      <c r="B62" s="399" t="s">
        <v>262</v>
      </c>
      <c r="C62" s="399"/>
      <c r="D62" s="688">
        <f>IFERROR(D132/D96,"")</f>
        <v>-0.70622568093385218</v>
      </c>
      <c r="E62" s="688" t="str">
        <f t="shared" ref="E62:N62" si="28">IFERROR(E132/E96,"")</f>
        <v/>
      </c>
      <c r="F62" s="688" t="str">
        <f t="shared" si="28"/>
        <v/>
      </c>
      <c r="G62" s="688" t="str">
        <f t="shared" si="28"/>
        <v/>
      </c>
      <c r="H62" s="688" t="str">
        <f t="shared" si="28"/>
        <v/>
      </c>
      <c r="I62" s="688" t="str">
        <f t="shared" si="28"/>
        <v/>
      </c>
      <c r="J62" s="688" t="str">
        <f t="shared" si="28"/>
        <v/>
      </c>
      <c r="K62" s="688" t="str">
        <f t="shared" si="28"/>
        <v/>
      </c>
      <c r="L62" s="688" t="str">
        <f t="shared" si="28"/>
        <v/>
      </c>
      <c r="M62" s="688" t="str">
        <f t="shared" si="28"/>
        <v/>
      </c>
      <c r="N62" s="688" t="str">
        <f t="shared" si="28"/>
        <v/>
      </c>
      <c r="O62" s="688">
        <f t="shared" ref="O62:O68" si="29">IFERROR(+AVERAGE(D62:N62),"")</f>
        <v>-0.70622568093385218</v>
      </c>
      <c r="P62" s="399"/>
      <c r="Q62" s="399"/>
      <c r="R62" s="446"/>
    </row>
    <row r="63" spans="2:18" s="374" customFormat="1" ht="14.25" customHeight="1">
      <c r="B63" s="399" t="s">
        <v>263</v>
      </c>
      <c r="C63" s="399"/>
      <c r="D63" s="688">
        <f>+IFERROR(D126/D105,"")</f>
        <v>0.32442115040137992</v>
      </c>
      <c r="E63" s="688" t="str">
        <f t="shared" ref="E63:N63" si="30">+IFERROR(E126/E105,"")</f>
        <v/>
      </c>
      <c r="F63" s="688" t="str">
        <f t="shared" si="30"/>
        <v/>
      </c>
      <c r="G63" s="688" t="str">
        <f t="shared" si="30"/>
        <v/>
      </c>
      <c r="H63" s="688" t="str">
        <f t="shared" si="30"/>
        <v/>
      </c>
      <c r="I63" s="688" t="str">
        <f t="shared" si="30"/>
        <v/>
      </c>
      <c r="J63" s="688" t="str">
        <f t="shared" si="30"/>
        <v/>
      </c>
      <c r="K63" s="688" t="str">
        <f t="shared" si="30"/>
        <v/>
      </c>
      <c r="L63" s="688" t="str">
        <f t="shared" si="30"/>
        <v/>
      </c>
      <c r="M63" s="688" t="str">
        <f t="shared" si="30"/>
        <v/>
      </c>
      <c r="N63" s="688" t="str">
        <f t="shared" si="30"/>
        <v/>
      </c>
      <c r="O63" s="688">
        <f t="shared" si="29"/>
        <v>0.32442115040137992</v>
      </c>
      <c r="P63" s="399"/>
      <c r="Q63" s="399"/>
      <c r="R63" s="446"/>
    </row>
    <row r="64" spans="2:18" s="374" customFormat="1" ht="14.25" customHeight="1">
      <c r="B64" s="399" t="s">
        <v>264</v>
      </c>
      <c r="C64" s="399"/>
      <c r="D64" s="688">
        <f t="shared" ref="D64:N64" si="31">IFERROR(-D127/D126,"")</f>
        <v>-1.1165644171779141</v>
      </c>
      <c r="E64" s="688" t="str">
        <f t="shared" si="31"/>
        <v/>
      </c>
      <c r="F64" s="688" t="str">
        <f t="shared" si="31"/>
        <v/>
      </c>
      <c r="G64" s="688" t="str">
        <f t="shared" si="31"/>
        <v/>
      </c>
      <c r="H64" s="688" t="str">
        <f t="shared" si="31"/>
        <v/>
      </c>
      <c r="I64" s="688" t="str">
        <f t="shared" si="31"/>
        <v/>
      </c>
      <c r="J64" s="688" t="str">
        <f t="shared" si="31"/>
        <v/>
      </c>
      <c r="K64" s="688" t="str">
        <f t="shared" si="31"/>
        <v/>
      </c>
      <c r="L64" s="688" t="str">
        <f t="shared" si="31"/>
        <v/>
      </c>
      <c r="M64" s="688" t="str">
        <f t="shared" si="31"/>
        <v/>
      </c>
      <c r="N64" s="688" t="str">
        <f t="shared" si="31"/>
        <v/>
      </c>
      <c r="O64" s="688">
        <f t="shared" si="29"/>
        <v>-1.1165644171779141</v>
      </c>
      <c r="P64" s="399"/>
      <c r="Q64" s="399"/>
      <c r="R64" s="446"/>
    </row>
    <row r="65" spans="1:52" s="374" customFormat="1" ht="14.25" customHeight="1">
      <c r="A65" s="399"/>
      <c r="B65" s="399" t="s">
        <v>265</v>
      </c>
      <c r="C65" s="399"/>
      <c r="D65" s="688">
        <f>IFERROR(-D128/D126,"")</f>
        <v>-2.0102249488752557</v>
      </c>
      <c r="E65" s="688" t="str">
        <f t="shared" ref="E65:N65" si="32">IFERROR(-E128/E126,"")</f>
        <v/>
      </c>
      <c r="F65" s="688" t="str">
        <f t="shared" si="32"/>
        <v/>
      </c>
      <c r="G65" s="688" t="str">
        <f t="shared" si="32"/>
        <v/>
      </c>
      <c r="H65" s="688" t="str">
        <f t="shared" si="32"/>
        <v/>
      </c>
      <c r="I65" s="688" t="str">
        <f t="shared" si="32"/>
        <v/>
      </c>
      <c r="J65" s="688" t="str">
        <f t="shared" si="32"/>
        <v/>
      </c>
      <c r="K65" s="688" t="str">
        <f t="shared" si="32"/>
        <v/>
      </c>
      <c r="L65" s="688" t="str">
        <f t="shared" si="32"/>
        <v/>
      </c>
      <c r="M65" s="688" t="str">
        <f t="shared" si="32"/>
        <v/>
      </c>
      <c r="N65" s="688" t="str">
        <f t="shared" si="32"/>
        <v/>
      </c>
      <c r="O65" s="688">
        <f t="shared" si="29"/>
        <v>-2.0102249488752557</v>
      </c>
      <c r="P65" s="399"/>
      <c r="Q65" s="399"/>
      <c r="R65" s="446"/>
      <c r="S65" s="399"/>
      <c r="T65" s="399"/>
      <c r="U65" s="399"/>
      <c r="V65" s="399"/>
      <c r="W65" s="399"/>
      <c r="X65" s="399"/>
      <c r="Y65" s="399"/>
      <c r="Z65" s="399"/>
      <c r="AA65" s="399"/>
      <c r="AB65" s="399"/>
      <c r="AC65" s="399"/>
      <c r="AD65" s="399"/>
      <c r="AE65" s="399"/>
      <c r="AF65" s="399"/>
      <c r="AG65" s="399"/>
      <c r="AH65" s="399"/>
      <c r="AI65" s="399"/>
      <c r="AJ65" s="399"/>
      <c r="AK65" s="399"/>
      <c r="AL65" s="399"/>
      <c r="AM65" s="399"/>
      <c r="AN65" s="399"/>
      <c r="AO65" s="399"/>
      <c r="AP65" s="399"/>
      <c r="AQ65" s="399"/>
      <c r="AR65" s="399"/>
      <c r="AS65" s="399"/>
      <c r="AT65" s="399"/>
      <c r="AU65" s="399"/>
      <c r="AV65" s="399"/>
      <c r="AW65" s="399"/>
      <c r="AX65" s="399"/>
      <c r="AY65" s="399"/>
      <c r="AZ65" s="399"/>
    </row>
    <row r="66" spans="1:52" s="374" customFormat="1" ht="14.25" customHeight="1">
      <c r="A66" s="399"/>
      <c r="B66" s="399" t="s">
        <v>266</v>
      </c>
      <c r="C66" s="399"/>
      <c r="D66" s="688">
        <f>IFERROR((D129+D130)/D126,"")</f>
        <v>-14.398773006134968</v>
      </c>
      <c r="E66" s="688" t="str">
        <f t="shared" ref="E66:N66" si="33">IFERROR((E129+E130)/E126,"")</f>
        <v/>
      </c>
      <c r="F66" s="688" t="str">
        <f t="shared" si="33"/>
        <v/>
      </c>
      <c r="G66" s="688" t="str">
        <f t="shared" si="33"/>
        <v/>
      </c>
      <c r="H66" s="688" t="str">
        <f t="shared" si="33"/>
        <v/>
      </c>
      <c r="I66" s="688" t="str">
        <f t="shared" si="33"/>
        <v/>
      </c>
      <c r="J66" s="688" t="str">
        <f t="shared" si="33"/>
        <v/>
      </c>
      <c r="K66" s="688" t="str">
        <f t="shared" si="33"/>
        <v/>
      </c>
      <c r="L66" s="688" t="str">
        <f t="shared" si="33"/>
        <v/>
      </c>
      <c r="M66" s="688" t="str">
        <f t="shared" si="33"/>
        <v/>
      </c>
      <c r="N66" s="688" t="str">
        <f t="shared" si="33"/>
        <v/>
      </c>
      <c r="O66" s="688">
        <f t="shared" si="29"/>
        <v>-14.398773006134968</v>
      </c>
      <c r="P66" s="399"/>
      <c r="Q66" s="399"/>
      <c r="R66" s="446"/>
      <c r="S66" s="399"/>
      <c r="T66" s="399"/>
      <c r="U66" s="399"/>
      <c r="V66" s="399"/>
      <c r="W66" s="399"/>
      <c r="X66" s="399"/>
      <c r="Y66" s="399"/>
      <c r="Z66" s="399"/>
      <c r="AA66" s="399"/>
      <c r="AB66" s="399"/>
      <c r="AC66" s="399"/>
      <c r="AD66" s="399"/>
      <c r="AE66" s="399"/>
      <c r="AF66" s="399"/>
      <c r="AG66" s="399"/>
      <c r="AH66" s="399"/>
      <c r="AI66" s="399"/>
      <c r="AJ66" s="399"/>
      <c r="AK66" s="399"/>
      <c r="AL66" s="399"/>
      <c r="AM66" s="399"/>
      <c r="AN66" s="399"/>
      <c r="AO66" s="399"/>
      <c r="AP66" s="399"/>
      <c r="AQ66" s="399"/>
      <c r="AR66" s="399"/>
      <c r="AS66" s="399"/>
      <c r="AT66" s="399"/>
      <c r="AU66" s="399"/>
      <c r="AV66" s="399"/>
      <c r="AW66" s="399"/>
      <c r="AX66" s="399"/>
      <c r="AY66" s="399"/>
      <c r="AZ66" s="399"/>
    </row>
    <row r="67" spans="1:52" s="374" customFormat="1" ht="14.25" customHeight="1">
      <c r="A67" s="399"/>
      <c r="B67" s="399" t="s">
        <v>267</v>
      </c>
      <c r="C67" s="399"/>
      <c r="D67" s="688">
        <f>+IFERROR(-D130/D129,"")</f>
        <v>-0.75498504486540374</v>
      </c>
      <c r="E67" s="688" t="str">
        <f t="shared" ref="E67:N67" si="34">+IFERROR(-E130/E129,"")</f>
        <v/>
      </c>
      <c r="F67" s="688" t="str">
        <f t="shared" si="34"/>
        <v/>
      </c>
      <c r="G67" s="688" t="str">
        <f t="shared" si="34"/>
        <v/>
      </c>
      <c r="H67" s="688" t="str">
        <f t="shared" si="34"/>
        <v/>
      </c>
      <c r="I67" s="688" t="str">
        <f t="shared" si="34"/>
        <v/>
      </c>
      <c r="J67" s="688" t="str">
        <f t="shared" si="34"/>
        <v/>
      </c>
      <c r="K67" s="688" t="str">
        <f t="shared" si="34"/>
        <v/>
      </c>
      <c r="L67" s="688" t="str">
        <f t="shared" si="34"/>
        <v/>
      </c>
      <c r="M67" s="688" t="str">
        <f t="shared" si="34"/>
        <v/>
      </c>
      <c r="N67" s="688" t="str">
        <f t="shared" si="34"/>
        <v/>
      </c>
      <c r="O67" s="688">
        <f>IFERROR(+AVERAGE(D67:N67),"")</f>
        <v>-0.75498504486540374</v>
      </c>
      <c r="P67" s="399"/>
      <c r="Q67" s="399"/>
      <c r="R67" s="446"/>
      <c r="S67" s="399"/>
      <c r="T67" s="399"/>
      <c r="U67" s="399"/>
      <c r="V67" s="399"/>
      <c r="W67" s="399"/>
      <c r="X67" s="399"/>
      <c r="Y67" s="399"/>
      <c r="Z67" s="399"/>
      <c r="AA67" s="399"/>
      <c r="AB67" s="399"/>
      <c r="AC67" s="399"/>
      <c r="AD67" s="399"/>
      <c r="AE67" s="399"/>
      <c r="AF67" s="399"/>
      <c r="AG67" s="399"/>
      <c r="AH67" s="399"/>
      <c r="AI67" s="399"/>
      <c r="AJ67" s="399"/>
      <c r="AK67" s="399"/>
      <c r="AL67" s="399"/>
      <c r="AM67" s="399"/>
      <c r="AN67" s="399"/>
      <c r="AO67" s="399"/>
      <c r="AP67" s="399"/>
      <c r="AQ67" s="399"/>
      <c r="AR67" s="399"/>
      <c r="AS67" s="399"/>
      <c r="AT67" s="399"/>
      <c r="AU67" s="399"/>
      <c r="AV67" s="399"/>
      <c r="AW67" s="399"/>
      <c r="AX67" s="399"/>
      <c r="AY67" s="399"/>
      <c r="AZ67" s="399"/>
    </row>
    <row r="68" spans="1:52" s="374" customFormat="1" ht="14.25" customHeight="1">
      <c r="A68" s="399"/>
      <c r="B68" s="399" t="s">
        <v>268</v>
      </c>
      <c r="C68" s="399"/>
      <c r="D68" s="688">
        <f t="shared" ref="D68:N68" si="35">IFERROR(-D131/D126,"")</f>
        <v>0</v>
      </c>
      <c r="E68" s="688" t="str">
        <f t="shared" si="35"/>
        <v/>
      </c>
      <c r="F68" s="688" t="str">
        <f t="shared" si="35"/>
        <v/>
      </c>
      <c r="G68" s="688" t="str">
        <f t="shared" si="35"/>
        <v/>
      </c>
      <c r="H68" s="688" t="str">
        <f t="shared" si="35"/>
        <v/>
      </c>
      <c r="I68" s="688" t="str">
        <f t="shared" si="35"/>
        <v/>
      </c>
      <c r="J68" s="688" t="str">
        <f t="shared" si="35"/>
        <v/>
      </c>
      <c r="K68" s="688" t="str">
        <f t="shared" si="35"/>
        <v/>
      </c>
      <c r="L68" s="688" t="str">
        <f t="shared" si="35"/>
        <v/>
      </c>
      <c r="M68" s="688" t="str">
        <f t="shared" si="35"/>
        <v/>
      </c>
      <c r="N68" s="688" t="str">
        <f t="shared" si="35"/>
        <v/>
      </c>
      <c r="O68" s="688">
        <f t="shared" si="29"/>
        <v>0</v>
      </c>
      <c r="P68" s="399"/>
      <c r="Q68" s="399"/>
      <c r="R68" s="446"/>
      <c r="S68" s="399"/>
      <c r="T68" s="399"/>
      <c r="U68" s="399"/>
      <c r="V68" s="399"/>
      <c r="W68" s="399"/>
      <c r="X68" s="399"/>
      <c r="Y68" s="399"/>
      <c r="Z68" s="399"/>
      <c r="AA68" s="399"/>
      <c r="AB68" s="399"/>
      <c r="AC68" s="399"/>
      <c r="AD68" s="399"/>
      <c r="AE68" s="399"/>
      <c r="AF68" s="399"/>
      <c r="AG68" s="399"/>
      <c r="AH68" s="399"/>
      <c r="AI68" s="399"/>
      <c r="AJ68" s="399"/>
      <c r="AK68" s="399"/>
      <c r="AL68" s="399"/>
      <c r="AM68" s="399"/>
      <c r="AN68" s="399"/>
      <c r="AO68" s="399"/>
      <c r="AP68" s="399"/>
      <c r="AQ68" s="399"/>
      <c r="AR68" s="399"/>
      <c r="AS68" s="399"/>
      <c r="AT68" s="399"/>
      <c r="AU68" s="399"/>
      <c r="AV68" s="399"/>
      <c r="AW68" s="399"/>
      <c r="AX68" s="399"/>
      <c r="AY68" s="399"/>
      <c r="AZ68" s="399"/>
    </row>
    <row r="69" spans="1:52" s="374" customFormat="1" ht="14.25" customHeight="1">
      <c r="A69" s="399"/>
      <c r="B69" s="399" t="s">
        <v>269</v>
      </c>
      <c r="C69" s="399"/>
      <c r="D69" s="449"/>
      <c r="E69" s="449"/>
      <c r="F69" s="449"/>
      <c r="G69" s="449"/>
      <c r="H69" s="449"/>
      <c r="I69" s="449"/>
      <c r="J69" s="449"/>
      <c r="K69" s="449"/>
      <c r="L69" s="449"/>
      <c r="M69" s="449"/>
      <c r="N69" s="449"/>
      <c r="O69" s="688" t="str">
        <f>IFERROR(+AVERAGE(D69:N69),"")</f>
        <v/>
      </c>
      <c r="P69" s="399"/>
      <c r="Q69" s="399"/>
      <c r="R69" s="446"/>
      <c r="S69" s="399"/>
      <c r="T69" s="399"/>
      <c r="U69" s="399"/>
      <c r="V69" s="399"/>
      <c r="W69" s="399"/>
      <c r="X69" s="399"/>
      <c r="Y69" s="399"/>
      <c r="Z69" s="399"/>
      <c r="AA69" s="399"/>
      <c r="AB69" s="399"/>
      <c r="AC69" s="399"/>
      <c r="AD69" s="399"/>
      <c r="AE69" s="399"/>
      <c r="AF69" s="399"/>
      <c r="AG69" s="399"/>
      <c r="AH69" s="399"/>
      <c r="AI69" s="399"/>
      <c r="AJ69" s="399"/>
      <c r="AK69" s="399"/>
      <c r="AL69" s="399"/>
      <c r="AM69" s="399"/>
      <c r="AN69" s="399"/>
      <c r="AO69" s="399"/>
      <c r="AP69" s="399"/>
      <c r="AQ69" s="399"/>
      <c r="AR69" s="399"/>
      <c r="AS69" s="399"/>
      <c r="AT69" s="399"/>
      <c r="AU69" s="399"/>
      <c r="AV69" s="399"/>
      <c r="AW69" s="399"/>
      <c r="AX69" s="399"/>
      <c r="AY69" s="399"/>
      <c r="AZ69" s="399"/>
    </row>
    <row r="70" spans="1:52" s="374" customFormat="1" ht="3.75" customHeight="1">
      <c r="A70" s="399"/>
      <c r="B70" s="399"/>
      <c r="C70" s="399"/>
      <c r="D70" s="399"/>
      <c r="E70" s="399"/>
      <c r="F70" s="399"/>
      <c r="G70" s="399"/>
      <c r="H70" s="399"/>
      <c r="I70" s="399"/>
      <c r="J70" s="399"/>
      <c r="K70" s="399"/>
      <c r="L70" s="399"/>
      <c r="M70" s="399"/>
      <c r="N70" s="399"/>
      <c r="O70" s="443"/>
      <c r="P70" s="399"/>
      <c r="Q70" s="399"/>
      <c r="R70" s="446"/>
      <c r="S70" s="399"/>
      <c r="T70" s="399"/>
      <c r="U70" s="399"/>
      <c r="V70" s="399"/>
      <c r="W70" s="399"/>
      <c r="X70" s="399"/>
      <c r="Y70" s="399"/>
      <c r="Z70" s="399"/>
      <c r="AA70" s="399"/>
      <c r="AB70" s="399"/>
      <c r="AC70" s="399"/>
      <c r="AD70" s="399"/>
      <c r="AE70" s="399"/>
      <c r="AF70" s="399"/>
      <c r="AG70" s="399"/>
      <c r="AH70" s="399"/>
      <c r="AI70" s="399"/>
      <c r="AJ70" s="399"/>
      <c r="AK70" s="399"/>
      <c r="AL70" s="399"/>
      <c r="AM70" s="399"/>
      <c r="AN70" s="399"/>
      <c r="AO70" s="399"/>
      <c r="AP70" s="399"/>
      <c r="AQ70" s="399"/>
      <c r="AR70" s="399"/>
      <c r="AS70" s="399"/>
      <c r="AT70" s="399"/>
      <c r="AU70" s="399"/>
      <c r="AV70" s="399"/>
      <c r="AW70" s="399"/>
      <c r="AX70" s="399"/>
      <c r="AY70" s="399"/>
      <c r="AZ70" s="399"/>
    </row>
    <row r="71" spans="1:52" s="377" customFormat="1" ht="14.25" customHeight="1">
      <c r="A71" s="408"/>
      <c r="B71" s="617" t="s">
        <v>270</v>
      </c>
      <c r="C71" s="618"/>
      <c r="D71" s="384" t="str">
        <f t="shared" ref="D71:O71" si="36">+D29</f>
        <v/>
      </c>
      <c r="E71" s="384" t="str">
        <f t="shared" si="36"/>
        <v/>
      </c>
      <c r="F71" s="384" t="str">
        <f t="shared" si="36"/>
        <v/>
      </c>
      <c r="G71" s="384" t="str">
        <f t="shared" si="36"/>
        <v/>
      </c>
      <c r="H71" s="384" t="str">
        <f t="shared" si="36"/>
        <v/>
      </c>
      <c r="I71" s="384" t="str">
        <f t="shared" si="36"/>
        <v/>
      </c>
      <c r="J71" s="384" t="str">
        <f t="shared" si="36"/>
        <v/>
      </c>
      <c r="K71" s="384" t="str">
        <f t="shared" si="36"/>
        <v/>
      </c>
      <c r="L71" s="384" t="str">
        <f t="shared" si="36"/>
        <v/>
      </c>
      <c r="M71" s="384" t="str">
        <f t="shared" si="36"/>
        <v/>
      </c>
      <c r="N71" s="384" t="str">
        <f t="shared" si="36"/>
        <v/>
      </c>
      <c r="O71" s="384" t="str">
        <f t="shared" si="36"/>
        <v>Average</v>
      </c>
      <c r="P71" s="408"/>
      <c r="Q71" s="408"/>
      <c r="R71" s="619"/>
      <c r="S71" s="408"/>
      <c r="T71" s="408"/>
      <c r="U71" s="408"/>
      <c r="V71" s="408"/>
      <c r="W71" s="408"/>
      <c r="X71" s="408"/>
      <c r="Y71" s="408"/>
      <c r="Z71" s="408"/>
      <c r="AA71" s="408"/>
      <c r="AB71" s="408"/>
      <c r="AC71" s="408"/>
      <c r="AD71" s="408"/>
      <c r="AE71" s="408"/>
      <c r="AF71" s="408"/>
      <c r="AG71" s="408"/>
      <c r="AH71" s="408"/>
      <c r="AI71" s="408"/>
      <c r="AJ71" s="408"/>
      <c r="AK71" s="408"/>
      <c r="AL71" s="408"/>
      <c r="AM71" s="408"/>
      <c r="AN71" s="408"/>
      <c r="AO71" s="408"/>
      <c r="AP71" s="408"/>
      <c r="AQ71" s="408"/>
      <c r="AR71" s="408"/>
      <c r="AS71" s="408"/>
      <c r="AT71" s="408"/>
      <c r="AU71" s="408"/>
      <c r="AV71" s="408"/>
      <c r="AW71" s="408"/>
      <c r="AX71" s="408"/>
      <c r="AY71" s="408"/>
      <c r="AZ71" s="408"/>
    </row>
    <row r="72" spans="1:52" s="374" customFormat="1" ht="3.75" customHeight="1">
      <c r="A72" s="399"/>
      <c r="B72" s="434"/>
      <c r="C72" s="434"/>
      <c r="D72" s="434"/>
      <c r="E72" s="434"/>
      <c r="F72" s="434"/>
      <c r="G72" s="434"/>
      <c r="H72" s="434"/>
      <c r="I72" s="434"/>
      <c r="J72" s="434"/>
      <c r="K72" s="434"/>
      <c r="L72" s="434"/>
      <c r="M72" s="434"/>
      <c r="N72" s="434"/>
      <c r="O72" s="445"/>
      <c r="P72" s="399"/>
      <c r="Q72" s="399"/>
      <c r="R72" s="446"/>
      <c r="S72" s="399"/>
      <c r="T72" s="399"/>
      <c r="U72" s="399"/>
      <c r="V72" s="399"/>
      <c r="W72" s="399"/>
      <c r="X72" s="399"/>
      <c r="Y72" s="399"/>
      <c r="Z72" s="399"/>
      <c r="AA72" s="399"/>
      <c r="AB72" s="399"/>
      <c r="AC72" s="399"/>
      <c r="AD72" s="399"/>
      <c r="AE72" s="399"/>
      <c r="AF72" s="399"/>
      <c r="AG72" s="399"/>
      <c r="AH72" s="399"/>
      <c r="AI72" s="399"/>
      <c r="AJ72" s="399"/>
      <c r="AK72" s="399"/>
      <c r="AL72" s="399"/>
      <c r="AM72" s="399"/>
      <c r="AN72" s="399"/>
      <c r="AO72" s="399"/>
      <c r="AP72" s="399"/>
      <c r="AQ72" s="399"/>
      <c r="AR72" s="399"/>
      <c r="AS72" s="399"/>
      <c r="AT72" s="399"/>
      <c r="AU72" s="399"/>
      <c r="AV72" s="399"/>
      <c r="AW72" s="399"/>
      <c r="AX72" s="399"/>
      <c r="AY72" s="399"/>
      <c r="AZ72" s="399"/>
    </row>
    <row r="73" spans="1:52" s="374" customFormat="1" ht="14.25" customHeight="1">
      <c r="A73" s="399"/>
      <c r="B73" s="399" t="s">
        <v>271</v>
      </c>
      <c r="C73" s="399"/>
      <c r="D73" s="449"/>
      <c r="E73" s="449"/>
      <c r="F73" s="449"/>
      <c r="G73" s="449"/>
      <c r="H73" s="449"/>
      <c r="I73" s="449"/>
      <c r="J73" s="449"/>
      <c r="K73" s="449"/>
      <c r="L73" s="449"/>
      <c r="M73" s="449"/>
      <c r="N73" s="449"/>
      <c r="O73" s="688" t="str">
        <f>IFERROR(+AVERAGE(D73:N73),"")</f>
        <v/>
      </c>
      <c r="P73" s="399"/>
      <c r="Q73" s="399"/>
      <c r="R73" s="446"/>
      <c r="S73" s="399"/>
      <c r="T73" s="399"/>
      <c r="U73" s="399"/>
      <c r="V73" s="399"/>
      <c r="W73" s="399"/>
      <c r="X73" s="399"/>
      <c r="Y73" s="399"/>
      <c r="Z73" s="399"/>
      <c r="AA73" s="399"/>
      <c r="AB73" s="399"/>
      <c r="AC73" s="399"/>
      <c r="AD73" s="399"/>
      <c r="AE73" s="399"/>
      <c r="AF73" s="399"/>
      <c r="AG73" s="399"/>
      <c r="AH73" s="399"/>
      <c r="AI73" s="399"/>
      <c r="AJ73" s="399"/>
      <c r="AK73" s="399"/>
      <c r="AL73" s="399"/>
      <c r="AM73" s="399"/>
      <c r="AN73" s="399"/>
      <c r="AO73" s="399"/>
      <c r="AP73" s="399"/>
      <c r="AQ73" s="399"/>
      <c r="AR73" s="399"/>
      <c r="AS73" s="399"/>
      <c r="AT73" s="399"/>
      <c r="AU73" s="399"/>
      <c r="AV73" s="399"/>
      <c r="AW73" s="399"/>
      <c r="AX73" s="399"/>
      <c r="AY73" s="399"/>
      <c r="AZ73" s="399"/>
    </row>
    <row r="74" spans="1:52" s="374" customFormat="1" ht="14.25" customHeight="1">
      <c r="A74" s="399"/>
      <c r="B74" s="399" t="s">
        <v>272</v>
      </c>
      <c r="C74" s="399"/>
      <c r="D74" s="424" t="str" cm="1">
        <f t="array" ref="D74">IFERROR(_FV(D91,"Beta"),"")</f>
        <v/>
      </c>
      <c r="E74" s="424" t="str" cm="1">
        <f t="array" ref="E74">IFERROR(_FV(E91,"Beta"),"")</f>
        <v/>
      </c>
      <c r="F74" s="424" t="str" cm="1">
        <f t="array" ref="F74">IFERROR(_FV(F91,"Beta"),"")</f>
        <v/>
      </c>
      <c r="G74" s="424" t="str" cm="1">
        <f t="array" ref="G74">IFERROR(_FV(G91,"Beta"),"")</f>
        <v/>
      </c>
      <c r="H74" s="424" t="str" cm="1">
        <f t="array" ref="H74">IFERROR(_FV(H91,"Beta"),"")</f>
        <v/>
      </c>
      <c r="I74" s="424" t="str" cm="1">
        <f t="array" ref="I74">IFERROR(_FV(I91,"Beta"),"")</f>
        <v/>
      </c>
      <c r="J74" s="424" t="str" cm="1">
        <f t="array" ref="J74">IFERROR(_FV(J91,"Beta"),"")</f>
        <v/>
      </c>
      <c r="K74" s="424" t="str" cm="1">
        <f t="array" ref="K74">IFERROR(_FV(K91,"Beta"),"")</f>
        <v/>
      </c>
      <c r="L74" s="424" t="str" cm="1">
        <f t="array" ref="L74">IFERROR(_FV(L91,"Beta"),"")</f>
        <v/>
      </c>
      <c r="M74" s="424" t="str" cm="1">
        <f t="array" ref="M74">IFERROR(_FV(M91,"Beta"),"")</f>
        <v/>
      </c>
      <c r="N74" s="424" t="str" cm="1">
        <f t="array" ref="N74">IFERROR(_FV(N91,"Beta"),"")</f>
        <v/>
      </c>
      <c r="O74" s="689" t="str">
        <f t="shared" ref="O74:O75" si="37">IFERROR(+AVERAGE(D74:N74),"")</f>
        <v/>
      </c>
      <c r="P74" s="399"/>
      <c r="Q74" s="399"/>
      <c r="R74" s="446"/>
      <c r="S74" s="399"/>
      <c r="T74" s="399"/>
      <c r="U74" s="399"/>
      <c r="V74" s="399"/>
      <c r="W74" s="399"/>
      <c r="X74" s="399"/>
      <c r="Y74" s="399"/>
      <c r="Z74" s="399"/>
      <c r="AA74" s="399"/>
      <c r="AB74" s="399"/>
      <c r="AC74" s="399"/>
      <c r="AD74" s="399"/>
      <c r="AE74" s="399"/>
      <c r="AF74" s="399"/>
      <c r="AG74" s="399"/>
      <c r="AH74" s="399"/>
      <c r="AI74" s="399"/>
      <c r="AJ74" s="399"/>
      <c r="AK74" s="399"/>
      <c r="AL74" s="399"/>
      <c r="AM74" s="399"/>
      <c r="AN74" s="399"/>
      <c r="AO74" s="399"/>
      <c r="AP74" s="399"/>
      <c r="AQ74" s="399"/>
      <c r="AR74" s="399"/>
      <c r="AS74" s="399"/>
      <c r="AT74" s="399"/>
      <c r="AU74" s="399"/>
      <c r="AV74" s="399"/>
      <c r="AW74" s="399"/>
      <c r="AX74" s="399"/>
      <c r="AY74" s="399"/>
      <c r="AZ74" s="399"/>
    </row>
    <row r="75" spans="1:52" s="374" customFormat="1" ht="14.1" customHeight="1">
      <c r="A75" s="399"/>
      <c r="B75" s="399" t="s">
        <v>273</v>
      </c>
      <c r="C75" s="399"/>
      <c r="D75" s="424" t="str">
        <f>IFERROR(D74/(1+(1-D104/D103)*(D121/D122)),"")</f>
        <v/>
      </c>
      <c r="E75" s="424" t="str">
        <f t="shared" ref="E75:N75" si="38">IFERROR(E74/(1+(1-E104/E103)*(E121/E122)),"")</f>
        <v/>
      </c>
      <c r="F75" s="424" t="str">
        <f t="shared" si="38"/>
        <v/>
      </c>
      <c r="G75" s="424" t="str">
        <f t="shared" si="38"/>
        <v/>
      </c>
      <c r="H75" s="424" t="str">
        <f t="shared" si="38"/>
        <v/>
      </c>
      <c r="I75" s="424" t="str">
        <f t="shared" si="38"/>
        <v/>
      </c>
      <c r="J75" s="424" t="str">
        <f t="shared" si="38"/>
        <v/>
      </c>
      <c r="K75" s="424" t="str">
        <f t="shared" si="38"/>
        <v/>
      </c>
      <c r="L75" s="424" t="str">
        <f t="shared" si="38"/>
        <v/>
      </c>
      <c r="M75" s="424" t="str">
        <f t="shared" si="38"/>
        <v/>
      </c>
      <c r="N75" s="424" t="str">
        <f t="shared" si="38"/>
        <v/>
      </c>
      <c r="O75" s="689" t="str">
        <f t="shared" si="37"/>
        <v/>
      </c>
      <c r="P75" s="399"/>
      <c r="Q75" s="399"/>
      <c r="R75" s="446"/>
      <c r="S75" s="399"/>
      <c r="T75" s="399"/>
      <c r="U75" s="399"/>
      <c r="V75" s="399"/>
      <c r="W75" s="399"/>
      <c r="X75" s="399"/>
      <c r="Y75" s="399"/>
      <c r="Z75" s="399"/>
      <c r="AA75" s="399"/>
      <c r="AB75" s="399"/>
      <c r="AC75" s="399"/>
      <c r="AD75" s="399"/>
      <c r="AE75" s="399"/>
      <c r="AF75" s="399"/>
      <c r="AG75" s="399"/>
      <c r="AH75" s="399"/>
      <c r="AI75" s="399"/>
      <c r="AJ75" s="399"/>
      <c r="AK75" s="399"/>
      <c r="AL75" s="399"/>
      <c r="AM75" s="399"/>
      <c r="AN75" s="399"/>
      <c r="AO75" s="399"/>
      <c r="AP75" s="399"/>
      <c r="AQ75" s="399"/>
      <c r="AR75" s="399"/>
      <c r="AS75" s="399"/>
      <c r="AT75" s="399"/>
      <c r="AU75" s="399"/>
      <c r="AV75" s="399"/>
      <c r="AW75" s="399"/>
      <c r="AX75" s="399"/>
      <c r="AY75" s="399"/>
      <c r="AZ75" s="399"/>
    </row>
    <row r="76" spans="1:52" s="374" customFormat="1" ht="14.25" customHeight="1">
      <c r="A76" s="399"/>
      <c r="B76" s="399" t="s">
        <v>43</v>
      </c>
      <c r="C76" s="399"/>
      <c r="D76" s="449"/>
      <c r="E76" s="449"/>
      <c r="F76" s="449"/>
      <c r="G76" s="449"/>
      <c r="H76" s="449"/>
      <c r="I76" s="449"/>
      <c r="J76" s="449"/>
      <c r="K76" s="449"/>
      <c r="L76" s="449"/>
      <c r="M76" s="449"/>
      <c r="N76" s="449"/>
      <c r="O76" s="688" t="str">
        <f t="shared" ref="O76:O78" si="39">IFERROR(+AVERAGE(D76:N76),"")</f>
        <v/>
      </c>
      <c r="P76" s="399"/>
      <c r="Q76" s="399"/>
      <c r="R76" s="446"/>
      <c r="S76" s="399"/>
      <c r="T76" s="399"/>
      <c r="U76" s="399"/>
      <c r="V76" s="399"/>
      <c r="W76" s="399"/>
      <c r="X76" s="399"/>
      <c r="Y76" s="399"/>
      <c r="Z76" s="399"/>
      <c r="AA76" s="399"/>
      <c r="AB76" s="399"/>
      <c r="AC76" s="399"/>
      <c r="AD76" s="399"/>
      <c r="AE76" s="399"/>
      <c r="AF76" s="399"/>
      <c r="AG76" s="399"/>
      <c r="AH76" s="399"/>
      <c r="AI76" s="399"/>
      <c r="AJ76" s="399"/>
      <c r="AK76" s="399"/>
      <c r="AL76" s="399"/>
      <c r="AM76" s="399"/>
      <c r="AN76" s="399"/>
      <c r="AO76" s="399"/>
      <c r="AP76" s="399"/>
      <c r="AQ76" s="399"/>
      <c r="AR76" s="399"/>
      <c r="AS76" s="399"/>
      <c r="AT76" s="399"/>
      <c r="AU76" s="399"/>
      <c r="AV76" s="399"/>
      <c r="AW76" s="399"/>
      <c r="AX76" s="399"/>
      <c r="AY76" s="399"/>
      <c r="AZ76" s="399"/>
    </row>
    <row r="77" spans="1:52" s="374" customFormat="1" ht="14.25" customHeight="1">
      <c r="A77" s="399"/>
      <c r="B77" s="399" t="s">
        <v>44</v>
      </c>
      <c r="C77" s="399"/>
      <c r="D77" s="449"/>
      <c r="E77" s="449"/>
      <c r="F77" s="449"/>
      <c r="G77" s="449"/>
      <c r="H77" s="449"/>
      <c r="I77" s="449"/>
      <c r="J77" s="449"/>
      <c r="K77" s="449"/>
      <c r="L77" s="449"/>
      <c r="M77" s="449"/>
      <c r="N77" s="449"/>
      <c r="O77" s="688" t="str">
        <f t="shared" si="39"/>
        <v/>
      </c>
      <c r="P77" s="399"/>
      <c r="Q77" s="399"/>
      <c r="R77" s="446"/>
      <c r="S77" s="399"/>
      <c r="T77" s="399"/>
      <c r="U77" s="399"/>
      <c r="V77" s="399"/>
      <c r="W77" s="399"/>
      <c r="X77" s="399"/>
      <c r="Y77" s="399"/>
      <c r="Z77" s="399"/>
      <c r="AA77" s="399"/>
      <c r="AB77" s="399"/>
      <c r="AC77" s="399"/>
      <c r="AD77" s="399"/>
      <c r="AE77" s="399"/>
      <c r="AF77" s="399"/>
      <c r="AG77" s="399"/>
      <c r="AH77" s="399"/>
      <c r="AI77" s="399"/>
      <c r="AJ77" s="399"/>
      <c r="AK77" s="399"/>
      <c r="AL77" s="399"/>
      <c r="AM77" s="399"/>
      <c r="AN77" s="399"/>
      <c r="AO77" s="399"/>
      <c r="AP77" s="399"/>
      <c r="AQ77" s="399"/>
      <c r="AR77" s="399"/>
      <c r="AS77" s="399"/>
      <c r="AT77" s="399"/>
      <c r="AU77" s="399"/>
      <c r="AV77" s="399"/>
      <c r="AW77" s="399"/>
      <c r="AX77" s="399"/>
      <c r="AY77" s="399"/>
      <c r="AZ77" s="399"/>
    </row>
    <row r="78" spans="1:52" s="374" customFormat="1" ht="14.25" customHeight="1">
      <c r="A78" s="399"/>
      <c r="B78" s="399" t="s">
        <v>274</v>
      </c>
      <c r="C78" s="399"/>
      <c r="D78" s="449"/>
      <c r="E78" s="449"/>
      <c r="F78" s="449"/>
      <c r="G78" s="449"/>
      <c r="H78" s="449"/>
      <c r="I78" s="449"/>
      <c r="J78" s="449"/>
      <c r="K78" s="449"/>
      <c r="L78" s="449"/>
      <c r="M78" s="449"/>
      <c r="N78" s="449"/>
      <c r="O78" s="688" t="str">
        <f t="shared" si="39"/>
        <v/>
      </c>
      <c r="P78" s="399"/>
      <c r="Q78" s="399"/>
      <c r="R78" s="446"/>
      <c r="S78" s="399"/>
      <c r="T78" s="399"/>
      <c r="U78" s="399"/>
      <c r="V78" s="399"/>
      <c r="W78" s="399"/>
      <c r="X78" s="399"/>
      <c r="Y78" s="399"/>
      <c r="Z78" s="399"/>
      <c r="AA78" s="399"/>
      <c r="AB78" s="399"/>
      <c r="AC78" s="399"/>
      <c r="AD78" s="399"/>
      <c r="AE78" s="399"/>
      <c r="AF78" s="399"/>
      <c r="AG78" s="399"/>
      <c r="AH78" s="399"/>
      <c r="AI78" s="399"/>
      <c r="AJ78" s="399"/>
      <c r="AK78" s="399"/>
      <c r="AL78" s="399"/>
      <c r="AM78" s="399"/>
      <c r="AN78" s="399"/>
      <c r="AO78" s="399"/>
      <c r="AP78" s="399"/>
      <c r="AQ78" s="399"/>
      <c r="AR78" s="399"/>
      <c r="AS78" s="399"/>
      <c r="AT78" s="399"/>
      <c r="AU78" s="399"/>
      <c r="AV78" s="399"/>
      <c r="AW78" s="399"/>
      <c r="AX78" s="399"/>
      <c r="AY78" s="399"/>
      <c r="AZ78" s="399"/>
    </row>
    <row r="79" spans="1:52" s="374" customFormat="1" ht="3.75" customHeight="1">
      <c r="A79" s="399"/>
      <c r="B79" s="399"/>
      <c r="C79" s="399"/>
      <c r="D79" s="399"/>
      <c r="E79" s="399"/>
      <c r="F79" s="399"/>
      <c r="G79" s="399"/>
      <c r="H79" s="399"/>
      <c r="I79" s="399"/>
      <c r="J79" s="399"/>
      <c r="K79" s="399"/>
      <c r="L79" s="399"/>
      <c r="M79" s="399"/>
      <c r="N79" s="399"/>
      <c r="O79" s="399"/>
      <c r="P79" s="399"/>
      <c r="Q79" s="399"/>
      <c r="R79" s="446"/>
      <c r="S79" s="399"/>
      <c r="T79" s="399"/>
      <c r="U79" s="399"/>
      <c r="V79" s="399"/>
      <c r="W79" s="399"/>
      <c r="X79" s="399"/>
      <c r="Y79" s="399"/>
      <c r="Z79" s="399"/>
      <c r="AA79" s="399"/>
      <c r="AB79" s="399"/>
      <c r="AC79" s="399"/>
      <c r="AD79" s="399"/>
      <c r="AE79" s="399"/>
      <c r="AF79" s="399"/>
      <c r="AG79" s="399"/>
      <c r="AH79" s="399"/>
      <c r="AI79" s="399"/>
      <c r="AJ79" s="399"/>
      <c r="AK79" s="399"/>
      <c r="AL79" s="399"/>
      <c r="AM79" s="399"/>
      <c r="AN79" s="399"/>
      <c r="AO79" s="399"/>
      <c r="AP79" s="399"/>
      <c r="AQ79" s="399"/>
      <c r="AR79" s="399"/>
      <c r="AS79" s="399"/>
      <c r="AT79" s="399"/>
      <c r="AU79" s="399"/>
      <c r="AV79" s="399"/>
      <c r="AW79" s="399"/>
      <c r="AX79" s="399"/>
      <c r="AY79" s="399"/>
      <c r="AZ79" s="399"/>
    </row>
    <row r="80" spans="1:52" s="377" customFormat="1" ht="14.25" customHeight="1">
      <c r="A80" s="408"/>
      <c r="B80" s="617" t="s">
        <v>100</v>
      </c>
      <c r="C80" s="618"/>
      <c r="D80" s="384" t="str">
        <f t="shared" ref="D80:O80" si="40">+D29</f>
        <v/>
      </c>
      <c r="E80" s="384" t="str">
        <f t="shared" si="40"/>
        <v/>
      </c>
      <c r="F80" s="384" t="str">
        <f t="shared" si="40"/>
        <v/>
      </c>
      <c r="G80" s="384" t="str">
        <f t="shared" si="40"/>
        <v/>
      </c>
      <c r="H80" s="384" t="str">
        <f t="shared" si="40"/>
        <v/>
      </c>
      <c r="I80" s="384" t="str">
        <f t="shared" si="40"/>
        <v/>
      </c>
      <c r="J80" s="384" t="str">
        <f t="shared" si="40"/>
        <v/>
      </c>
      <c r="K80" s="384" t="str">
        <f t="shared" si="40"/>
        <v/>
      </c>
      <c r="L80" s="384" t="str">
        <f t="shared" si="40"/>
        <v/>
      </c>
      <c r="M80" s="384" t="str">
        <f t="shared" si="40"/>
        <v/>
      </c>
      <c r="N80" s="384" t="str">
        <f t="shared" si="40"/>
        <v/>
      </c>
      <c r="O80" s="384" t="str">
        <f t="shared" si="40"/>
        <v>Average</v>
      </c>
      <c r="P80" s="408"/>
      <c r="Q80" s="408"/>
      <c r="R80" s="619"/>
      <c r="S80" s="408"/>
      <c r="T80" s="408"/>
      <c r="U80" s="408"/>
      <c r="V80" s="408"/>
      <c r="W80" s="408"/>
      <c r="X80" s="408"/>
      <c r="Y80" s="408"/>
      <c r="Z80" s="408"/>
      <c r="AA80" s="408"/>
      <c r="AB80" s="408"/>
      <c r="AC80" s="408"/>
      <c r="AD80" s="408"/>
      <c r="AE80" s="408"/>
      <c r="AF80" s="408"/>
      <c r="AG80" s="408"/>
      <c r="AH80" s="408"/>
      <c r="AI80" s="408"/>
      <c r="AJ80" s="408"/>
      <c r="AK80" s="408"/>
      <c r="AL80" s="408"/>
      <c r="AM80" s="408"/>
      <c r="AN80" s="408"/>
      <c r="AO80" s="408"/>
      <c r="AP80" s="408"/>
      <c r="AQ80" s="408"/>
      <c r="AR80" s="408"/>
      <c r="AS80" s="408"/>
      <c r="AT80" s="408"/>
      <c r="AU80" s="408"/>
      <c r="AV80" s="408"/>
      <c r="AW80" s="408"/>
      <c r="AX80" s="408"/>
      <c r="AY80" s="408"/>
      <c r="AZ80" s="408"/>
    </row>
    <row r="81" spans="1:52" s="374" customFormat="1" ht="3.75" customHeight="1">
      <c r="A81" s="399"/>
      <c r="B81" s="434"/>
      <c r="C81" s="434"/>
      <c r="D81" s="434"/>
      <c r="E81" s="434"/>
      <c r="F81" s="434"/>
      <c r="G81" s="434"/>
      <c r="H81" s="434"/>
      <c r="I81" s="434"/>
      <c r="J81" s="434"/>
      <c r="K81" s="434"/>
      <c r="L81" s="434"/>
      <c r="M81" s="434"/>
      <c r="N81" s="434"/>
      <c r="O81" s="434"/>
      <c r="P81" s="399"/>
      <c r="Q81" s="399"/>
      <c r="R81" s="446"/>
      <c r="S81" s="399"/>
      <c r="T81" s="399"/>
      <c r="U81" s="399"/>
      <c r="V81" s="399"/>
      <c r="W81" s="399"/>
      <c r="X81" s="399"/>
      <c r="Y81" s="399"/>
      <c r="Z81" s="399"/>
      <c r="AA81" s="399"/>
      <c r="AB81" s="399"/>
      <c r="AC81" s="399"/>
      <c r="AD81" s="399"/>
      <c r="AE81" s="399"/>
      <c r="AF81" s="399"/>
      <c r="AG81" s="399"/>
      <c r="AH81" s="399"/>
      <c r="AI81" s="399"/>
      <c r="AJ81" s="399"/>
      <c r="AK81" s="399"/>
      <c r="AL81" s="399"/>
      <c r="AM81" s="399"/>
      <c r="AN81" s="399"/>
      <c r="AO81" s="399"/>
      <c r="AP81" s="399"/>
      <c r="AQ81" s="399"/>
      <c r="AR81" s="399"/>
      <c r="AS81" s="399"/>
      <c r="AT81" s="399"/>
      <c r="AU81" s="399"/>
      <c r="AV81" s="399"/>
      <c r="AW81" s="399"/>
      <c r="AX81" s="399"/>
      <c r="AY81" s="399"/>
      <c r="AZ81" s="399"/>
    </row>
    <row r="82" spans="1:52" s="374" customFormat="1" ht="14.25" customHeight="1">
      <c r="A82" s="399"/>
      <c r="B82" s="399" t="s">
        <v>275</v>
      </c>
      <c r="C82" s="399"/>
      <c r="D82" s="450" t="str" cm="1">
        <f t="array" aca="1" ref="D82" ca="1">IFERROR((D85/_xlfn.STOCKHISTORY(C6,TODAY()-1,TODAY()-1,0,0,1))-1,"Non-trading days")</f>
        <v>Non-trading days</v>
      </c>
      <c r="E82" s="450" t="str" cm="1">
        <f t="array" aca="1" ref="E82" ca="1">IFERROR((E85/_xlfn.STOCKHISTORY(C8,TODAY()-1,TODAY()-1,0,0,1))-1,"Non-trading days")</f>
        <v>Non-trading days</v>
      </c>
      <c r="F82" s="450" t="str" cm="1">
        <f t="array" aca="1" ref="F82" ca="1">IFERROR((F85/_xlfn.STOCKHISTORY(C9,TODAY()-1,TODAY()-1,0,0,1))-1,"Non-trading days")</f>
        <v>Non-trading days</v>
      </c>
      <c r="G82" s="450" t="str" cm="1">
        <f t="array" aca="1" ref="G82" ca="1">IFERROR((G85/_xlfn.STOCKHISTORY(C10,TODAY()-1,TODAY()-1,0,0,1))-1,"Non-trading days")</f>
        <v>Non-trading days</v>
      </c>
      <c r="H82" s="450" t="str" cm="1">
        <f t="array" aca="1" ref="H82" ca="1">IFERROR((K85/_xlfn.STOCKHISTORY(C11,TODAY()-1,TODAY()-1,0,0,1))-1,"Non-trading days")</f>
        <v>Non-trading days</v>
      </c>
      <c r="I82" s="450" t="str" cm="1">
        <f t="array" aca="1" ref="I82" ca="1">IFERROR((L85/_xlfn.STOCKHISTORY(C12,TODAY()-1,TODAY()-1,0,0,1))-1,"Non-trading days")</f>
        <v>Non-trading days</v>
      </c>
      <c r="J82" s="450" t="str" cm="1">
        <f t="array" aca="1" ref="J82" ca="1">IFERROR((M85/_xlfn.STOCKHISTORY(C13,TODAY()-1,TODAY()-1,0,0,1))-1,"Non-trading days")</f>
        <v>Non-trading days</v>
      </c>
      <c r="K82" s="450" t="str" cm="1">
        <f t="array" aca="1" ref="K82" ca="1">IFERROR((N85/_xlfn.STOCKHISTORY(C14,TODAY()-1,TODAY()-1,0,0,1))-1,"Non-trading days")</f>
        <v>Non-trading days</v>
      </c>
      <c r="L82" s="450" t="str" cm="1">
        <f t="array" aca="1" ref="L82" ca="1">IFERROR((L85/_xlfn.STOCKHISTORY(C15,TODAY()-1,TODAY()-1,0,0,1))-1,"Non-trading days")</f>
        <v>Non-trading days</v>
      </c>
      <c r="M82" s="450" t="str" cm="1">
        <f t="array" aca="1" ref="M82" ca="1">IFERROR((M85/_xlfn.STOCKHISTORY(C16,TODAY()-1,TODAY()-1,0,0,1))-1,"Non-trading days")</f>
        <v>Non-trading days</v>
      </c>
      <c r="N82" s="450" t="str" cm="1">
        <f t="array" aca="1" ref="N82" ca="1">IFERROR((N85/_xlfn.STOCKHISTORY(C17,TODAY()-1,TODAY()-1,0,0,1))-1,"Non-trading days")</f>
        <v>Non-trading days</v>
      </c>
      <c r="O82" s="447" t="str">
        <f ca="1">IFERROR(+AVERAGE(D82:N82),"")</f>
        <v/>
      </c>
      <c r="P82" s="399"/>
      <c r="Q82" s="399"/>
      <c r="R82" s="446"/>
      <c r="S82" s="399"/>
      <c r="T82" s="399"/>
      <c r="U82" s="399"/>
      <c r="V82" s="399"/>
      <c r="W82" s="399"/>
      <c r="X82" s="399"/>
      <c r="Y82" s="399"/>
      <c r="Z82" s="399"/>
      <c r="AA82" s="399"/>
      <c r="AB82" s="399"/>
      <c r="AC82" s="399"/>
      <c r="AD82" s="399"/>
      <c r="AE82" s="399"/>
      <c r="AF82" s="399"/>
      <c r="AG82" s="399"/>
      <c r="AH82" s="399"/>
      <c r="AI82" s="399"/>
      <c r="AJ82" s="399"/>
      <c r="AK82" s="399"/>
      <c r="AL82" s="399"/>
      <c r="AM82" s="399"/>
      <c r="AN82" s="399"/>
      <c r="AO82" s="399"/>
      <c r="AP82" s="399"/>
      <c r="AQ82" s="399"/>
      <c r="AR82" s="399"/>
      <c r="AS82" s="399"/>
      <c r="AT82" s="399"/>
      <c r="AU82" s="399"/>
      <c r="AV82" s="399"/>
      <c r="AW82" s="399"/>
      <c r="AX82" s="399"/>
      <c r="AY82" s="399"/>
      <c r="AZ82" s="399"/>
    </row>
    <row r="83" spans="1:52" s="374" customFormat="1" ht="14.25" customHeight="1">
      <c r="A83" s="399"/>
      <c r="B83" s="399" t="s">
        <v>276</v>
      </c>
      <c r="C83" s="399"/>
      <c r="D83" s="450" t="str" cm="1">
        <f t="array" aca="1" ref="D83" ca="1">IFERROR((D85/_xlfn.STOCKHISTORY(C6,TODAY()-29,TODAY()-29,0,0,1))-1,"Non-trading days")</f>
        <v>Non-trading days</v>
      </c>
      <c r="E83" s="450" t="str" cm="1">
        <f t="array" aca="1" ref="E83" ca="1">IFERROR((E85/_xlfn.STOCKHISTORY(C8,TODAY()-29,TODAY()-29,0,0,1))-1,"Non-trading days")</f>
        <v>Non-trading days</v>
      </c>
      <c r="F83" s="450" t="str" cm="1">
        <f t="array" aca="1" ref="F83" ca="1">IFERROR((F85/_xlfn.STOCKHISTORY(C9,TODAY()-29,TODAY()-29,0,0,1))-1,"Non-trading days")</f>
        <v>Non-trading days</v>
      </c>
      <c r="G83" s="450" t="str" cm="1">
        <f t="array" aca="1" ref="G83" ca="1">IFERROR((G85/_xlfn.STOCKHISTORY(C10,TODAY()-29,TODAY()-29,0,0,1))-1,"Non-trading days")</f>
        <v>Non-trading days</v>
      </c>
      <c r="H83" s="450" t="str" cm="1">
        <f t="array" aca="1" ref="H83" ca="1">IFERROR((K85/_xlfn.STOCKHISTORY(C11,TODAY()-29,TODAY()-29,0,0,1))-1,"Non-trading days")</f>
        <v>Non-trading days</v>
      </c>
      <c r="I83" s="450" t="str" cm="1">
        <f t="array" aca="1" ref="I83" ca="1">IFERROR((L85/_xlfn.STOCKHISTORY(C12,TODAY()-29,TODAY()-29,0,0,1))-1,"Non-trading days")</f>
        <v>Non-trading days</v>
      </c>
      <c r="J83" s="450" t="str" cm="1">
        <f t="array" aca="1" ref="J83" ca="1">IFERROR((M85/_xlfn.STOCKHISTORY(C13,TODAY()-29,TODAY()-29,0,0,1))-1,"Non-trading days")</f>
        <v>Non-trading days</v>
      </c>
      <c r="K83" s="450" t="str" cm="1">
        <f t="array" aca="1" ref="K83" ca="1">IFERROR((N85/_xlfn.STOCKHISTORY(C14,TODAY()-29,TODAY()-29,0,0,1))-1,"Non-trading days")</f>
        <v>Non-trading days</v>
      </c>
      <c r="L83" s="450" t="str" cm="1">
        <f t="array" aca="1" ref="L83" ca="1">IFERROR((L85/_xlfn.STOCKHISTORY(C15,TODAY()-29,TODAY()-29,0,0,1))-1,"Non-trading days")</f>
        <v>Non-trading days</v>
      </c>
      <c r="M83" s="450" t="str" cm="1">
        <f t="array" aca="1" ref="M83" ca="1">IFERROR((M85/_xlfn.STOCKHISTORY(C16,TODAY()-29,TODAY()-29,0,0,1))-1,"Non-trading days")</f>
        <v>Non-trading days</v>
      </c>
      <c r="N83" s="450" t="str" cm="1">
        <f t="array" aca="1" ref="N83" ca="1">IFERROR((N85/_xlfn.STOCKHISTORY(C17,TODAY()-29,TODAY()-29,0,0,1))-1,"Non-trading days")</f>
        <v>Non-trading days</v>
      </c>
      <c r="O83" s="447" t="str">
        <f ca="1">IFERROR(AVERAGE(D83:N83),"")</f>
        <v/>
      </c>
      <c r="P83" s="399"/>
      <c r="Q83" s="399"/>
      <c r="R83" s="446"/>
      <c r="S83" s="399"/>
      <c r="T83" s="399"/>
      <c r="U83" s="399"/>
      <c r="V83" s="399"/>
      <c r="W83" s="399"/>
      <c r="X83" s="399"/>
      <c r="Y83" s="399"/>
      <c r="Z83" s="399"/>
      <c r="AA83" s="399"/>
      <c r="AB83" s="399"/>
      <c r="AC83" s="399"/>
      <c r="AD83" s="399"/>
      <c r="AE83" s="399"/>
      <c r="AF83" s="399"/>
      <c r="AG83" s="399"/>
      <c r="AH83" s="399"/>
      <c r="AI83" s="399"/>
      <c r="AJ83" s="399"/>
      <c r="AK83" s="399"/>
      <c r="AL83" s="399"/>
      <c r="AM83" s="399"/>
      <c r="AN83" s="399"/>
      <c r="AO83" s="399"/>
      <c r="AP83" s="399"/>
      <c r="AQ83" s="399"/>
      <c r="AR83" s="399"/>
      <c r="AS83" s="399"/>
      <c r="AT83" s="399"/>
      <c r="AU83" s="399"/>
      <c r="AV83" s="399"/>
      <c r="AW83" s="399"/>
      <c r="AX83" s="399"/>
      <c r="AY83" s="399"/>
      <c r="AZ83" s="399"/>
    </row>
    <row r="84" spans="1:52" s="374" customFormat="1" ht="14.25" customHeight="1">
      <c r="A84" s="399"/>
      <c r="B84" s="399" t="s">
        <v>277</v>
      </c>
      <c r="C84" s="399"/>
      <c r="D84" s="450" t="str" cm="1">
        <f t="array" ref="D84">IFERROR((D85/_xlfn.STOCKHISTORY(C6,"2025-01-02","2025-01-02",0,0,1))-1,"Non-trading days")</f>
        <v>Non-trading days</v>
      </c>
      <c r="E84" s="450" t="str" cm="1">
        <f t="array" ref="E84">IFERROR((E85/_xlfn.STOCKHISTORY(C8,"2025-01-02","2025-01-02",0,0,1))-1,"Non-trading days")</f>
        <v>Non-trading days</v>
      </c>
      <c r="F84" s="450" t="str" cm="1">
        <f t="array" ref="F84">IFERROR((F85/_xlfn.STOCKHISTORY(C9,"2025-01-02","2025-01-02",0,0,1))-1,"Non-trading days")</f>
        <v>Non-trading days</v>
      </c>
      <c r="G84" s="450" t="str" cm="1">
        <f t="array" ref="G84">IFERROR((G85/_xlfn.STOCKHISTORY(C10,"2025-01-02","2025-01-02",0,0,1))-1,"Non-trading days")</f>
        <v>Non-trading days</v>
      </c>
      <c r="H84" s="450" t="str" cm="1">
        <f t="array" ref="H84">IFERROR((K85/_xlfn.STOCKHISTORY(C11,"2025-01-02","2025-01-02",0,0,1))-1,"Non-trading days")</f>
        <v>Non-trading days</v>
      </c>
      <c r="I84" s="450" t="str" cm="1">
        <f t="array" ref="I84">IFERROR((L85/_xlfn.STOCKHISTORY(C12,"2025-01-02","2025-01-02",0,0,1))-1,"Non-trading days")</f>
        <v>Non-trading days</v>
      </c>
      <c r="J84" s="450" t="str" cm="1">
        <f t="array" ref="J84">IFERROR((M85/_xlfn.STOCKHISTORY(C13,"2025-01-02","2025-01-02",0,0,1))-1,"Non-trading days")</f>
        <v>Non-trading days</v>
      </c>
      <c r="K84" s="450" t="str" cm="1">
        <f t="array" ref="K84">IFERROR((N85/_xlfn.STOCKHISTORY(C14,"2025-01-02","2025-01-02",0,0,1))-1,"Non-trading days")</f>
        <v>Non-trading days</v>
      </c>
      <c r="L84" s="450" t="str" cm="1">
        <f t="array" ref="L84">IFERROR((L85/_xlfn.STOCKHISTORY(C15,"2025-01-02","2025-01-02",0,0,1))-1,"Non-trading days")</f>
        <v>Non-trading days</v>
      </c>
      <c r="M84" s="450" t="str" cm="1">
        <f t="array" ref="M84">IFERROR((M85/_xlfn.STOCKHISTORY(C16,"2025-01-02","2025-01-02",0,0,1))-1,"Non-trading days")</f>
        <v>Non-trading days</v>
      </c>
      <c r="N84" s="450" t="str" cm="1">
        <f t="array" ref="N84">IFERROR((N85/_xlfn.STOCKHISTORY(C17,"2025-01-02","2025-01-02",0,0,1))-1,"Non-trading days")</f>
        <v>Non-trading days</v>
      </c>
      <c r="O84" s="447" t="str">
        <f>IFERROR(AVERAGE(D84:N84),"")</f>
        <v/>
      </c>
      <c r="P84" s="399"/>
      <c r="Q84" s="399"/>
      <c r="R84" s="446"/>
      <c r="S84" s="399"/>
      <c r="T84" s="399"/>
      <c r="U84" s="399"/>
      <c r="V84" s="399"/>
      <c r="W84" s="399"/>
      <c r="X84" s="399"/>
      <c r="Y84" s="399"/>
      <c r="Z84" s="399"/>
      <c r="AA84" s="399"/>
      <c r="AB84" s="399"/>
      <c r="AC84" s="399"/>
      <c r="AD84" s="399"/>
      <c r="AE84" s="399"/>
      <c r="AF84" s="399"/>
      <c r="AG84" s="399"/>
      <c r="AH84" s="399"/>
      <c r="AI84" s="399"/>
      <c r="AJ84" s="399"/>
      <c r="AK84" s="399"/>
      <c r="AL84" s="399"/>
      <c r="AM84" s="399"/>
      <c r="AN84" s="399"/>
      <c r="AO84" s="399"/>
      <c r="AP84" s="399"/>
      <c r="AQ84" s="399"/>
      <c r="AR84" s="399"/>
      <c r="AS84" s="399"/>
      <c r="AT84" s="399"/>
      <c r="AU84" s="399"/>
      <c r="AV84" s="399"/>
      <c r="AW84" s="399"/>
      <c r="AX84" s="399"/>
      <c r="AY84" s="399"/>
      <c r="AZ84" s="399"/>
    </row>
    <row r="85" spans="1:52" s="374" customFormat="1" ht="14.25" customHeight="1">
      <c r="A85" s="399"/>
      <c r="B85" s="399" t="s">
        <v>238</v>
      </c>
      <c r="C85" s="399"/>
      <c r="D85" s="442" t="str" cm="1">
        <f t="array" ref="D85">+IFERROR(_FV(D91,"Price"),"")</f>
        <v/>
      </c>
      <c r="E85" s="442" t="str" cm="1">
        <f t="array" ref="E85">+IFERROR(_FV(E91,"Price"),"")</f>
        <v/>
      </c>
      <c r="F85" s="442" t="str" cm="1">
        <f t="array" ref="F85">+IFERROR(_FV(F91,"Price"),"")</f>
        <v/>
      </c>
      <c r="G85" s="442" t="str" cm="1">
        <f t="array" ref="G85">+IFERROR(_FV(G91,"Price"),"")</f>
        <v/>
      </c>
      <c r="H85" s="442" t="str" cm="1">
        <f t="array" ref="H85">+IFERROR(_FV(H91,"Price"),"")</f>
        <v/>
      </c>
      <c r="I85" s="442" t="str" cm="1">
        <f t="array" ref="I85">+IFERROR(_FV(I91,"Price"),"")</f>
        <v/>
      </c>
      <c r="J85" s="442" t="str" cm="1">
        <f t="array" ref="J85">+IFERROR(_FV(J91,"Price"),"")</f>
        <v/>
      </c>
      <c r="K85" s="442" t="str" cm="1">
        <f t="array" ref="K85">+IFERROR(_FV(K91,"Price"),"")</f>
        <v/>
      </c>
      <c r="L85" s="442" t="str" cm="1">
        <f t="array" ref="L85">+IFERROR(_FV(L91,"Price"),"")</f>
        <v/>
      </c>
      <c r="M85" s="442" t="str" cm="1">
        <f t="array" ref="M85">+IFERROR(_FV(M91,"Price"),"")</f>
        <v/>
      </c>
      <c r="N85" s="442" t="str" cm="1">
        <f t="array" ref="N85">+IFERROR(_FV(N91,"Price"),"")</f>
        <v/>
      </c>
      <c r="O85" s="447" t="str">
        <f>IFERROR(AVERAGE(D85:N85),"")</f>
        <v/>
      </c>
      <c r="P85" s="399"/>
      <c r="Q85" s="399"/>
      <c r="R85" s="446"/>
      <c r="S85" s="399"/>
      <c r="T85" s="399"/>
      <c r="U85" s="399"/>
      <c r="V85" s="399"/>
      <c r="W85" s="399"/>
      <c r="X85" s="399"/>
      <c r="Y85" s="399"/>
      <c r="Z85" s="399"/>
      <c r="AA85" s="399"/>
      <c r="AB85" s="399"/>
      <c r="AC85" s="399"/>
      <c r="AD85" s="399"/>
      <c r="AE85" s="399"/>
      <c r="AF85" s="399"/>
      <c r="AG85" s="399"/>
      <c r="AH85" s="399"/>
      <c r="AI85" s="399"/>
      <c r="AJ85" s="399"/>
      <c r="AK85" s="399"/>
      <c r="AL85" s="399"/>
      <c r="AM85" s="399"/>
      <c r="AN85" s="399"/>
      <c r="AO85" s="399"/>
      <c r="AP85" s="399"/>
      <c r="AQ85" s="399"/>
      <c r="AR85" s="399"/>
      <c r="AS85" s="399"/>
      <c r="AT85" s="399"/>
      <c r="AU85" s="399"/>
      <c r="AV85" s="399"/>
      <c r="AW85" s="399"/>
      <c r="AX85" s="399"/>
      <c r="AY85" s="399"/>
      <c r="AZ85" s="399"/>
    </row>
    <row r="86" spans="1:52" s="374" customFormat="1" ht="3.75" customHeight="1">
      <c r="A86" s="399"/>
      <c r="B86" s="399"/>
      <c r="C86" s="399"/>
      <c r="D86" s="399"/>
      <c r="E86" s="399"/>
      <c r="F86" s="399"/>
      <c r="G86" s="399"/>
      <c r="H86" s="399"/>
      <c r="I86" s="399"/>
      <c r="J86" s="399"/>
      <c r="K86" s="399"/>
      <c r="L86" s="399"/>
      <c r="M86" s="399"/>
      <c r="N86" s="399"/>
      <c r="O86" s="399"/>
      <c r="P86" s="399"/>
      <c r="Q86" s="399"/>
      <c r="R86" s="446"/>
      <c r="S86" s="399"/>
      <c r="T86" s="399"/>
      <c r="U86" s="399"/>
      <c r="V86" s="399"/>
      <c r="W86" s="399"/>
      <c r="X86" s="399"/>
      <c r="Y86" s="399"/>
      <c r="Z86" s="399"/>
      <c r="AA86" s="399"/>
      <c r="AB86" s="399"/>
      <c r="AC86" s="399"/>
      <c r="AD86" s="399"/>
      <c r="AE86" s="399"/>
      <c r="AF86" s="399"/>
      <c r="AG86" s="399"/>
      <c r="AH86" s="399"/>
      <c r="AI86" s="399"/>
      <c r="AJ86" s="399"/>
      <c r="AK86" s="399"/>
      <c r="AL86" s="399"/>
      <c r="AM86" s="399"/>
      <c r="AN86" s="399"/>
      <c r="AO86" s="399"/>
      <c r="AP86" s="399"/>
      <c r="AQ86" s="399"/>
      <c r="AR86" s="399"/>
      <c r="AS86" s="399"/>
      <c r="AT86" s="399"/>
      <c r="AU86" s="399"/>
      <c r="AV86" s="399"/>
      <c r="AW86" s="399"/>
      <c r="AX86" s="399"/>
      <c r="AY86" s="399"/>
      <c r="AZ86" s="399"/>
    </row>
    <row r="87" spans="1:52" s="377" customFormat="1" ht="14.25" customHeight="1">
      <c r="A87" s="408"/>
      <c r="B87" s="617" t="s">
        <v>278</v>
      </c>
      <c r="C87" s="618"/>
      <c r="D87" s="617"/>
      <c r="E87" s="617"/>
      <c r="F87" s="617"/>
      <c r="G87" s="617"/>
      <c r="H87" s="617"/>
      <c r="I87" s="617"/>
      <c r="J87" s="617"/>
      <c r="K87" s="617"/>
      <c r="L87" s="617"/>
      <c r="M87" s="617"/>
      <c r="N87" s="617"/>
      <c r="O87" s="617"/>
      <c r="P87" s="408"/>
      <c r="Q87" s="408"/>
      <c r="R87" s="619"/>
      <c r="S87" s="408"/>
      <c r="T87" s="408"/>
      <c r="U87" s="408"/>
      <c r="V87" s="408"/>
      <c r="W87" s="408"/>
      <c r="X87" s="408"/>
      <c r="Y87" s="408"/>
      <c r="Z87" s="408"/>
      <c r="AA87" s="408"/>
      <c r="AB87" s="408"/>
      <c r="AC87" s="408"/>
      <c r="AD87" s="408"/>
      <c r="AE87" s="408"/>
      <c r="AF87" s="408"/>
      <c r="AG87" s="408"/>
      <c r="AH87" s="408"/>
      <c r="AI87" s="408"/>
      <c r="AJ87" s="408"/>
      <c r="AK87" s="408"/>
      <c r="AL87" s="408"/>
      <c r="AM87" s="408"/>
      <c r="AN87" s="408"/>
      <c r="AO87" s="408"/>
      <c r="AP87" s="408"/>
      <c r="AQ87" s="408"/>
      <c r="AR87" s="408"/>
      <c r="AS87" s="408"/>
      <c r="AT87" s="408"/>
      <c r="AU87" s="408"/>
      <c r="AV87" s="408"/>
      <c r="AW87" s="408"/>
      <c r="AX87" s="408"/>
      <c r="AY87" s="408"/>
      <c r="AZ87" s="408"/>
    </row>
    <row r="88" spans="1:52" s="374" customFormat="1" ht="3.75" customHeight="1">
      <c r="A88" s="399"/>
      <c r="B88" s="434"/>
      <c r="C88" s="434"/>
      <c r="D88" s="434"/>
      <c r="E88" s="434"/>
      <c r="F88" s="434"/>
      <c r="G88" s="434"/>
      <c r="H88" s="434"/>
      <c r="I88" s="434"/>
      <c r="J88" s="434"/>
      <c r="K88" s="434"/>
      <c r="L88" s="434"/>
      <c r="M88" s="434"/>
      <c r="N88" s="434"/>
      <c r="O88" s="434"/>
      <c r="P88" s="399"/>
      <c r="Q88" s="399"/>
      <c r="R88" s="446"/>
      <c r="S88" s="399"/>
      <c r="T88" s="399"/>
      <c r="U88" s="399"/>
      <c r="V88" s="399"/>
      <c r="W88" s="399"/>
      <c r="X88" s="399"/>
      <c r="Y88" s="399"/>
      <c r="Z88" s="399"/>
      <c r="AA88" s="399"/>
      <c r="AB88" s="399"/>
      <c r="AC88" s="399"/>
      <c r="AD88" s="399"/>
      <c r="AE88" s="399"/>
      <c r="AF88" s="399"/>
      <c r="AG88" s="399"/>
      <c r="AH88" s="399"/>
      <c r="AI88" s="399"/>
      <c r="AJ88" s="399"/>
      <c r="AK88" s="399"/>
      <c r="AL88" s="399"/>
      <c r="AM88" s="399"/>
      <c r="AN88" s="399"/>
      <c r="AO88" s="399"/>
      <c r="AP88" s="399"/>
      <c r="AQ88" s="399"/>
      <c r="AR88" s="399"/>
      <c r="AS88" s="399"/>
      <c r="AT88" s="399"/>
      <c r="AU88" s="399"/>
      <c r="AV88" s="399"/>
      <c r="AW88" s="399"/>
      <c r="AX88" s="399"/>
      <c r="AY88" s="399"/>
      <c r="AZ88" s="399"/>
    </row>
    <row r="89" spans="1:52" s="374" customFormat="1" ht="14.25" customHeight="1">
      <c r="A89" s="399"/>
      <c r="B89" s="399" t="s">
        <v>279</v>
      </c>
      <c r="C89" s="399"/>
      <c r="D89" s="399"/>
      <c r="E89" s="399"/>
      <c r="F89" s="399"/>
      <c r="G89" s="399"/>
      <c r="H89" s="399"/>
      <c r="I89" s="399"/>
      <c r="J89" s="399"/>
      <c r="K89" s="399"/>
      <c r="L89" s="399"/>
      <c r="M89" s="399"/>
      <c r="N89" s="399"/>
      <c r="O89" s="399"/>
      <c r="P89" s="399"/>
      <c r="Q89" s="399"/>
      <c r="R89" s="446"/>
      <c r="S89" s="399"/>
      <c r="T89" s="399"/>
      <c r="U89" s="399"/>
      <c r="V89" s="399"/>
      <c r="W89" s="399"/>
      <c r="X89" s="399"/>
      <c r="Y89" s="399"/>
      <c r="Z89" s="399"/>
      <c r="AA89" s="399"/>
      <c r="AB89" s="399"/>
      <c r="AC89" s="399"/>
      <c r="AD89" s="399"/>
      <c r="AE89" s="399"/>
      <c r="AF89" s="399"/>
      <c r="AG89" s="399"/>
      <c r="AH89" s="399"/>
      <c r="AI89" s="399"/>
      <c r="AJ89" s="399"/>
      <c r="AK89" s="399"/>
      <c r="AL89" s="399"/>
      <c r="AM89" s="399"/>
      <c r="AN89" s="399"/>
      <c r="AO89" s="399"/>
      <c r="AP89" s="399"/>
      <c r="AQ89" s="399"/>
      <c r="AR89" s="399"/>
      <c r="AS89" s="399"/>
      <c r="AT89" s="399"/>
      <c r="AU89" s="399"/>
      <c r="AV89" s="399"/>
      <c r="AW89" s="399"/>
      <c r="AX89" s="399"/>
      <c r="AY89" s="399"/>
      <c r="AZ89" s="399"/>
    </row>
    <row r="90" spans="1:52" s="374" customFormat="1" ht="5.25" customHeight="1">
      <c r="A90" s="399"/>
      <c r="B90" s="399"/>
      <c r="C90" s="399"/>
      <c r="D90" s="399"/>
      <c r="E90" s="399"/>
      <c r="F90" s="399"/>
      <c r="G90" s="399"/>
      <c r="H90" s="399"/>
      <c r="I90" s="399"/>
      <c r="J90" s="399"/>
      <c r="K90" s="399"/>
      <c r="L90" s="399"/>
      <c r="M90" s="399"/>
      <c r="N90" s="399"/>
      <c r="O90" s="399"/>
      <c r="P90" s="399"/>
      <c r="Q90" s="399"/>
      <c r="R90" s="446"/>
      <c r="S90" s="399"/>
      <c r="T90" s="399"/>
      <c r="U90" s="399"/>
      <c r="V90" s="399"/>
      <c r="W90" s="399"/>
      <c r="X90" s="399"/>
      <c r="Y90" s="399"/>
      <c r="Z90" s="399"/>
      <c r="AA90" s="399"/>
      <c r="AB90" s="399"/>
      <c r="AC90" s="399"/>
      <c r="AD90" s="399"/>
      <c r="AE90" s="399"/>
      <c r="AF90" s="399"/>
      <c r="AG90" s="399"/>
      <c r="AH90" s="399"/>
      <c r="AI90" s="399"/>
      <c r="AJ90" s="399"/>
      <c r="AK90" s="399"/>
      <c r="AL90" s="399"/>
      <c r="AM90" s="399"/>
      <c r="AN90" s="399"/>
      <c r="AO90" s="399"/>
      <c r="AP90" s="399"/>
      <c r="AQ90" s="399"/>
      <c r="AR90" s="399"/>
      <c r="AS90" s="399"/>
      <c r="AT90" s="399"/>
      <c r="AU90" s="399"/>
      <c r="AV90" s="399"/>
      <c r="AW90" s="399"/>
      <c r="AX90" s="399"/>
      <c r="AY90" s="399"/>
      <c r="AZ90" s="399"/>
    </row>
    <row r="91" spans="1:52" s="374" customFormat="1" ht="24.75" customHeight="1">
      <c r="A91" s="399"/>
      <c r="B91" s="451" t="s">
        <v>280</v>
      </c>
      <c r="C91" s="436"/>
      <c r="D91" s="385" t="e">
        <f>+#REF!</f>
        <v>#REF!</v>
      </c>
      <c r="E91" s="386" t="s">
        <v>281</v>
      </c>
      <c r="F91" s="388" t="s">
        <v>282</v>
      </c>
      <c r="G91" s="669" t="s">
        <v>283</v>
      </c>
      <c r="H91" s="678" t="s">
        <v>284</v>
      </c>
      <c r="I91" s="678" t="s">
        <v>285</v>
      </c>
      <c r="J91" s="678" t="s">
        <v>286</v>
      </c>
      <c r="K91" s="678" t="s">
        <v>287</v>
      </c>
      <c r="L91" s="678" t="s">
        <v>288</v>
      </c>
      <c r="M91" s="678" t="s">
        <v>289</v>
      </c>
      <c r="N91" s="387" t="s">
        <v>290</v>
      </c>
      <c r="O91" s="399"/>
      <c r="P91" s="399"/>
      <c r="Q91" s="399"/>
      <c r="R91" s="446"/>
      <c r="S91" s="399"/>
      <c r="T91" s="399"/>
      <c r="U91" s="399"/>
      <c r="V91" s="399"/>
      <c r="W91" s="399"/>
      <c r="X91" s="399"/>
      <c r="Y91" s="399"/>
      <c r="Z91" s="399"/>
      <c r="AA91" s="399"/>
      <c r="AB91" s="399"/>
      <c r="AC91" s="399"/>
      <c r="AD91" s="399"/>
      <c r="AE91" s="399"/>
      <c r="AF91" s="399"/>
      <c r="AG91" s="399"/>
      <c r="AH91" s="399"/>
      <c r="AI91" s="399"/>
      <c r="AJ91" s="399"/>
      <c r="AK91" s="399"/>
      <c r="AL91" s="399"/>
      <c r="AM91" s="399"/>
      <c r="AN91" s="399"/>
      <c r="AO91" s="399"/>
      <c r="AP91" s="399"/>
      <c r="AQ91" s="399"/>
      <c r="AR91" s="399"/>
      <c r="AS91" s="399"/>
      <c r="AT91" s="399"/>
      <c r="AU91" s="399"/>
      <c r="AV91" s="399"/>
      <c r="AW91" s="399"/>
      <c r="AX91" s="399"/>
      <c r="AY91" s="399"/>
      <c r="AZ91" s="399"/>
    </row>
    <row r="92" spans="1:52" s="374" customFormat="1" ht="3.75" customHeight="1">
      <c r="A92" s="399"/>
      <c r="B92" s="452"/>
      <c r="C92" s="440"/>
      <c r="D92" s="389"/>
      <c r="E92" s="390"/>
      <c r="F92" s="392"/>
      <c r="G92" s="670"/>
      <c r="H92" s="679"/>
      <c r="I92" s="679"/>
      <c r="J92" s="679"/>
      <c r="K92" s="679"/>
      <c r="L92" s="679"/>
      <c r="M92" s="679"/>
      <c r="N92" s="391"/>
      <c r="O92" s="399"/>
      <c r="P92" s="399"/>
      <c r="Q92" s="399"/>
      <c r="R92" s="446"/>
      <c r="S92" s="399"/>
      <c r="T92" s="399"/>
      <c r="U92" s="399"/>
      <c r="V92" s="399"/>
      <c r="W92" s="399"/>
      <c r="X92" s="399"/>
      <c r="Y92" s="399"/>
      <c r="Z92" s="399"/>
      <c r="AA92" s="399"/>
      <c r="AB92" s="399"/>
      <c r="AC92" s="399"/>
      <c r="AD92" s="399"/>
      <c r="AE92" s="399"/>
      <c r="AF92" s="399"/>
      <c r="AG92" s="399"/>
      <c r="AH92" s="399"/>
      <c r="AI92" s="399"/>
      <c r="AJ92" s="399"/>
      <c r="AK92" s="399"/>
      <c r="AL92" s="399"/>
      <c r="AM92" s="399"/>
      <c r="AN92" s="399"/>
      <c r="AO92" s="399"/>
      <c r="AP92" s="399"/>
      <c r="AQ92" s="399"/>
      <c r="AR92" s="399"/>
      <c r="AS92" s="399"/>
      <c r="AT92" s="399"/>
      <c r="AU92" s="399"/>
      <c r="AV92" s="399"/>
      <c r="AW92" s="399"/>
      <c r="AX92" s="399"/>
      <c r="AY92" s="399"/>
      <c r="AZ92" s="399"/>
    </row>
    <row r="93" spans="1:52" s="374" customFormat="1" ht="14.25" customHeight="1">
      <c r="A93" s="399"/>
      <c r="B93" s="453" t="str">
        <f>+Inputs!$B$6&amp;" ("&amp;Inputs!O$4&amp;")"</f>
        <v>Revenue (Sales) (2022)</v>
      </c>
      <c r="C93" s="454"/>
      <c r="D93" s="455">
        <f>+_xlfn.XLOOKUP("Revenue (Sales)",Inputs!$B:$B,Inputs!O:O)</f>
        <v>211</v>
      </c>
      <c r="E93" s="456"/>
      <c r="F93" s="457"/>
      <c r="G93" s="671"/>
      <c r="H93" s="680"/>
      <c r="I93" s="680"/>
      <c r="J93" s="680"/>
      <c r="K93" s="680"/>
      <c r="L93" s="680"/>
      <c r="M93" s="680"/>
      <c r="N93" s="458"/>
      <c r="O93" s="399"/>
      <c r="P93" s="399"/>
      <c r="Q93" s="399"/>
      <c r="R93" s="446"/>
      <c r="S93" s="399"/>
      <c r="T93" s="399"/>
      <c r="U93" s="399"/>
      <c r="V93" s="399"/>
      <c r="W93" s="399"/>
      <c r="X93" s="399"/>
      <c r="Y93" s="399"/>
      <c r="Z93" s="399"/>
      <c r="AA93" s="399"/>
      <c r="AB93" s="399"/>
      <c r="AC93" s="399"/>
      <c r="AD93" s="399"/>
      <c r="AE93" s="399"/>
      <c r="AF93" s="399"/>
      <c r="AG93" s="399"/>
      <c r="AH93" s="399"/>
      <c r="AI93" s="399"/>
      <c r="AJ93" s="399"/>
      <c r="AK93" s="399"/>
      <c r="AL93" s="399"/>
      <c r="AM93" s="399"/>
      <c r="AN93" s="399"/>
      <c r="AO93" s="399"/>
      <c r="AP93" s="399"/>
      <c r="AQ93" s="399"/>
      <c r="AR93" s="399"/>
      <c r="AS93" s="399"/>
      <c r="AT93" s="399"/>
      <c r="AU93" s="399"/>
      <c r="AV93" s="399"/>
      <c r="AW93" s="399"/>
      <c r="AX93" s="399"/>
      <c r="AY93" s="399"/>
      <c r="AZ93" s="399"/>
    </row>
    <row r="94" spans="1:52" s="374" customFormat="1" ht="14.25" customHeight="1">
      <c r="A94" s="399"/>
      <c r="B94" s="459" t="str">
        <f>+Inputs!$B$6&amp;" ("&amp;Inputs!P$4&amp;")"</f>
        <v>Revenue (Sales) (2023)</v>
      </c>
      <c r="C94" s="399"/>
      <c r="D94" s="460">
        <f>+_xlfn.XLOOKUP("Revenue (Sales)",Inputs!$B:$B,Inputs!P:P)</f>
        <v>244.6</v>
      </c>
      <c r="E94" s="461"/>
      <c r="F94" s="462"/>
      <c r="G94" s="672"/>
      <c r="H94" s="681"/>
      <c r="I94" s="681"/>
      <c r="J94" s="681"/>
      <c r="K94" s="681"/>
      <c r="L94" s="681"/>
      <c r="M94" s="681"/>
      <c r="N94" s="463"/>
      <c r="O94" s="399"/>
      <c r="P94" s="399"/>
      <c r="Q94" s="399"/>
      <c r="R94" s="446"/>
      <c r="S94" s="399"/>
      <c r="T94" s="399"/>
      <c r="U94" s="399"/>
      <c r="V94" s="399"/>
      <c r="W94" s="399"/>
      <c r="X94" s="399"/>
      <c r="Y94" s="399"/>
      <c r="Z94" s="399"/>
      <c r="AA94" s="399"/>
      <c r="AB94" s="399"/>
      <c r="AC94" s="399"/>
      <c r="AD94" s="399"/>
      <c r="AE94" s="399"/>
      <c r="AF94" s="399"/>
      <c r="AG94" s="399"/>
      <c r="AH94" s="399"/>
      <c r="AI94" s="399"/>
      <c r="AJ94" s="399"/>
      <c r="AK94" s="399"/>
      <c r="AL94" s="399"/>
      <c r="AM94" s="399"/>
      <c r="AN94" s="399"/>
      <c r="AO94" s="399"/>
      <c r="AP94" s="399"/>
      <c r="AQ94" s="399"/>
      <c r="AR94" s="399"/>
      <c r="AS94" s="399"/>
      <c r="AT94" s="399"/>
      <c r="AU94" s="399"/>
      <c r="AV94" s="399"/>
      <c r="AW94" s="399"/>
      <c r="AX94" s="399"/>
      <c r="AY94" s="399"/>
      <c r="AZ94" s="399"/>
    </row>
    <row r="95" spans="1:52" s="374" customFormat="1" ht="14.25" customHeight="1">
      <c r="A95" s="399"/>
      <c r="B95" s="459" t="s">
        <v>291</v>
      </c>
      <c r="C95" s="399"/>
      <c r="D95" s="460">
        <f>+_xlfn.XLOOKUP("EBITDA",Inputs!$B:$B,Inputs!P:P)</f>
        <v>-178</v>
      </c>
      <c r="E95" s="461"/>
      <c r="F95" s="462"/>
      <c r="G95" s="672"/>
      <c r="H95" s="681"/>
      <c r="I95" s="681"/>
      <c r="J95" s="681"/>
      <c r="K95" s="681"/>
      <c r="L95" s="681"/>
      <c r="M95" s="681"/>
      <c r="N95" s="463"/>
      <c r="O95" s="399"/>
      <c r="P95" s="399"/>
      <c r="Q95" s="399"/>
      <c r="R95" s="446"/>
      <c r="S95" s="399"/>
      <c r="T95" s="399"/>
      <c r="U95" s="399"/>
      <c r="V95" s="399"/>
      <c r="W95" s="399"/>
      <c r="X95" s="399"/>
      <c r="Y95" s="399"/>
      <c r="Z95" s="399"/>
      <c r="AA95" s="399"/>
      <c r="AB95" s="399"/>
      <c r="AC95" s="399"/>
      <c r="AD95" s="399"/>
      <c r="AE95" s="399"/>
      <c r="AF95" s="399"/>
      <c r="AG95" s="399"/>
      <c r="AH95" s="399"/>
      <c r="AI95" s="399"/>
      <c r="AJ95" s="399"/>
      <c r="AK95" s="399"/>
      <c r="AL95" s="399"/>
      <c r="AM95" s="399"/>
      <c r="AN95" s="399"/>
      <c r="AO95" s="399"/>
      <c r="AP95" s="399"/>
      <c r="AQ95" s="399"/>
      <c r="AR95" s="399"/>
      <c r="AS95" s="399"/>
      <c r="AT95" s="399"/>
      <c r="AU95" s="399"/>
      <c r="AV95" s="399"/>
      <c r="AW95" s="399"/>
      <c r="AX95" s="399"/>
      <c r="AY95" s="399"/>
      <c r="AZ95" s="399"/>
    </row>
    <row r="96" spans="1:52" s="374" customFormat="1" ht="14.25" customHeight="1">
      <c r="A96" s="399"/>
      <c r="B96" s="453" t="s">
        <v>292</v>
      </c>
      <c r="C96" s="454"/>
      <c r="D96" s="455">
        <f>+_xlfn.XLOOKUP("Net Income",Inputs!$B:$B,Inputs!P:P)</f>
        <v>-154.19999999999999</v>
      </c>
      <c r="E96" s="456"/>
      <c r="F96" s="457"/>
      <c r="G96" s="671"/>
      <c r="H96" s="680"/>
      <c r="I96" s="680"/>
      <c r="J96" s="680"/>
      <c r="K96" s="680"/>
      <c r="L96" s="680"/>
      <c r="M96" s="680"/>
      <c r="N96" s="458"/>
      <c r="O96" s="399"/>
      <c r="P96" s="399"/>
      <c r="Q96" s="399"/>
      <c r="R96" s="446"/>
      <c r="S96" s="399"/>
      <c r="T96" s="399"/>
      <c r="U96" s="399"/>
      <c r="V96" s="399"/>
      <c r="W96" s="399"/>
      <c r="X96" s="399"/>
      <c r="Y96" s="399"/>
      <c r="Z96" s="399"/>
      <c r="AA96" s="399"/>
      <c r="AB96" s="399"/>
      <c r="AC96" s="399"/>
      <c r="AD96" s="399"/>
      <c r="AE96" s="399"/>
      <c r="AF96" s="399"/>
      <c r="AG96" s="399"/>
      <c r="AH96" s="399"/>
      <c r="AI96" s="399"/>
      <c r="AJ96" s="399"/>
      <c r="AK96" s="399"/>
      <c r="AL96" s="399"/>
      <c r="AM96" s="399"/>
      <c r="AN96" s="399"/>
      <c r="AO96" s="399"/>
      <c r="AP96" s="399"/>
      <c r="AQ96" s="399"/>
      <c r="AR96" s="399"/>
      <c r="AS96" s="399"/>
      <c r="AT96" s="399"/>
      <c r="AU96" s="399"/>
      <c r="AV96" s="399"/>
      <c r="AW96" s="399"/>
      <c r="AX96" s="399"/>
      <c r="AY96" s="399"/>
      <c r="AZ96" s="399"/>
    </row>
    <row r="97" spans="1:52" s="374" customFormat="1" ht="14.25" customHeight="1">
      <c r="A97" s="399"/>
      <c r="B97" s="459" t="str">
        <f>+Inputs!$B$6&amp;" ("&amp;Inputs!Q$4&amp;")"</f>
        <v>Revenue (Sales) (2024)</v>
      </c>
      <c r="C97" s="399"/>
      <c r="D97" s="460">
        <f>+_xlfn.XLOOKUP("Revenue (Sales)",Inputs!$B:$B,Inputs!Q:Q)</f>
        <v>436.2</v>
      </c>
      <c r="E97" s="464"/>
      <c r="F97" s="462"/>
      <c r="G97" s="673"/>
      <c r="H97" s="666"/>
      <c r="I97" s="681"/>
      <c r="J97" s="681"/>
      <c r="K97" s="681"/>
      <c r="L97" s="681"/>
      <c r="M97" s="681"/>
      <c r="N97" s="463"/>
      <c r="O97" s="399"/>
      <c r="P97" s="399"/>
      <c r="Q97" s="399"/>
      <c r="R97" s="446"/>
      <c r="S97" s="399"/>
      <c r="T97" s="399"/>
      <c r="U97" s="399"/>
      <c r="V97" s="399"/>
      <c r="W97" s="399"/>
      <c r="X97" s="399"/>
      <c r="Y97" s="399"/>
      <c r="Z97" s="399"/>
      <c r="AA97" s="399"/>
      <c r="AB97" s="399"/>
      <c r="AC97" s="399"/>
      <c r="AD97" s="399"/>
      <c r="AE97" s="399"/>
      <c r="AF97" s="399"/>
      <c r="AG97" s="399"/>
      <c r="AH97" s="399"/>
      <c r="AI97" s="399"/>
      <c r="AJ97" s="399"/>
      <c r="AK97" s="399"/>
      <c r="AL97" s="399"/>
      <c r="AM97" s="399"/>
      <c r="AN97" s="399"/>
      <c r="AO97" s="399"/>
      <c r="AP97" s="399"/>
      <c r="AQ97" s="399"/>
      <c r="AR97" s="399"/>
      <c r="AS97" s="399"/>
      <c r="AT97" s="399"/>
      <c r="AU97" s="399"/>
      <c r="AV97" s="399"/>
      <c r="AW97" s="399"/>
      <c r="AX97" s="399"/>
      <c r="AY97" s="399"/>
      <c r="AZ97" s="399"/>
    </row>
    <row r="98" spans="1:52" s="374" customFormat="1" ht="14.25" customHeight="1">
      <c r="A98" s="399"/>
      <c r="B98" s="465" t="s">
        <v>293</v>
      </c>
      <c r="C98" s="399"/>
      <c r="D98" s="460">
        <f>+_xlfn.XLOOKUP($B98,Inputs!$B:$B,Inputs!Q:Q)</f>
        <v>320.10000000000002</v>
      </c>
      <c r="E98" s="461"/>
      <c r="F98" s="462"/>
      <c r="G98" s="672"/>
      <c r="H98" s="681"/>
      <c r="I98" s="681"/>
      <c r="J98" s="681"/>
      <c r="K98" s="681"/>
      <c r="L98" s="681"/>
      <c r="M98" s="681"/>
      <c r="N98" s="463"/>
      <c r="O98" s="399"/>
      <c r="P98" s="399"/>
      <c r="Q98" s="399"/>
      <c r="R98" s="446"/>
      <c r="S98" s="399"/>
      <c r="T98" s="399"/>
      <c r="U98" s="399"/>
      <c r="V98" s="399"/>
      <c r="W98" s="399"/>
      <c r="X98" s="399"/>
      <c r="Y98" s="399"/>
      <c r="Z98" s="399"/>
      <c r="AA98" s="399"/>
      <c r="AB98" s="399"/>
      <c r="AC98" s="399"/>
      <c r="AD98" s="399"/>
      <c r="AE98" s="399"/>
      <c r="AF98" s="399"/>
      <c r="AG98" s="399"/>
      <c r="AH98" s="399"/>
      <c r="AI98" s="399"/>
      <c r="AJ98" s="399"/>
      <c r="AK98" s="399"/>
      <c r="AL98" s="399"/>
      <c r="AM98" s="399"/>
      <c r="AN98" s="399"/>
      <c r="AO98" s="399"/>
      <c r="AP98" s="399"/>
      <c r="AQ98" s="399"/>
      <c r="AR98" s="399"/>
      <c r="AS98" s="399"/>
      <c r="AT98" s="399"/>
      <c r="AU98" s="399"/>
      <c r="AV98" s="399"/>
      <c r="AW98" s="399"/>
      <c r="AX98" s="399"/>
      <c r="AY98" s="399"/>
      <c r="AZ98" s="399"/>
    </row>
    <row r="99" spans="1:52" s="374" customFormat="1" ht="14.25" customHeight="1">
      <c r="A99" s="399"/>
      <c r="B99" s="466" t="s">
        <v>294</v>
      </c>
      <c r="C99" s="399"/>
      <c r="D99" s="460">
        <f>+_xlfn.XLOOKUP($B99,Inputs!$B:$B,Inputs!Q:Q)</f>
        <v>116.09999999999997</v>
      </c>
      <c r="E99" s="467">
        <f>+E97-E98</f>
        <v>0</v>
      </c>
      <c r="F99" s="468">
        <f>+F97-F98</f>
        <v>0</v>
      </c>
      <c r="G99" s="674">
        <f>G97-G98</f>
        <v>0</v>
      </c>
      <c r="H99" s="682">
        <f>+H97-H98</f>
        <v>0</v>
      </c>
      <c r="I99" s="685">
        <f>I97-I98</f>
        <v>0</v>
      </c>
      <c r="J99" s="685">
        <f>+J97-J98</f>
        <v>0</v>
      </c>
      <c r="K99" s="685">
        <f>+K97-K98</f>
        <v>0</v>
      </c>
      <c r="L99" s="685">
        <f>+L97-L98</f>
        <v>0</v>
      </c>
      <c r="M99" s="685">
        <f>+M97-M98</f>
        <v>0</v>
      </c>
      <c r="N99" s="469">
        <f>+N97-N98</f>
        <v>0</v>
      </c>
      <c r="O99" s="420"/>
      <c r="P99" s="420"/>
      <c r="Q99" s="420"/>
      <c r="R99" s="122"/>
      <c r="S99" s="399"/>
      <c r="T99" s="399"/>
      <c r="U99" s="399"/>
      <c r="V99" s="399"/>
      <c r="W99" s="399"/>
      <c r="X99" s="399"/>
      <c r="Y99" s="399"/>
      <c r="Z99" s="399"/>
      <c r="AA99" s="399"/>
      <c r="AB99" s="399"/>
      <c r="AC99" s="399"/>
      <c r="AD99" s="399"/>
      <c r="AE99" s="399"/>
      <c r="AF99" s="399"/>
      <c r="AG99" s="399"/>
      <c r="AH99" s="399"/>
      <c r="AI99" s="399"/>
      <c r="AJ99" s="399"/>
      <c r="AK99" s="399"/>
      <c r="AL99" s="399"/>
      <c r="AM99" s="399"/>
      <c r="AN99" s="399"/>
      <c r="AO99" s="399"/>
      <c r="AP99" s="399"/>
      <c r="AQ99" s="399"/>
      <c r="AR99" s="399"/>
      <c r="AS99" s="399"/>
      <c r="AT99" s="399"/>
      <c r="AU99" s="399"/>
      <c r="AV99" s="399"/>
      <c r="AW99" s="399"/>
      <c r="AX99" s="399"/>
      <c r="AY99" s="399"/>
      <c r="AZ99" s="399"/>
    </row>
    <row r="100" spans="1:52" s="374" customFormat="1" ht="14.25" customHeight="1">
      <c r="A100" s="399"/>
      <c r="B100" s="465" t="s">
        <v>233</v>
      </c>
      <c r="C100" s="399"/>
      <c r="D100" s="460">
        <f>+_xlfn.XLOOKUP($B100,Inputs!$B:$B,Inputs!Q:Q)</f>
        <v>-182.10000000000002</v>
      </c>
      <c r="E100" s="464"/>
      <c r="F100" s="470"/>
      <c r="G100" s="673"/>
      <c r="H100" s="666"/>
      <c r="I100" s="666"/>
      <c r="J100" s="666"/>
      <c r="K100" s="666"/>
      <c r="L100" s="666"/>
      <c r="M100" s="666"/>
      <c r="N100" s="463"/>
      <c r="O100" s="399"/>
      <c r="P100" s="399"/>
      <c r="Q100" s="399"/>
      <c r="R100" s="399"/>
      <c r="S100" s="399"/>
      <c r="T100" s="399"/>
      <c r="U100" s="399"/>
      <c r="V100" s="399"/>
      <c r="W100" s="399"/>
      <c r="X100" s="399"/>
      <c r="Y100" s="399"/>
      <c r="Z100" s="399"/>
      <c r="AA100" s="399"/>
      <c r="AB100" s="399"/>
      <c r="AC100" s="399"/>
      <c r="AD100" s="399"/>
      <c r="AE100" s="399"/>
      <c r="AF100" s="399"/>
      <c r="AG100" s="399"/>
      <c r="AH100" s="399"/>
      <c r="AI100" s="399"/>
      <c r="AJ100" s="399"/>
      <c r="AK100" s="399"/>
      <c r="AL100" s="399"/>
      <c r="AM100" s="399"/>
      <c r="AN100" s="399"/>
      <c r="AO100" s="399"/>
      <c r="AP100" s="399"/>
      <c r="AQ100" s="399"/>
      <c r="AR100" s="399"/>
      <c r="AS100" s="399"/>
      <c r="AT100" s="399"/>
      <c r="AU100" s="399"/>
      <c r="AV100" s="399"/>
      <c r="AW100" s="399"/>
      <c r="AX100" s="399"/>
      <c r="AY100" s="399"/>
      <c r="AZ100" s="399"/>
    </row>
    <row r="101" spans="1:52" s="374" customFormat="1" ht="14.25" customHeight="1">
      <c r="A101" s="399"/>
      <c r="B101" s="465" t="s">
        <v>295</v>
      </c>
      <c r="C101" s="399"/>
      <c r="D101" s="460">
        <f>+_xlfn.XLOOKUP($B101,Inputs!$B:$B,Inputs!Q:Q)</f>
        <v>-150.23000000000002</v>
      </c>
      <c r="E101" s="464"/>
      <c r="F101" s="470"/>
      <c r="G101" s="673"/>
      <c r="H101" s="666"/>
      <c r="I101" s="666"/>
      <c r="J101" s="666"/>
      <c r="K101" s="666"/>
      <c r="L101" s="666"/>
      <c r="M101" s="666"/>
      <c r="N101" s="463"/>
      <c r="O101" s="399"/>
      <c r="P101" s="399"/>
      <c r="Q101" s="399"/>
      <c r="R101" s="399"/>
      <c r="S101" s="399"/>
      <c r="T101" s="399"/>
      <c r="U101" s="399"/>
      <c r="V101" s="399"/>
      <c r="W101" s="399"/>
      <c r="X101" s="399"/>
      <c r="Y101" s="399"/>
      <c r="Z101" s="399"/>
      <c r="AA101" s="399"/>
      <c r="AB101" s="399"/>
      <c r="AC101" s="399"/>
      <c r="AD101" s="399"/>
      <c r="AE101" s="399"/>
      <c r="AF101" s="399"/>
      <c r="AG101" s="399"/>
      <c r="AH101" s="399"/>
      <c r="AI101" s="399"/>
      <c r="AJ101" s="399"/>
      <c r="AK101" s="399"/>
      <c r="AL101" s="399"/>
      <c r="AM101" s="399"/>
      <c r="AN101" s="399"/>
      <c r="AO101" s="399"/>
      <c r="AP101" s="399"/>
      <c r="AQ101" s="399"/>
      <c r="AR101" s="399"/>
      <c r="AS101" s="399"/>
      <c r="AT101" s="399"/>
      <c r="AU101" s="399"/>
      <c r="AV101" s="399"/>
      <c r="AW101" s="399"/>
      <c r="AX101" s="399"/>
      <c r="AY101" s="399"/>
      <c r="AZ101" s="399"/>
    </row>
    <row r="102" spans="1:52" s="374" customFormat="1" ht="14.25" customHeight="1">
      <c r="A102" s="399"/>
      <c r="B102" s="465" t="s">
        <v>296</v>
      </c>
      <c r="C102" s="399"/>
      <c r="D102" s="460">
        <f>+_xlfn.XLOOKUP($B102,Inputs!$B:$B,Inputs!Q:Q)</f>
        <v>4</v>
      </c>
      <c r="E102" s="464"/>
      <c r="F102" s="470"/>
      <c r="G102" s="673"/>
      <c r="H102" s="666"/>
      <c r="I102" s="666"/>
      <c r="J102" s="666"/>
      <c r="K102" s="666"/>
      <c r="L102" s="686"/>
      <c r="M102" s="686"/>
      <c r="N102" s="471"/>
      <c r="O102" s="399"/>
      <c r="P102" s="399"/>
      <c r="Q102" s="399"/>
      <c r="R102" s="399"/>
      <c r="S102" s="399"/>
      <c r="T102" s="399"/>
      <c r="U102" s="399"/>
      <c r="V102" s="399"/>
      <c r="W102" s="399"/>
      <c r="X102" s="399"/>
      <c r="Y102" s="399"/>
      <c r="Z102" s="399"/>
      <c r="AA102" s="399"/>
      <c r="AB102" s="399"/>
      <c r="AC102" s="399"/>
      <c r="AD102" s="399"/>
      <c r="AE102" s="399"/>
      <c r="AF102" s="399"/>
      <c r="AG102" s="399"/>
      <c r="AH102" s="399"/>
      <c r="AI102" s="399"/>
      <c r="AJ102" s="399"/>
      <c r="AK102" s="399"/>
      <c r="AL102" s="399"/>
      <c r="AM102" s="399"/>
      <c r="AN102" s="399"/>
      <c r="AO102" s="399"/>
      <c r="AP102" s="399"/>
      <c r="AQ102" s="399"/>
      <c r="AR102" s="399"/>
      <c r="AS102" s="399"/>
      <c r="AT102" s="399"/>
      <c r="AU102" s="399"/>
      <c r="AV102" s="399"/>
      <c r="AW102" s="399"/>
      <c r="AX102" s="399"/>
      <c r="AY102" s="399"/>
      <c r="AZ102" s="399"/>
    </row>
    <row r="103" spans="1:52" s="374" customFormat="1" ht="14.25" customHeight="1">
      <c r="A103" s="399"/>
      <c r="B103" s="465" t="s">
        <v>297</v>
      </c>
      <c r="C103" s="399"/>
      <c r="D103" s="460">
        <f>+_xlfn.XLOOKUP($B103,Inputs!$B:$B,Inputs!Q:Q)</f>
        <v>-149.93</v>
      </c>
      <c r="E103" s="464"/>
      <c r="F103" s="470"/>
      <c r="G103" s="673"/>
      <c r="H103" s="666"/>
      <c r="I103" s="666"/>
      <c r="J103" s="666"/>
      <c r="K103" s="666"/>
      <c r="L103" s="666"/>
      <c r="M103" s="666"/>
      <c r="N103" s="463"/>
      <c r="O103" s="399"/>
      <c r="P103" s="399"/>
      <c r="Q103" s="399"/>
      <c r="R103" s="399"/>
      <c r="S103" s="399"/>
      <c r="T103" s="399"/>
      <c r="U103" s="399"/>
      <c r="V103" s="399"/>
      <c r="W103" s="399"/>
      <c r="X103" s="399"/>
      <c r="Y103" s="399"/>
      <c r="Z103" s="399"/>
      <c r="AA103" s="399"/>
      <c r="AB103" s="399"/>
      <c r="AC103" s="399"/>
      <c r="AD103" s="399"/>
      <c r="AE103" s="399"/>
      <c r="AF103" s="399"/>
      <c r="AG103" s="399"/>
      <c r="AH103" s="399"/>
      <c r="AI103" s="399"/>
      <c r="AJ103" s="399"/>
      <c r="AK103" s="399"/>
      <c r="AL103" s="399"/>
      <c r="AM103" s="399"/>
      <c r="AN103" s="399"/>
      <c r="AO103" s="399"/>
      <c r="AP103" s="399"/>
      <c r="AQ103" s="399"/>
      <c r="AR103" s="399"/>
      <c r="AS103" s="399"/>
      <c r="AT103" s="399"/>
      <c r="AU103" s="399"/>
      <c r="AV103" s="399"/>
      <c r="AW103" s="399"/>
      <c r="AX103" s="399"/>
      <c r="AY103" s="399"/>
      <c r="AZ103" s="399"/>
    </row>
    <row r="104" spans="1:52" s="374" customFormat="1" ht="14.25" customHeight="1">
      <c r="A104" s="399"/>
      <c r="B104" s="465" t="s">
        <v>298</v>
      </c>
      <c r="C104" s="399"/>
      <c r="D104" s="460">
        <f>+_xlfn.XLOOKUP($B104,Inputs!$B:$B,Inputs!Q:Q)</f>
        <v>0.8</v>
      </c>
      <c r="E104" s="464"/>
      <c r="F104" s="470"/>
      <c r="G104" s="673"/>
      <c r="H104" s="666"/>
      <c r="I104" s="666"/>
      <c r="J104" s="666"/>
      <c r="K104" s="666"/>
      <c r="L104" s="666"/>
      <c r="M104" s="666"/>
      <c r="N104" s="463"/>
      <c r="O104" s="399"/>
      <c r="P104" s="399"/>
      <c r="Q104" s="399"/>
      <c r="R104" s="399"/>
      <c r="S104" s="399"/>
      <c r="T104" s="399"/>
      <c r="U104" s="399"/>
      <c r="V104" s="399"/>
      <c r="W104" s="399"/>
      <c r="X104" s="399"/>
      <c r="Y104" s="399"/>
      <c r="Z104" s="399"/>
      <c r="AA104" s="399"/>
      <c r="AB104" s="399"/>
      <c r="AC104" s="399"/>
      <c r="AD104" s="399"/>
      <c r="AE104" s="399"/>
      <c r="AF104" s="399"/>
      <c r="AG104" s="399"/>
      <c r="AH104" s="399"/>
      <c r="AI104" s="399"/>
      <c r="AJ104" s="399"/>
      <c r="AK104" s="399"/>
      <c r="AL104" s="399"/>
      <c r="AM104" s="399"/>
      <c r="AN104" s="399"/>
      <c r="AO104" s="399"/>
      <c r="AP104" s="399"/>
      <c r="AQ104" s="399"/>
      <c r="AR104" s="399"/>
      <c r="AS104" s="399"/>
      <c r="AT104" s="399"/>
      <c r="AU104" s="399"/>
      <c r="AV104" s="399"/>
      <c r="AW104" s="399"/>
      <c r="AX104" s="399"/>
      <c r="AY104" s="399"/>
      <c r="AZ104" s="399"/>
    </row>
    <row r="105" spans="1:52" s="374" customFormat="1" ht="14.25" customHeight="1">
      <c r="A105" s="399"/>
      <c r="B105" s="465" t="s">
        <v>299</v>
      </c>
      <c r="C105" s="399"/>
      <c r="D105" s="460">
        <f>+_xlfn.XLOOKUP($B105,Inputs!$B:$B,Inputs!Q:Q)</f>
        <v>-150.73000000000002</v>
      </c>
      <c r="E105" s="464"/>
      <c r="F105" s="470"/>
      <c r="G105" s="673"/>
      <c r="H105" s="666"/>
      <c r="I105" s="666"/>
      <c r="J105" s="666"/>
      <c r="K105" s="666"/>
      <c r="L105" s="666"/>
      <c r="M105" s="666"/>
      <c r="N105" s="463"/>
      <c r="O105" s="399"/>
      <c r="P105" s="399"/>
      <c r="Q105" s="399"/>
      <c r="R105" s="399"/>
      <c r="S105" s="399"/>
      <c r="T105" s="399"/>
      <c r="U105" s="399"/>
      <c r="V105" s="399"/>
      <c r="W105" s="399"/>
      <c r="X105" s="399"/>
      <c r="Y105" s="399"/>
      <c r="Z105" s="399"/>
      <c r="AA105" s="399"/>
      <c r="AB105" s="399"/>
      <c r="AC105" s="399"/>
      <c r="AD105" s="399"/>
      <c r="AE105" s="399"/>
      <c r="AF105" s="399"/>
      <c r="AG105" s="399"/>
      <c r="AH105" s="399"/>
      <c r="AI105" s="399"/>
      <c r="AJ105" s="399"/>
      <c r="AK105" s="399"/>
      <c r="AL105" s="399"/>
      <c r="AM105" s="399"/>
      <c r="AN105" s="399"/>
      <c r="AO105" s="399"/>
      <c r="AP105" s="399"/>
      <c r="AQ105" s="399"/>
      <c r="AR105" s="399"/>
      <c r="AS105" s="399"/>
      <c r="AT105" s="399"/>
      <c r="AU105" s="399"/>
      <c r="AV105" s="399"/>
      <c r="AW105" s="399"/>
      <c r="AX105" s="399"/>
      <c r="AY105" s="399"/>
      <c r="AZ105" s="399"/>
    </row>
    <row r="106" spans="1:52" s="374" customFormat="1" ht="14.25" customHeight="1">
      <c r="A106" s="399"/>
      <c r="B106" s="465" t="s">
        <v>300</v>
      </c>
      <c r="C106" s="399"/>
      <c r="D106" s="460">
        <f>+_xlfn.XLOOKUP($B106,Inputs!$B:$B,Inputs!Q:Q)</f>
        <v>-0.38</v>
      </c>
      <c r="E106" s="472"/>
      <c r="F106" s="473"/>
      <c r="G106" s="675"/>
      <c r="H106" s="683"/>
      <c r="I106" s="683"/>
      <c r="J106" s="683"/>
      <c r="K106" s="683"/>
      <c r="L106" s="683"/>
      <c r="M106" s="683"/>
      <c r="N106" s="474"/>
      <c r="O106" s="399"/>
      <c r="P106" s="399"/>
      <c r="Q106" s="399"/>
      <c r="R106" s="399"/>
      <c r="S106" s="399"/>
      <c r="T106" s="399"/>
      <c r="U106" s="399"/>
      <c r="V106" s="399"/>
      <c r="W106" s="399"/>
      <c r="X106" s="399"/>
      <c r="Y106" s="399"/>
      <c r="Z106" s="399"/>
      <c r="AA106" s="399"/>
      <c r="AB106" s="399"/>
      <c r="AC106" s="399"/>
      <c r="AD106" s="399"/>
      <c r="AE106" s="399"/>
      <c r="AF106" s="399"/>
      <c r="AG106" s="399"/>
      <c r="AH106" s="399"/>
      <c r="AI106" s="399"/>
      <c r="AJ106" s="399"/>
      <c r="AK106" s="399"/>
      <c r="AL106" s="399"/>
      <c r="AM106" s="399"/>
      <c r="AN106" s="399"/>
      <c r="AO106" s="399"/>
      <c r="AP106" s="399"/>
      <c r="AQ106" s="399"/>
      <c r="AR106" s="399"/>
      <c r="AS106" s="399"/>
      <c r="AT106" s="399"/>
      <c r="AU106" s="399"/>
      <c r="AV106" s="399"/>
      <c r="AW106" s="399"/>
      <c r="AX106" s="399"/>
      <c r="AY106" s="399"/>
      <c r="AZ106" s="399"/>
    </row>
    <row r="107" spans="1:52" s="374" customFormat="1" ht="14.25" customHeight="1">
      <c r="A107" s="399"/>
      <c r="B107" s="465" t="s">
        <v>301</v>
      </c>
      <c r="C107" s="399"/>
      <c r="D107" s="460">
        <f>+_xlfn.XLOOKUP($B107,Inputs!$B:$B,Inputs!Q:Q)</f>
        <v>174.4</v>
      </c>
      <c r="E107" s="464"/>
      <c r="F107" s="470"/>
      <c r="G107" s="673"/>
      <c r="H107" s="666"/>
      <c r="I107" s="666"/>
      <c r="J107" s="666"/>
      <c r="K107" s="666"/>
      <c r="L107" s="666"/>
      <c r="M107" s="666"/>
      <c r="N107" s="463"/>
      <c r="O107" s="399"/>
      <c r="P107" s="399"/>
      <c r="Q107" s="399"/>
      <c r="R107" s="399"/>
      <c r="S107" s="399"/>
      <c r="T107" s="399"/>
      <c r="U107" s="399"/>
      <c r="V107" s="399"/>
      <c r="W107" s="399"/>
      <c r="X107" s="399"/>
      <c r="Y107" s="399"/>
      <c r="Z107" s="399"/>
      <c r="AA107" s="399"/>
      <c r="AB107" s="399"/>
      <c r="AC107" s="399"/>
      <c r="AD107" s="399"/>
      <c r="AE107" s="399"/>
      <c r="AF107" s="399"/>
      <c r="AG107" s="399"/>
      <c r="AH107" s="399"/>
      <c r="AI107" s="399"/>
      <c r="AJ107" s="399"/>
      <c r="AK107" s="399"/>
      <c r="AL107" s="399"/>
      <c r="AM107" s="399"/>
      <c r="AN107" s="399"/>
      <c r="AO107" s="399"/>
      <c r="AP107" s="399"/>
      <c r="AQ107" s="399"/>
      <c r="AR107" s="399"/>
      <c r="AS107" s="399"/>
      <c r="AT107" s="399"/>
      <c r="AU107" s="399"/>
      <c r="AV107" s="399"/>
      <c r="AW107" s="399"/>
      <c r="AX107" s="399"/>
      <c r="AY107" s="399"/>
      <c r="AZ107" s="399"/>
    </row>
    <row r="108" spans="1:52" s="374" customFormat="1" ht="3.75" customHeight="1">
      <c r="A108" s="399"/>
      <c r="B108" s="465"/>
      <c r="C108" s="399"/>
      <c r="D108" s="475"/>
      <c r="E108" s="476"/>
      <c r="F108" s="477"/>
      <c r="G108" s="676"/>
      <c r="H108" s="684"/>
      <c r="I108" s="684"/>
      <c r="J108" s="684"/>
      <c r="K108" s="684"/>
      <c r="L108" s="684"/>
      <c r="M108" s="684"/>
      <c r="N108" s="443"/>
      <c r="O108" s="399"/>
      <c r="P108" s="399"/>
      <c r="Q108" s="399"/>
      <c r="R108" s="399"/>
      <c r="S108" s="399"/>
      <c r="T108" s="399"/>
      <c r="U108" s="399"/>
      <c r="V108" s="399"/>
      <c r="W108" s="399"/>
      <c r="X108" s="399"/>
      <c r="Y108" s="399"/>
      <c r="Z108" s="399"/>
      <c r="AA108" s="399"/>
      <c r="AB108" s="399"/>
      <c r="AC108" s="399"/>
      <c r="AD108" s="399"/>
      <c r="AE108" s="399"/>
      <c r="AF108" s="399"/>
      <c r="AG108" s="399"/>
      <c r="AH108" s="399"/>
      <c r="AI108" s="399"/>
      <c r="AJ108" s="399"/>
      <c r="AK108" s="399"/>
      <c r="AL108" s="399"/>
      <c r="AM108" s="399"/>
      <c r="AN108" s="399"/>
      <c r="AO108" s="399"/>
      <c r="AP108" s="399"/>
      <c r="AQ108" s="399"/>
      <c r="AR108" s="399"/>
      <c r="AS108" s="399"/>
      <c r="AT108" s="399"/>
      <c r="AU108" s="399"/>
      <c r="AV108" s="399"/>
      <c r="AW108" s="399"/>
      <c r="AX108" s="399"/>
      <c r="AY108" s="399"/>
      <c r="AZ108" s="399"/>
    </row>
    <row r="109" spans="1:52" s="374" customFormat="1" ht="14.25" customHeight="1">
      <c r="A109" s="399"/>
      <c r="B109" s="451" t="s">
        <v>302</v>
      </c>
      <c r="C109" s="436"/>
      <c r="D109" s="478"/>
      <c r="E109" s="479"/>
      <c r="F109" s="480"/>
      <c r="G109" s="677"/>
      <c r="H109" s="667"/>
      <c r="I109" s="667"/>
      <c r="J109" s="667"/>
      <c r="K109" s="667"/>
      <c r="L109" s="667"/>
      <c r="M109" s="667"/>
      <c r="N109" s="481"/>
      <c r="O109" s="399"/>
      <c r="P109" s="399"/>
      <c r="Q109" s="399"/>
      <c r="R109" s="399"/>
      <c r="S109" s="399"/>
      <c r="T109" s="399"/>
      <c r="U109" s="399"/>
      <c r="V109" s="399"/>
      <c r="W109" s="399"/>
      <c r="X109" s="399"/>
      <c r="Y109" s="399"/>
      <c r="Z109" s="399"/>
      <c r="AA109" s="399"/>
      <c r="AB109" s="399"/>
      <c r="AC109" s="399"/>
      <c r="AD109" s="399"/>
      <c r="AE109" s="399"/>
      <c r="AF109" s="399"/>
      <c r="AG109" s="399"/>
      <c r="AH109" s="399"/>
      <c r="AI109" s="399"/>
      <c r="AJ109" s="399"/>
      <c r="AK109" s="399"/>
      <c r="AL109" s="399"/>
      <c r="AM109" s="399"/>
      <c r="AN109" s="399"/>
      <c r="AO109" s="399"/>
      <c r="AP109" s="399"/>
      <c r="AQ109" s="399"/>
      <c r="AR109" s="399"/>
      <c r="AS109" s="399"/>
      <c r="AT109" s="399"/>
      <c r="AU109" s="399"/>
      <c r="AV109" s="399"/>
      <c r="AW109" s="399"/>
      <c r="AX109" s="399"/>
      <c r="AY109" s="399"/>
      <c r="AZ109" s="399"/>
    </row>
    <row r="110" spans="1:52" s="374" customFormat="1" ht="3.75" customHeight="1">
      <c r="A110" s="399"/>
      <c r="B110" s="452"/>
      <c r="C110" s="440"/>
      <c r="D110" s="482"/>
      <c r="E110" s="483"/>
      <c r="F110" s="484"/>
      <c r="G110" s="665"/>
      <c r="H110" s="668"/>
      <c r="I110" s="668"/>
      <c r="J110" s="668"/>
      <c r="K110" s="668"/>
      <c r="L110" s="668"/>
      <c r="M110" s="668"/>
      <c r="N110" s="445"/>
      <c r="O110" s="399"/>
      <c r="P110" s="399"/>
      <c r="Q110" s="399"/>
      <c r="R110" s="399"/>
      <c r="S110" s="399"/>
      <c r="T110" s="399"/>
      <c r="U110" s="399"/>
      <c r="V110" s="399"/>
      <c r="W110" s="399"/>
      <c r="X110" s="399"/>
      <c r="Y110" s="399"/>
      <c r="Z110" s="399"/>
      <c r="AA110" s="399"/>
      <c r="AB110" s="399"/>
      <c r="AC110" s="399"/>
      <c r="AD110" s="399"/>
      <c r="AE110" s="399"/>
      <c r="AF110" s="399"/>
      <c r="AG110" s="399"/>
      <c r="AH110" s="399"/>
      <c r="AI110" s="399"/>
      <c r="AJ110" s="399"/>
      <c r="AK110" s="399"/>
      <c r="AL110" s="399"/>
      <c r="AM110" s="399"/>
      <c r="AN110" s="399"/>
      <c r="AO110" s="399"/>
      <c r="AP110" s="399"/>
      <c r="AQ110" s="399"/>
      <c r="AR110" s="399"/>
      <c r="AS110" s="399"/>
      <c r="AT110" s="399"/>
      <c r="AU110" s="399"/>
      <c r="AV110" s="399"/>
      <c r="AW110" s="399"/>
      <c r="AX110" s="399"/>
      <c r="AY110" s="399"/>
      <c r="AZ110" s="399"/>
    </row>
    <row r="111" spans="1:52" s="374" customFormat="1" ht="14.25" customHeight="1">
      <c r="A111" s="399"/>
      <c r="B111" s="465" t="s">
        <v>303</v>
      </c>
      <c r="C111" s="399"/>
      <c r="D111" s="460">
        <f>+_xlfn.XLOOKUP($B111,Inputs!$B:$B,Inputs!Q:Q)</f>
        <v>271</v>
      </c>
      <c r="E111" s="464"/>
      <c r="F111" s="470"/>
      <c r="G111" s="673"/>
      <c r="H111" s="666"/>
      <c r="I111" s="666"/>
      <c r="J111" s="666"/>
      <c r="K111" s="666"/>
      <c r="L111" s="666"/>
      <c r="M111" s="666"/>
      <c r="N111" s="463"/>
      <c r="O111" s="399"/>
      <c r="P111" s="399"/>
      <c r="Q111" s="399"/>
      <c r="R111" s="399"/>
      <c r="S111" s="399"/>
      <c r="T111" s="399"/>
      <c r="U111" s="399"/>
      <c r="V111" s="399"/>
      <c r="W111" s="399"/>
      <c r="X111" s="399"/>
      <c r="Y111" s="399"/>
      <c r="Z111" s="399"/>
      <c r="AA111" s="399"/>
      <c r="AB111" s="399"/>
      <c r="AC111" s="399"/>
      <c r="AD111" s="399"/>
      <c r="AE111" s="399"/>
      <c r="AF111" s="399"/>
      <c r="AG111" s="399"/>
      <c r="AH111" s="399"/>
      <c r="AI111" s="399"/>
      <c r="AJ111" s="399"/>
      <c r="AK111" s="399"/>
      <c r="AL111" s="399"/>
      <c r="AM111" s="399"/>
      <c r="AN111" s="399"/>
      <c r="AO111" s="399"/>
      <c r="AP111" s="399"/>
      <c r="AQ111" s="399"/>
      <c r="AR111" s="399"/>
      <c r="AS111" s="399"/>
      <c r="AT111" s="399"/>
      <c r="AU111" s="399"/>
      <c r="AV111" s="399"/>
      <c r="AW111" s="399"/>
      <c r="AX111" s="399"/>
      <c r="AY111" s="399"/>
      <c r="AZ111" s="399"/>
    </row>
    <row r="112" spans="1:52" s="374" customFormat="1" ht="14.25" customHeight="1">
      <c r="A112" s="399"/>
      <c r="B112" s="465" t="s">
        <v>304</v>
      </c>
      <c r="C112" s="399"/>
      <c r="D112" s="460">
        <f>+_xlfn.XLOOKUP($B112,Inputs!$B:$B,Inputs!Q:Q)</f>
        <v>36.4</v>
      </c>
      <c r="E112" s="464"/>
      <c r="F112" s="470"/>
      <c r="G112" s="673"/>
      <c r="H112" s="666"/>
      <c r="I112" s="666"/>
      <c r="J112" s="666"/>
      <c r="K112" s="666"/>
      <c r="L112" s="666"/>
      <c r="M112" s="666"/>
      <c r="N112" s="463"/>
      <c r="O112" s="399"/>
      <c r="P112" s="399"/>
      <c r="Q112" s="399"/>
      <c r="R112" s="399"/>
      <c r="S112" s="399"/>
      <c r="T112" s="399"/>
      <c r="U112" s="399"/>
      <c r="V112" s="399"/>
      <c r="W112" s="399"/>
      <c r="X112" s="399"/>
      <c r="Y112" s="399"/>
      <c r="Z112" s="399"/>
      <c r="AA112" s="399"/>
      <c r="AB112" s="399"/>
      <c r="AC112" s="399"/>
      <c r="AD112" s="399"/>
      <c r="AE112" s="399"/>
      <c r="AF112" s="399"/>
      <c r="AG112" s="399"/>
      <c r="AH112" s="399"/>
      <c r="AI112" s="399"/>
      <c r="AJ112" s="399"/>
      <c r="AK112" s="399"/>
      <c r="AL112" s="399"/>
      <c r="AM112" s="399"/>
      <c r="AN112" s="399"/>
      <c r="AO112" s="399"/>
      <c r="AP112" s="399"/>
      <c r="AQ112" s="399"/>
      <c r="AR112" s="399"/>
      <c r="AS112" s="399"/>
      <c r="AT112" s="399"/>
      <c r="AU112" s="399"/>
      <c r="AV112" s="399"/>
      <c r="AW112" s="399"/>
      <c r="AX112" s="399"/>
      <c r="AY112" s="399"/>
      <c r="AZ112" s="399"/>
    </row>
    <row r="113" spans="1:52" s="374" customFormat="1" ht="14.25" customHeight="1">
      <c r="A113" s="399"/>
      <c r="B113" s="465" t="s">
        <v>305</v>
      </c>
      <c r="C113" s="399"/>
      <c r="D113" s="460">
        <f>+_xlfn.XLOOKUP("Inventory",Inputs!$B:$B,Inputs!P:P)</f>
        <v>107.9</v>
      </c>
      <c r="E113" s="464"/>
      <c r="F113" s="470"/>
      <c r="G113" s="673"/>
      <c r="H113" s="666"/>
      <c r="I113" s="666"/>
      <c r="J113" s="666"/>
      <c r="K113" s="666"/>
      <c r="L113" s="666"/>
      <c r="M113" s="666"/>
      <c r="N113" s="463"/>
      <c r="O113" s="399"/>
      <c r="P113" s="399"/>
      <c r="Q113" s="399"/>
      <c r="R113" s="399"/>
      <c r="S113" s="399"/>
      <c r="T113" s="399"/>
      <c r="U113" s="399"/>
      <c r="V113" s="399"/>
      <c r="W113" s="399"/>
      <c r="X113" s="399"/>
      <c r="Y113" s="399"/>
      <c r="Z113" s="399"/>
      <c r="AA113" s="399"/>
      <c r="AB113" s="399"/>
      <c r="AC113" s="399"/>
      <c r="AD113" s="399"/>
      <c r="AE113" s="399"/>
      <c r="AF113" s="399"/>
      <c r="AG113" s="399"/>
      <c r="AH113" s="399"/>
      <c r="AI113" s="399"/>
      <c r="AJ113" s="399"/>
      <c r="AK113" s="399"/>
      <c r="AL113" s="399"/>
      <c r="AM113" s="399"/>
      <c r="AN113" s="399"/>
      <c r="AO113" s="399"/>
      <c r="AP113" s="399"/>
      <c r="AQ113" s="399"/>
      <c r="AR113" s="399"/>
      <c r="AS113" s="399"/>
      <c r="AT113" s="399"/>
      <c r="AU113" s="399"/>
      <c r="AV113" s="399"/>
      <c r="AW113" s="399"/>
      <c r="AX113" s="399"/>
      <c r="AY113" s="399"/>
      <c r="AZ113" s="399"/>
    </row>
    <row r="114" spans="1:52" s="374" customFormat="1" ht="14.25" customHeight="1">
      <c r="A114" s="399"/>
      <c r="B114" s="465" t="s">
        <v>306</v>
      </c>
      <c r="C114" s="399"/>
      <c r="D114" s="460">
        <f>+_xlfn.XLOOKUP("Inventory",Inputs!$B:$B,Inputs!Q:Q)</f>
        <v>119.1</v>
      </c>
      <c r="E114" s="464"/>
      <c r="F114" s="470"/>
      <c r="G114" s="673"/>
      <c r="H114" s="666"/>
      <c r="I114" s="666"/>
      <c r="J114" s="666"/>
      <c r="K114" s="666"/>
      <c r="L114" s="666"/>
      <c r="M114" s="666"/>
      <c r="N114" s="463"/>
      <c r="O114" s="399"/>
      <c r="P114" s="399"/>
      <c r="Q114" s="399"/>
      <c r="R114" s="399"/>
      <c r="S114" s="399"/>
      <c r="T114" s="399"/>
      <c r="U114" s="399"/>
      <c r="V114" s="399"/>
      <c r="W114" s="399"/>
      <c r="X114" s="399"/>
      <c r="Y114" s="399"/>
      <c r="Z114" s="399"/>
      <c r="AA114" s="399"/>
      <c r="AB114" s="399"/>
      <c r="AC114" s="399"/>
      <c r="AD114" s="399"/>
      <c r="AE114" s="399"/>
      <c r="AF114" s="399"/>
      <c r="AG114" s="399"/>
      <c r="AH114" s="399"/>
      <c r="AI114" s="399"/>
      <c r="AJ114" s="399"/>
      <c r="AK114" s="399"/>
      <c r="AL114" s="399"/>
      <c r="AM114" s="399"/>
      <c r="AN114" s="399"/>
      <c r="AO114" s="399"/>
      <c r="AP114" s="399"/>
      <c r="AQ114" s="399"/>
      <c r="AR114" s="399"/>
      <c r="AS114" s="399"/>
      <c r="AT114" s="399"/>
      <c r="AU114" s="399"/>
      <c r="AV114" s="399"/>
      <c r="AW114" s="399"/>
      <c r="AX114" s="399"/>
      <c r="AY114" s="399"/>
      <c r="AZ114" s="399"/>
    </row>
    <row r="115" spans="1:52" s="374" customFormat="1" ht="14.25" customHeight="1">
      <c r="A115" s="399"/>
      <c r="B115" s="465" t="s">
        <v>307</v>
      </c>
      <c r="C115" s="399"/>
      <c r="D115" s="460">
        <f>+_xlfn.XLOOKUP($B115,Inputs!$B:$B,Inputs!Q:Q)</f>
        <v>692.6</v>
      </c>
      <c r="E115" s="464"/>
      <c r="F115" s="470"/>
      <c r="G115" s="673"/>
      <c r="H115" s="666"/>
      <c r="I115" s="666"/>
      <c r="J115" s="666"/>
      <c r="K115" s="666"/>
      <c r="L115" s="666"/>
      <c r="M115" s="666"/>
      <c r="N115" s="463"/>
      <c r="O115" s="399"/>
      <c r="P115" s="399"/>
      <c r="Q115" s="399"/>
      <c r="R115" s="399"/>
      <c r="S115" s="399"/>
      <c r="T115" s="399"/>
      <c r="U115" s="399"/>
      <c r="V115" s="399"/>
      <c r="W115" s="399"/>
      <c r="X115" s="399"/>
      <c r="Y115" s="399"/>
      <c r="Z115" s="399"/>
      <c r="AA115" s="399"/>
      <c r="AB115" s="399"/>
      <c r="AC115" s="399"/>
      <c r="AD115" s="399"/>
      <c r="AE115" s="399"/>
      <c r="AF115" s="399"/>
      <c r="AG115" s="399"/>
      <c r="AH115" s="399"/>
      <c r="AI115" s="399"/>
      <c r="AJ115" s="399"/>
      <c r="AK115" s="399"/>
      <c r="AL115" s="399"/>
      <c r="AM115" s="399"/>
      <c r="AN115" s="399"/>
      <c r="AO115" s="399"/>
      <c r="AP115" s="399"/>
      <c r="AQ115" s="399"/>
      <c r="AR115" s="399"/>
      <c r="AS115" s="399"/>
      <c r="AT115" s="399"/>
      <c r="AU115" s="399"/>
      <c r="AV115" s="399"/>
      <c r="AW115" s="399"/>
      <c r="AX115" s="399"/>
      <c r="AY115" s="399"/>
      <c r="AZ115" s="399"/>
    </row>
    <row r="116" spans="1:52" s="374" customFormat="1" ht="14.25" customHeight="1">
      <c r="A116" s="399"/>
      <c r="B116" s="465" t="s">
        <v>308</v>
      </c>
      <c r="C116" s="399"/>
      <c r="D116" s="460">
        <f>+_xlfn.XLOOKUP($B116,Inputs!$B:$B,Inputs!Q:Q)</f>
        <v>262.89999999999998</v>
      </c>
      <c r="E116" s="464"/>
      <c r="F116" s="470"/>
      <c r="G116" s="673"/>
      <c r="H116" s="666"/>
      <c r="I116" s="666"/>
      <c r="J116" s="666"/>
      <c r="K116" s="666"/>
      <c r="L116" s="666"/>
      <c r="M116" s="666"/>
      <c r="N116" s="463"/>
      <c r="O116" s="399"/>
      <c r="P116" s="399"/>
      <c r="Q116" s="399"/>
      <c r="R116" s="399"/>
      <c r="S116" s="399"/>
      <c r="T116" s="399"/>
      <c r="U116" s="399"/>
      <c r="V116" s="399"/>
      <c r="W116" s="399"/>
      <c r="X116" s="399"/>
      <c r="Y116" s="399"/>
      <c r="Z116" s="399"/>
      <c r="AA116" s="399"/>
      <c r="AB116" s="399"/>
      <c r="AC116" s="399"/>
      <c r="AD116" s="399"/>
      <c r="AE116" s="399"/>
      <c r="AF116" s="399"/>
      <c r="AG116" s="399"/>
      <c r="AH116" s="399"/>
      <c r="AI116" s="399"/>
      <c r="AJ116" s="399"/>
      <c r="AK116" s="399"/>
      <c r="AL116" s="399"/>
      <c r="AM116" s="399"/>
      <c r="AN116" s="399"/>
      <c r="AO116" s="399"/>
      <c r="AP116" s="399"/>
      <c r="AQ116" s="399"/>
      <c r="AR116" s="399"/>
      <c r="AS116" s="399"/>
      <c r="AT116" s="399"/>
      <c r="AU116" s="399"/>
      <c r="AV116" s="399"/>
      <c r="AW116" s="399"/>
      <c r="AX116" s="399"/>
      <c r="AY116" s="399"/>
      <c r="AZ116" s="399"/>
    </row>
    <row r="117" spans="1:52" s="374" customFormat="1" ht="14.25" customHeight="1">
      <c r="A117" s="399"/>
      <c r="B117" s="465" t="s">
        <v>309</v>
      </c>
      <c r="C117" s="485"/>
      <c r="D117" s="486">
        <f>+_xlfn.XLOOKUP($B117,Inputs!$B:$B,Inputs!Q:Q)</f>
        <v>1184.3</v>
      </c>
      <c r="E117" s="464"/>
      <c r="F117" s="464"/>
      <c r="G117" s="673"/>
      <c r="H117" s="666"/>
      <c r="I117" s="666"/>
      <c r="J117" s="666"/>
      <c r="K117" s="666"/>
      <c r="L117" s="666"/>
      <c r="M117" s="666"/>
      <c r="N117" s="463"/>
      <c r="O117" s="399"/>
      <c r="P117" s="399"/>
      <c r="Q117" s="399"/>
      <c r="R117" s="399"/>
      <c r="S117" s="399"/>
      <c r="T117" s="399"/>
      <c r="U117" s="399"/>
      <c r="V117" s="399"/>
      <c r="W117" s="399"/>
      <c r="X117" s="399"/>
      <c r="Y117" s="399"/>
      <c r="Z117" s="399"/>
      <c r="AA117" s="399"/>
      <c r="AB117" s="399"/>
      <c r="AC117" s="399"/>
      <c r="AD117" s="399"/>
      <c r="AE117" s="399"/>
      <c r="AF117" s="399"/>
      <c r="AG117" s="399"/>
      <c r="AH117" s="399"/>
      <c r="AI117" s="399"/>
      <c r="AJ117" s="399"/>
      <c r="AK117" s="399"/>
      <c r="AL117" s="399"/>
      <c r="AM117" s="399"/>
      <c r="AN117" s="399"/>
      <c r="AO117" s="399"/>
      <c r="AP117" s="399"/>
      <c r="AQ117" s="399"/>
      <c r="AR117" s="399"/>
      <c r="AS117" s="399"/>
      <c r="AT117" s="399"/>
      <c r="AU117" s="399"/>
      <c r="AV117" s="399"/>
      <c r="AW117" s="399"/>
      <c r="AX117" s="399"/>
      <c r="AY117" s="399"/>
      <c r="AZ117" s="399"/>
    </row>
    <row r="118" spans="1:52" s="374" customFormat="1" ht="14.25" customHeight="1">
      <c r="A118" s="399"/>
      <c r="B118" s="465" t="s">
        <v>310</v>
      </c>
      <c r="C118" s="399"/>
      <c r="D118" s="460">
        <f>+_xlfn.XLOOKUP($B118,Inputs!$B:$B,Inputs!Q:Q)</f>
        <v>72.5</v>
      </c>
      <c r="E118" s="464"/>
      <c r="F118" s="470"/>
      <c r="G118" s="673"/>
      <c r="H118" s="666"/>
      <c r="I118" s="666"/>
      <c r="J118" s="666"/>
      <c r="K118" s="666"/>
      <c r="L118" s="666"/>
      <c r="M118" s="666"/>
      <c r="N118" s="463"/>
      <c r="O118" s="399"/>
      <c r="P118" s="399"/>
      <c r="Q118" s="399"/>
      <c r="R118" s="399"/>
      <c r="S118" s="399"/>
      <c r="T118" s="399"/>
      <c r="U118" s="399"/>
      <c r="V118" s="399"/>
      <c r="W118" s="399"/>
      <c r="X118" s="399"/>
      <c r="Y118" s="399"/>
      <c r="Z118" s="399"/>
      <c r="AA118" s="399"/>
      <c r="AB118" s="399"/>
      <c r="AC118" s="399"/>
      <c r="AD118" s="399"/>
      <c r="AE118" s="399"/>
      <c r="AF118" s="399"/>
      <c r="AG118" s="399"/>
      <c r="AH118" s="399"/>
      <c r="AI118" s="399"/>
      <c r="AJ118" s="399"/>
      <c r="AK118" s="399"/>
      <c r="AL118" s="399"/>
      <c r="AM118" s="399"/>
      <c r="AN118" s="399"/>
      <c r="AO118" s="399"/>
      <c r="AP118" s="399"/>
      <c r="AQ118" s="399"/>
      <c r="AR118" s="399"/>
      <c r="AS118" s="399"/>
      <c r="AT118" s="399"/>
      <c r="AU118" s="399"/>
      <c r="AV118" s="399"/>
      <c r="AW118" s="399"/>
      <c r="AX118" s="399"/>
      <c r="AY118" s="399"/>
      <c r="AZ118" s="399"/>
    </row>
    <row r="119" spans="1:52" s="374" customFormat="1" ht="14.25" customHeight="1">
      <c r="A119" s="399"/>
      <c r="B119" s="465" t="s">
        <v>311</v>
      </c>
      <c r="C119" s="399"/>
      <c r="D119" s="460">
        <f>+_xlfn.XLOOKUP($B119,Inputs!$B:$B,Inputs!Q:Q)</f>
        <v>339.5</v>
      </c>
      <c r="E119" s="464"/>
      <c r="F119" s="470"/>
      <c r="G119" s="673"/>
      <c r="H119" s="666"/>
      <c r="I119" s="666"/>
      <c r="J119" s="666"/>
      <c r="K119" s="666"/>
      <c r="L119" s="666"/>
      <c r="M119" s="666"/>
      <c r="N119" s="463"/>
      <c r="O119" s="399"/>
      <c r="P119" s="399"/>
      <c r="Q119" s="399"/>
      <c r="R119" s="399"/>
      <c r="S119" s="399"/>
      <c r="T119" s="399"/>
      <c r="U119" s="399"/>
      <c r="V119" s="399"/>
      <c r="W119" s="399"/>
      <c r="X119" s="399"/>
      <c r="Y119" s="399"/>
      <c r="Z119" s="399"/>
      <c r="AA119" s="399"/>
      <c r="AB119" s="399"/>
      <c r="AC119" s="399"/>
      <c r="AD119" s="399"/>
      <c r="AE119" s="399"/>
      <c r="AF119" s="399"/>
      <c r="AG119" s="399"/>
      <c r="AH119" s="399"/>
      <c r="AI119" s="399"/>
      <c r="AJ119" s="399"/>
      <c r="AK119" s="399"/>
      <c r="AL119" s="399"/>
      <c r="AM119" s="399"/>
      <c r="AN119" s="399"/>
      <c r="AO119" s="399"/>
      <c r="AP119" s="399"/>
      <c r="AQ119" s="399"/>
      <c r="AR119" s="399"/>
      <c r="AS119" s="399"/>
      <c r="AT119" s="399"/>
      <c r="AU119" s="399"/>
      <c r="AV119" s="399"/>
      <c r="AW119" s="399"/>
      <c r="AX119" s="399"/>
      <c r="AY119" s="399"/>
      <c r="AZ119" s="399"/>
    </row>
    <row r="120" spans="1:52" s="374" customFormat="1" ht="14.25" customHeight="1">
      <c r="A120" s="399"/>
      <c r="B120" s="465" t="s">
        <v>312</v>
      </c>
      <c r="C120" s="399"/>
      <c r="D120" s="460">
        <f>+_xlfn.XLOOKUP($B120,Inputs!$B:$B,Inputs!Q:Q)</f>
        <v>441.4</v>
      </c>
      <c r="E120" s="464"/>
      <c r="F120" s="470"/>
      <c r="G120" s="673"/>
      <c r="H120" s="666"/>
      <c r="I120" s="666"/>
      <c r="J120" s="666"/>
      <c r="K120" s="666"/>
      <c r="L120" s="666"/>
      <c r="M120" s="666"/>
      <c r="N120" s="463"/>
      <c r="O120" s="399"/>
      <c r="P120" s="399"/>
      <c r="Q120" s="399"/>
      <c r="R120" s="399"/>
      <c r="S120" s="399"/>
      <c r="T120" s="399"/>
      <c r="U120" s="399"/>
      <c r="V120" s="399"/>
      <c r="W120" s="399"/>
      <c r="X120" s="399"/>
      <c r="Y120" s="399"/>
      <c r="Z120" s="399"/>
      <c r="AA120" s="399"/>
      <c r="AB120" s="399"/>
      <c r="AC120" s="399"/>
      <c r="AD120" s="399"/>
      <c r="AE120" s="399"/>
      <c r="AF120" s="399"/>
      <c r="AG120" s="399"/>
      <c r="AH120" s="399"/>
      <c r="AI120" s="399"/>
      <c r="AJ120" s="399"/>
      <c r="AK120" s="399"/>
      <c r="AL120" s="399"/>
      <c r="AM120" s="399"/>
      <c r="AN120" s="399"/>
      <c r="AO120" s="399"/>
      <c r="AP120" s="399"/>
      <c r="AQ120" s="399"/>
      <c r="AR120" s="399"/>
      <c r="AS120" s="399"/>
      <c r="AT120" s="399"/>
      <c r="AU120" s="399"/>
      <c r="AV120" s="399"/>
      <c r="AW120" s="399"/>
      <c r="AX120" s="399"/>
      <c r="AY120" s="399"/>
      <c r="AZ120" s="399"/>
    </row>
    <row r="121" spans="1:52" s="374" customFormat="1" ht="14.25" customHeight="1">
      <c r="A121" s="399"/>
      <c r="B121" s="465" t="s">
        <v>313</v>
      </c>
      <c r="C121" s="399"/>
      <c r="D121" s="460">
        <f>+_xlfn.XLOOKUP($B121,Inputs!$B:$B,Inputs!Q:Q,,,-1)</f>
        <v>459.59999999999997</v>
      </c>
      <c r="E121" s="464"/>
      <c r="F121" s="470"/>
      <c r="G121" s="673"/>
      <c r="H121" s="666"/>
      <c r="I121" s="666"/>
      <c r="J121" s="666"/>
      <c r="K121" s="666"/>
      <c r="L121" s="666"/>
      <c r="M121" s="666"/>
      <c r="N121" s="463"/>
      <c r="O121" s="399"/>
      <c r="P121" s="399"/>
      <c r="Q121" s="399"/>
      <c r="R121" s="399"/>
      <c r="S121" s="399"/>
      <c r="T121" s="399"/>
      <c r="U121" s="399"/>
      <c r="V121" s="399"/>
      <c r="W121" s="399"/>
      <c r="X121" s="399"/>
      <c r="Y121" s="399"/>
      <c r="Z121" s="399"/>
      <c r="AA121" s="399"/>
      <c r="AB121" s="399"/>
      <c r="AC121" s="399"/>
      <c r="AD121" s="399"/>
      <c r="AE121" s="399"/>
      <c r="AF121" s="399"/>
      <c r="AG121" s="399"/>
      <c r="AH121" s="399"/>
      <c r="AI121" s="399"/>
      <c r="AJ121" s="399"/>
      <c r="AK121" s="399"/>
      <c r="AL121" s="399"/>
      <c r="AM121" s="399"/>
      <c r="AN121" s="399"/>
      <c r="AO121" s="399"/>
      <c r="AP121" s="399"/>
      <c r="AQ121" s="399"/>
      <c r="AR121" s="399"/>
      <c r="AS121" s="399"/>
      <c r="AT121" s="399"/>
      <c r="AU121" s="399"/>
      <c r="AV121" s="399"/>
      <c r="AW121" s="399"/>
      <c r="AX121" s="399"/>
      <c r="AY121" s="399"/>
      <c r="AZ121" s="399"/>
    </row>
    <row r="122" spans="1:52" s="374" customFormat="1" ht="14.25" customHeight="1">
      <c r="A122" s="399"/>
      <c r="B122" s="465" t="s">
        <v>314</v>
      </c>
      <c r="C122" s="399"/>
      <c r="D122" s="460">
        <f>+_xlfn.XLOOKUP($B122,Inputs!$B:$B,Inputs!Q:Q)</f>
        <v>382.4</v>
      </c>
      <c r="E122" s="464"/>
      <c r="F122" s="470"/>
      <c r="G122" s="673"/>
      <c r="H122" s="666"/>
      <c r="I122" s="666"/>
      <c r="J122" s="666"/>
      <c r="K122" s="666"/>
      <c r="L122" s="666"/>
      <c r="M122" s="666"/>
      <c r="N122" s="463"/>
      <c r="O122" s="399"/>
      <c r="P122" s="399"/>
      <c r="Q122" s="399"/>
      <c r="R122" s="399"/>
      <c r="S122" s="399"/>
      <c r="T122" s="399"/>
      <c r="U122" s="399"/>
      <c r="V122" s="399"/>
      <c r="W122" s="399"/>
      <c r="X122" s="399"/>
      <c r="Y122" s="399"/>
      <c r="Z122" s="399"/>
      <c r="AA122" s="399"/>
      <c r="AB122" s="399"/>
      <c r="AC122" s="399"/>
      <c r="AD122" s="399"/>
      <c r="AE122" s="399"/>
      <c r="AF122" s="399"/>
      <c r="AG122" s="399"/>
      <c r="AH122" s="399"/>
      <c r="AI122" s="399"/>
      <c r="AJ122" s="399"/>
      <c r="AK122" s="399"/>
      <c r="AL122" s="399"/>
      <c r="AM122" s="399"/>
      <c r="AN122" s="399"/>
      <c r="AO122" s="399"/>
      <c r="AP122" s="399"/>
      <c r="AQ122" s="399"/>
      <c r="AR122" s="399"/>
      <c r="AS122" s="399"/>
      <c r="AT122" s="399"/>
      <c r="AU122" s="399"/>
      <c r="AV122" s="399"/>
      <c r="AW122" s="399"/>
      <c r="AX122" s="399"/>
      <c r="AY122" s="399"/>
      <c r="AZ122" s="399"/>
    </row>
    <row r="123" spans="1:52" s="374" customFormat="1" ht="3.95" customHeight="1">
      <c r="A123" s="399"/>
      <c r="B123" s="465"/>
      <c r="C123" s="399"/>
      <c r="D123" s="663"/>
      <c r="E123" s="666"/>
      <c r="F123" s="666"/>
      <c r="G123" s="673"/>
      <c r="H123" s="666"/>
      <c r="I123" s="666"/>
      <c r="J123" s="666"/>
      <c r="K123" s="666"/>
      <c r="L123" s="666"/>
      <c r="M123" s="666"/>
      <c r="N123" s="463"/>
      <c r="O123" s="399"/>
      <c r="P123" s="399"/>
      <c r="Q123" s="399"/>
      <c r="R123" s="399"/>
      <c r="S123" s="399"/>
      <c r="T123" s="399"/>
      <c r="U123" s="399"/>
      <c r="V123" s="399"/>
      <c r="W123" s="399"/>
      <c r="X123" s="399"/>
      <c r="Y123" s="399"/>
      <c r="Z123" s="399"/>
      <c r="AA123" s="399"/>
      <c r="AB123" s="399"/>
      <c r="AC123" s="399"/>
      <c r="AD123" s="399"/>
      <c r="AE123" s="399"/>
      <c r="AF123" s="399"/>
      <c r="AG123" s="399"/>
      <c r="AH123" s="399"/>
      <c r="AI123" s="399"/>
      <c r="AJ123" s="399"/>
      <c r="AK123" s="399"/>
      <c r="AL123" s="399"/>
      <c r="AM123" s="399"/>
      <c r="AN123" s="399"/>
      <c r="AO123" s="399"/>
      <c r="AP123" s="399"/>
      <c r="AQ123" s="399"/>
      <c r="AR123" s="399"/>
      <c r="AS123" s="399"/>
      <c r="AT123" s="399"/>
      <c r="AU123" s="399"/>
      <c r="AV123" s="399"/>
      <c r="AW123" s="399"/>
      <c r="AX123" s="399"/>
      <c r="AY123" s="399"/>
      <c r="AZ123" s="399"/>
    </row>
    <row r="124" spans="1:52" s="374" customFormat="1" ht="14.25" customHeight="1">
      <c r="A124" s="399"/>
      <c r="B124" s="451" t="s">
        <v>315</v>
      </c>
      <c r="C124" s="436"/>
      <c r="D124" s="664"/>
      <c r="E124" s="667"/>
      <c r="F124" s="667"/>
      <c r="G124" s="677"/>
      <c r="H124" s="667"/>
      <c r="I124" s="667"/>
      <c r="J124" s="667"/>
      <c r="K124" s="667"/>
      <c r="L124" s="667"/>
      <c r="M124" s="667"/>
      <c r="N124" s="481"/>
      <c r="O124" s="399"/>
      <c r="P124" s="399"/>
      <c r="Q124" s="399"/>
      <c r="R124" s="399"/>
      <c r="S124" s="399"/>
      <c r="T124" s="399"/>
      <c r="U124" s="399"/>
      <c r="V124" s="399"/>
      <c r="W124" s="399"/>
      <c r="X124" s="399"/>
      <c r="Y124" s="399"/>
      <c r="Z124" s="399"/>
      <c r="AA124" s="399"/>
      <c r="AB124" s="399"/>
      <c r="AC124" s="399"/>
      <c r="AD124" s="399"/>
      <c r="AE124" s="399"/>
      <c r="AF124" s="399"/>
      <c r="AG124" s="399"/>
      <c r="AH124" s="399"/>
      <c r="AI124" s="399"/>
      <c r="AJ124" s="399"/>
      <c r="AK124" s="399"/>
      <c r="AL124" s="399"/>
      <c r="AM124" s="399"/>
      <c r="AN124" s="399"/>
      <c r="AO124" s="399"/>
      <c r="AP124" s="399"/>
      <c r="AQ124" s="399"/>
      <c r="AR124" s="399"/>
      <c r="AS124" s="399"/>
      <c r="AT124" s="399"/>
      <c r="AU124" s="399"/>
      <c r="AV124" s="399"/>
      <c r="AW124" s="399"/>
      <c r="AX124" s="399"/>
      <c r="AY124" s="399"/>
      <c r="AZ124" s="399"/>
    </row>
    <row r="125" spans="1:52" s="374" customFormat="1" ht="3.95" customHeight="1">
      <c r="A125" s="399"/>
      <c r="B125" s="452"/>
      <c r="C125" s="440"/>
      <c r="D125" s="665"/>
      <c r="E125" s="665"/>
      <c r="F125" s="668"/>
      <c r="G125" s="665"/>
      <c r="H125" s="668"/>
      <c r="I125" s="668"/>
      <c r="J125" s="668"/>
      <c r="K125" s="668"/>
      <c r="L125" s="668"/>
      <c r="M125" s="668"/>
      <c r="N125" s="445"/>
      <c r="O125" s="399"/>
      <c r="P125" s="399"/>
      <c r="Q125" s="399"/>
      <c r="R125" s="399"/>
      <c r="S125" s="399"/>
      <c r="T125" s="399"/>
      <c r="U125" s="399"/>
      <c r="V125" s="399"/>
      <c r="W125" s="399"/>
      <c r="X125" s="399"/>
      <c r="Y125" s="399"/>
      <c r="Z125" s="399"/>
      <c r="AA125" s="399"/>
      <c r="AB125" s="399"/>
      <c r="AC125" s="399"/>
      <c r="AD125" s="399"/>
      <c r="AE125" s="399"/>
      <c r="AF125" s="399"/>
      <c r="AG125" s="399"/>
      <c r="AH125" s="399"/>
      <c r="AI125" s="399"/>
      <c r="AJ125" s="399"/>
      <c r="AK125" s="399"/>
      <c r="AL125" s="399"/>
      <c r="AM125" s="399"/>
      <c r="AN125" s="399"/>
      <c r="AO125" s="399"/>
      <c r="AP125" s="399"/>
      <c r="AQ125" s="399"/>
      <c r="AR125" s="399"/>
      <c r="AS125" s="399"/>
      <c r="AT125" s="399"/>
      <c r="AU125" s="399"/>
      <c r="AV125" s="399"/>
      <c r="AW125" s="399"/>
      <c r="AX125" s="399"/>
      <c r="AY125" s="399"/>
      <c r="AZ125" s="399"/>
    </row>
    <row r="126" spans="1:52" s="374" customFormat="1" ht="14.25" customHeight="1">
      <c r="A126" s="399"/>
      <c r="B126" s="465" t="s">
        <v>316</v>
      </c>
      <c r="C126" s="399"/>
      <c r="D126" s="460">
        <f>+_xlfn.XLOOKUP($B126,Inputs!$B:$B,Inputs!Q:Q)</f>
        <v>-48.9</v>
      </c>
      <c r="E126" s="666"/>
      <c r="F126" s="666"/>
      <c r="G126" s="673"/>
      <c r="H126" s="666"/>
      <c r="I126" s="666"/>
      <c r="J126" s="666"/>
      <c r="K126" s="666"/>
      <c r="L126" s="666"/>
      <c r="M126" s="666"/>
      <c r="N126" s="463"/>
      <c r="O126" s="399"/>
      <c r="P126" s="399"/>
      <c r="Q126" s="399"/>
      <c r="R126" s="399"/>
      <c r="S126" s="399"/>
      <c r="T126" s="399"/>
      <c r="U126" s="399"/>
      <c r="V126" s="399"/>
      <c r="W126" s="399"/>
      <c r="X126" s="399"/>
      <c r="Y126" s="399"/>
      <c r="Z126" s="399"/>
      <c r="AA126" s="399"/>
      <c r="AB126" s="399"/>
      <c r="AC126" s="399"/>
      <c r="AD126" s="399"/>
      <c r="AE126" s="399"/>
      <c r="AF126" s="399"/>
      <c r="AG126" s="399"/>
      <c r="AH126" s="399"/>
      <c r="AI126" s="399"/>
      <c r="AJ126" s="399"/>
      <c r="AK126" s="399"/>
      <c r="AL126" s="399"/>
      <c r="AM126" s="399"/>
      <c r="AN126" s="399"/>
      <c r="AO126" s="399"/>
      <c r="AP126" s="399"/>
      <c r="AQ126" s="399"/>
      <c r="AR126" s="399"/>
      <c r="AS126" s="399"/>
      <c r="AT126" s="399"/>
      <c r="AU126" s="399"/>
      <c r="AV126" s="399"/>
      <c r="AW126" s="399"/>
      <c r="AX126" s="399"/>
      <c r="AY126" s="399"/>
      <c r="AZ126" s="399"/>
    </row>
    <row r="127" spans="1:52" s="374" customFormat="1" ht="14.25" customHeight="1">
      <c r="A127" s="399"/>
      <c r="B127" s="465" t="s">
        <v>27</v>
      </c>
      <c r="C127" s="399"/>
      <c r="D127" s="460">
        <f>+_xlfn.XLOOKUP($B127,Inputs!$B:$B,Inputs!Q:Q)</f>
        <v>-54.599999999999994</v>
      </c>
      <c r="E127" s="666"/>
      <c r="F127" s="666"/>
      <c r="G127" s="673"/>
      <c r="H127" s="666"/>
      <c r="I127" s="666"/>
      <c r="J127" s="666"/>
      <c r="K127" s="666"/>
      <c r="L127" s="666"/>
      <c r="M127" s="666"/>
      <c r="N127" s="463"/>
      <c r="O127" s="399"/>
      <c r="P127" s="399"/>
      <c r="Q127" s="399"/>
      <c r="R127" s="399"/>
      <c r="S127" s="399"/>
      <c r="T127" s="399"/>
      <c r="U127" s="399"/>
      <c r="V127" s="399"/>
      <c r="W127" s="399"/>
      <c r="X127" s="399"/>
      <c r="Y127" s="399"/>
      <c r="Z127" s="399"/>
      <c r="AA127" s="399"/>
      <c r="AB127" s="399"/>
      <c r="AC127" s="399"/>
      <c r="AD127" s="399"/>
      <c r="AE127" s="399"/>
      <c r="AF127" s="399"/>
      <c r="AG127" s="399"/>
      <c r="AH127" s="399"/>
      <c r="AI127" s="399"/>
      <c r="AJ127" s="399"/>
      <c r="AK127" s="399"/>
      <c r="AL127" s="399"/>
      <c r="AM127" s="399"/>
      <c r="AN127" s="399"/>
      <c r="AO127" s="399"/>
      <c r="AP127" s="399"/>
      <c r="AQ127" s="399"/>
      <c r="AR127" s="399"/>
      <c r="AS127" s="399"/>
      <c r="AT127" s="399"/>
      <c r="AU127" s="399"/>
      <c r="AV127" s="399"/>
      <c r="AW127" s="399"/>
      <c r="AX127" s="399"/>
      <c r="AY127" s="399"/>
      <c r="AZ127" s="399"/>
    </row>
    <row r="128" spans="1:52" s="374" customFormat="1" ht="14.25" customHeight="1">
      <c r="A128" s="399"/>
      <c r="B128" s="465" t="s">
        <v>317</v>
      </c>
      <c r="C128" s="399"/>
      <c r="D128" s="460">
        <f>+_xlfn.XLOOKUP($B128,Inputs!$B:$B,Inputs!Q:Q)</f>
        <v>-98.3</v>
      </c>
      <c r="E128" s="666"/>
      <c r="F128" s="666"/>
      <c r="G128" s="673"/>
      <c r="H128" s="666"/>
      <c r="I128" s="666"/>
      <c r="J128" s="666"/>
      <c r="K128" s="666"/>
      <c r="L128" s="666"/>
      <c r="M128" s="666"/>
      <c r="N128" s="463"/>
      <c r="O128" s="399"/>
      <c r="P128" s="399"/>
      <c r="Q128" s="399"/>
      <c r="R128" s="399"/>
      <c r="S128" s="399"/>
      <c r="T128" s="399"/>
      <c r="U128" s="399"/>
      <c r="V128" s="399"/>
      <c r="W128" s="399"/>
      <c r="X128" s="399"/>
      <c r="Y128" s="399"/>
      <c r="Z128" s="399"/>
      <c r="AA128" s="399"/>
      <c r="AB128" s="399"/>
      <c r="AC128" s="399"/>
      <c r="AD128" s="399"/>
      <c r="AE128" s="399"/>
      <c r="AF128" s="399"/>
      <c r="AG128" s="399"/>
      <c r="AH128" s="399"/>
      <c r="AI128" s="399"/>
      <c r="AJ128" s="399"/>
      <c r="AK128" s="399"/>
      <c r="AL128" s="399"/>
      <c r="AM128" s="399"/>
      <c r="AN128" s="399"/>
      <c r="AO128" s="399"/>
      <c r="AP128" s="399"/>
      <c r="AQ128" s="399"/>
      <c r="AR128" s="399"/>
      <c r="AS128" s="399"/>
      <c r="AT128" s="399"/>
      <c r="AU128" s="399"/>
      <c r="AV128" s="399"/>
      <c r="AW128" s="399"/>
      <c r="AX128" s="399"/>
      <c r="AY128" s="399"/>
      <c r="AZ128" s="399"/>
    </row>
    <row r="129" spans="1:52" s="374" customFormat="1" ht="14.25" customHeight="1">
      <c r="A129" s="399"/>
      <c r="B129" s="465" t="s">
        <v>318</v>
      </c>
      <c r="C129" s="399"/>
      <c r="D129" s="460">
        <f>+_xlfn.XLOOKUP($B129,Inputs!$B:$B,Inputs!Q:Q)</f>
        <v>401.2</v>
      </c>
      <c r="E129" s="666"/>
      <c r="F129" s="666"/>
      <c r="G129" s="673"/>
      <c r="H129" s="666"/>
      <c r="I129" s="666"/>
      <c r="J129" s="666"/>
      <c r="K129" s="666"/>
      <c r="L129" s="666"/>
      <c r="M129" s="666"/>
      <c r="N129" s="463"/>
      <c r="O129" s="399"/>
      <c r="P129" s="399"/>
      <c r="Q129" s="399"/>
      <c r="R129" s="399"/>
      <c r="S129" s="399"/>
      <c r="T129" s="399"/>
      <c r="U129" s="399"/>
      <c r="V129" s="399"/>
      <c r="W129" s="399"/>
      <c r="X129" s="399"/>
      <c r="Y129" s="399"/>
      <c r="Z129" s="399"/>
      <c r="AA129" s="399"/>
      <c r="AB129" s="399"/>
      <c r="AC129" s="399"/>
      <c r="AD129" s="399"/>
      <c r="AE129" s="399"/>
      <c r="AF129" s="399"/>
      <c r="AG129" s="399"/>
      <c r="AH129" s="399"/>
      <c r="AI129" s="399"/>
      <c r="AJ129" s="399"/>
      <c r="AK129" s="399"/>
      <c r="AL129" s="399"/>
      <c r="AM129" s="399"/>
      <c r="AN129" s="399"/>
      <c r="AO129" s="399"/>
      <c r="AP129" s="399"/>
      <c r="AQ129" s="399"/>
      <c r="AR129" s="399"/>
      <c r="AS129" s="399"/>
      <c r="AT129" s="399"/>
      <c r="AU129" s="399"/>
      <c r="AV129" s="399"/>
      <c r="AW129" s="399"/>
      <c r="AX129" s="399"/>
      <c r="AY129" s="399"/>
      <c r="AZ129" s="399"/>
    </row>
    <row r="130" spans="1:52" s="374" customFormat="1" ht="14.25" customHeight="1">
      <c r="A130" s="399"/>
      <c r="B130" s="465" t="s">
        <v>319</v>
      </c>
      <c r="C130" s="399"/>
      <c r="D130" s="460">
        <f>+_xlfn.XLOOKUP($B130,Inputs!$B:$B,Inputs!Q:Q)</f>
        <v>302.89999999999998</v>
      </c>
      <c r="E130" s="666"/>
      <c r="F130" s="666"/>
      <c r="G130" s="673"/>
      <c r="H130" s="666"/>
      <c r="I130" s="666"/>
      <c r="J130" s="666"/>
      <c r="K130" s="666"/>
      <c r="L130" s="666"/>
      <c r="M130" s="666"/>
      <c r="N130" s="463"/>
      <c r="O130" s="399"/>
      <c r="P130" s="399"/>
      <c r="Q130" s="399"/>
      <c r="R130" s="399"/>
      <c r="S130" s="399"/>
      <c r="T130" s="399"/>
      <c r="U130" s="399"/>
      <c r="V130" s="399"/>
      <c r="W130" s="399"/>
      <c r="X130" s="399"/>
      <c r="Y130" s="399"/>
      <c r="Z130" s="399"/>
      <c r="AA130" s="399"/>
      <c r="AB130" s="399"/>
      <c r="AC130" s="399"/>
      <c r="AD130" s="399"/>
      <c r="AE130" s="399"/>
      <c r="AF130" s="399"/>
      <c r="AG130" s="399"/>
      <c r="AH130" s="399"/>
      <c r="AI130" s="399"/>
      <c r="AJ130" s="399"/>
      <c r="AK130" s="399"/>
      <c r="AL130" s="399"/>
      <c r="AM130" s="399"/>
      <c r="AN130" s="399"/>
      <c r="AO130" s="399"/>
      <c r="AP130" s="399"/>
      <c r="AQ130" s="399"/>
      <c r="AR130" s="399"/>
      <c r="AS130" s="399"/>
      <c r="AT130" s="399"/>
      <c r="AU130" s="399"/>
      <c r="AV130" s="399"/>
      <c r="AW130" s="399"/>
      <c r="AX130" s="399"/>
      <c r="AY130" s="399"/>
      <c r="AZ130" s="399"/>
    </row>
    <row r="131" spans="1:52" s="374" customFormat="1" ht="14.25" customHeight="1">
      <c r="A131" s="399"/>
      <c r="B131" s="465" t="s">
        <v>320</v>
      </c>
      <c r="C131" s="399"/>
      <c r="D131" s="460">
        <f>+_xlfn.XLOOKUP($B131,Inputs!$B:$B,Inputs!Q:Q)</f>
        <v>0</v>
      </c>
      <c r="E131" s="666"/>
      <c r="F131" s="666"/>
      <c r="G131" s="673"/>
      <c r="H131" s="666"/>
      <c r="I131" s="666"/>
      <c r="J131" s="666"/>
      <c r="K131" s="666"/>
      <c r="L131" s="666"/>
      <c r="M131" s="666"/>
      <c r="N131" s="463"/>
      <c r="O131" s="399"/>
      <c r="P131" s="399"/>
      <c r="Q131" s="399"/>
      <c r="R131" s="399"/>
      <c r="S131" s="399"/>
      <c r="T131" s="399"/>
      <c r="U131" s="399"/>
      <c r="V131" s="399"/>
      <c r="W131" s="399"/>
      <c r="X131" s="399"/>
      <c r="Y131" s="399"/>
      <c r="Z131" s="399"/>
      <c r="AA131" s="399"/>
      <c r="AB131" s="399"/>
      <c r="AC131" s="399"/>
      <c r="AD131" s="399"/>
      <c r="AE131" s="399"/>
      <c r="AF131" s="399"/>
      <c r="AG131" s="399"/>
      <c r="AH131" s="399"/>
      <c r="AI131" s="399"/>
      <c r="AJ131" s="399"/>
      <c r="AK131" s="399"/>
      <c r="AL131" s="399"/>
      <c r="AM131" s="399"/>
      <c r="AN131" s="399"/>
      <c r="AO131" s="399"/>
      <c r="AP131" s="399"/>
      <c r="AQ131" s="399"/>
      <c r="AR131" s="399"/>
      <c r="AS131" s="399"/>
      <c r="AT131" s="399"/>
      <c r="AU131" s="399"/>
      <c r="AV131" s="399"/>
      <c r="AW131" s="399"/>
      <c r="AX131" s="399"/>
      <c r="AY131" s="399"/>
      <c r="AZ131" s="399"/>
    </row>
    <row r="132" spans="1:52" s="374" customFormat="1" ht="14.25" customHeight="1">
      <c r="A132" s="399"/>
      <c r="B132" s="465" t="s">
        <v>321</v>
      </c>
      <c r="C132" s="399"/>
      <c r="D132" s="460">
        <f>+_xlfn.XLOOKUP($B132,Inputs!$B:$B,Inputs!Q:Q)</f>
        <v>108.9</v>
      </c>
      <c r="E132" s="666"/>
      <c r="F132" s="666"/>
      <c r="G132" s="673"/>
      <c r="H132" s="666"/>
      <c r="I132" s="666"/>
      <c r="J132" s="666"/>
      <c r="K132" s="666"/>
      <c r="L132" s="666"/>
      <c r="M132" s="666"/>
      <c r="N132" s="463"/>
      <c r="O132" s="399"/>
      <c r="P132" s="399"/>
      <c r="Q132" s="399"/>
      <c r="R132" s="399"/>
      <c r="S132" s="399"/>
      <c r="T132" s="399"/>
      <c r="U132" s="399"/>
      <c r="V132" s="399"/>
      <c r="W132" s="399"/>
      <c r="X132" s="399"/>
      <c r="Y132" s="399"/>
      <c r="Z132" s="399"/>
      <c r="AA132" s="399"/>
      <c r="AB132" s="399"/>
      <c r="AC132" s="399"/>
      <c r="AD132" s="399"/>
      <c r="AE132" s="399"/>
      <c r="AF132" s="399"/>
      <c r="AG132" s="399"/>
      <c r="AH132" s="399"/>
      <c r="AI132" s="399"/>
      <c r="AJ132" s="399"/>
      <c r="AK132" s="399"/>
      <c r="AL132" s="399"/>
      <c r="AM132" s="399"/>
      <c r="AN132" s="399"/>
      <c r="AO132" s="399"/>
      <c r="AP132" s="399"/>
      <c r="AQ132" s="399"/>
      <c r="AR132" s="399"/>
      <c r="AS132" s="399"/>
      <c r="AT132" s="399"/>
      <c r="AU132" s="399"/>
      <c r="AV132" s="399"/>
      <c r="AW132" s="399"/>
      <c r="AX132" s="399"/>
      <c r="AY132" s="399"/>
      <c r="AZ132" s="399"/>
    </row>
    <row r="133" spans="1:52" s="374" customFormat="1" ht="3.95" customHeight="1">
      <c r="A133" s="399"/>
      <c r="B133" s="466"/>
      <c r="C133" s="399"/>
      <c r="D133" s="660"/>
      <c r="E133" s="661"/>
      <c r="F133" s="661"/>
      <c r="G133" s="661"/>
      <c r="H133" s="661"/>
      <c r="I133" s="661"/>
      <c r="J133" s="661"/>
      <c r="K133" s="661"/>
      <c r="L133" s="661"/>
      <c r="M133" s="661"/>
      <c r="N133" s="662"/>
      <c r="O133" s="399"/>
      <c r="P133" s="399"/>
      <c r="Q133" s="399"/>
      <c r="R133" s="399"/>
      <c r="S133" s="399"/>
      <c r="T133" s="399"/>
      <c r="U133" s="399"/>
      <c r="V133" s="399"/>
      <c r="W133" s="399"/>
      <c r="X133" s="399"/>
      <c r="Y133" s="399"/>
      <c r="Z133" s="399"/>
      <c r="AA133" s="399"/>
      <c r="AB133" s="399"/>
      <c r="AC133" s="399"/>
      <c r="AD133" s="399"/>
      <c r="AE133" s="399"/>
      <c r="AF133" s="399"/>
      <c r="AG133" s="399"/>
      <c r="AH133" s="399"/>
      <c r="AI133" s="399"/>
      <c r="AJ133" s="399"/>
      <c r="AK133" s="399"/>
      <c r="AL133" s="399"/>
      <c r="AM133" s="399"/>
      <c r="AN133" s="399"/>
      <c r="AO133" s="399"/>
      <c r="AP133" s="399"/>
      <c r="AQ133" s="399"/>
      <c r="AR133" s="399"/>
      <c r="AS133" s="399"/>
      <c r="AT133" s="399"/>
      <c r="AU133" s="399"/>
      <c r="AV133" s="399"/>
      <c r="AW133" s="399"/>
      <c r="AX133" s="399"/>
      <c r="AY133" s="399"/>
      <c r="AZ133" s="399"/>
    </row>
    <row r="134" spans="1:52" ht="14.25" customHeight="1">
      <c r="B134" s="69" t="s">
        <v>115</v>
      </c>
      <c r="C134" s="70"/>
      <c r="D134" s="69"/>
      <c r="E134" s="70"/>
      <c r="F134" s="70"/>
      <c r="G134" s="70"/>
      <c r="H134" s="70"/>
      <c r="I134" s="70"/>
      <c r="J134" s="99"/>
      <c r="K134" s="100"/>
      <c r="L134" s="100"/>
      <c r="M134" s="100"/>
      <c r="N134" s="100"/>
      <c r="O134" s="100"/>
    </row>
    <row r="135" spans="1:52" ht="3.75" customHeight="1">
      <c r="B135" s="71"/>
      <c r="C135" s="71"/>
      <c r="D135" s="71"/>
      <c r="E135" s="71"/>
      <c r="F135" s="71"/>
      <c r="G135" s="71"/>
      <c r="H135" s="71"/>
      <c r="I135" s="71"/>
      <c r="J135" s="101"/>
      <c r="K135" s="101"/>
      <c r="L135" s="101"/>
      <c r="M135" s="101"/>
      <c r="N135" s="101"/>
      <c r="O135" s="101"/>
    </row>
    <row r="142" spans="1:52" ht="14.25" customHeight="1">
      <c r="B142" s="69" t="s">
        <v>165</v>
      </c>
      <c r="C142" s="70"/>
      <c r="D142" s="69"/>
      <c r="E142" s="70"/>
      <c r="F142" s="70"/>
      <c r="G142" s="70"/>
      <c r="H142" s="70"/>
      <c r="I142" s="70"/>
      <c r="J142" s="99"/>
      <c r="K142" s="100"/>
      <c r="L142" s="100"/>
      <c r="M142" s="100"/>
      <c r="N142" s="100"/>
      <c r="O142" s="100"/>
    </row>
    <row r="143" spans="1:52" ht="4.1500000000000004" customHeight="1">
      <c r="B143" s="722"/>
      <c r="C143" s="722"/>
      <c r="D143" s="722"/>
      <c r="E143" s="722"/>
      <c r="F143" s="722"/>
      <c r="G143" s="722"/>
      <c r="H143" s="722"/>
      <c r="I143" s="722"/>
      <c r="J143" s="722"/>
      <c r="K143" s="722"/>
      <c r="L143" s="722"/>
      <c r="M143" s="722"/>
      <c r="N143" s="722"/>
      <c r="O143" s="722"/>
    </row>
  </sheetData>
  <mergeCells count="10">
    <mergeCell ref="D21:F21"/>
    <mergeCell ref="J21:L21"/>
    <mergeCell ref="M21:O21"/>
    <mergeCell ref="D2:E2"/>
    <mergeCell ref="H3:I3"/>
    <mergeCell ref="J3:K3"/>
    <mergeCell ref="F3:G3"/>
    <mergeCell ref="N3:O3"/>
    <mergeCell ref="D3:E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8:K17 J6:K6">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9"/>
  </sheetPr>
  <dimension ref="B1:AD98"/>
  <sheetViews>
    <sheetView showGridLines="0" tabSelected="1" topLeftCell="A12" zoomScale="82" zoomScaleNormal="75" workbookViewId="0">
      <selection activeCell="D12" sqref="D12"/>
    </sheetView>
  </sheetViews>
  <sheetFormatPr defaultColWidth="7.75" defaultRowHeight="12.75" customHeight="1"/>
  <cols>
    <col min="1" max="1" width="2" style="44" customWidth="1"/>
    <col min="2" max="2" width="26.375" style="44" customWidth="1"/>
    <col min="3" max="3" width="21.125" style="43" customWidth="1"/>
    <col min="4" max="4" width="4.125" style="44" customWidth="1"/>
    <col min="5" max="5" width="44.5" style="44" customWidth="1"/>
    <col min="6" max="6" width="3.375" style="44" customWidth="1"/>
    <col min="7" max="12" width="11.25" style="44" customWidth="1"/>
    <col min="13" max="13" width="4.25" style="44" customWidth="1"/>
    <col min="14" max="21" width="11.125" style="44" customWidth="1"/>
    <col min="22" max="22" width="12.5" style="44" customWidth="1"/>
    <col min="23" max="23" width="9.875" style="44" customWidth="1"/>
    <col min="24" max="24" width="14" style="44" customWidth="1"/>
    <col min="25" max="25" width="11.375" style="44" customWidth="1"/>
    <col min="26" max="26" width="14.25" style="44" customWidth="1"/>
    <col min="27" max="27" width="8" style="44" customWidth="1"/>
    <col min="28" max="28" width="8.75" style="44" bestFit="1" customWidth="1"/>
    <col min="29" max="29" width="6.375" style="44" customWidth="1"/>
    <col min="30" max="30" width="7.25" style="44" customWidth="1"/>
    <col min="31" max="31" width="8.75" style="44" customWidth="1"/>
    <col min="32" max="32" width="8.5" style="44" customWidth="1"/>
    <col min="33" max="33" width="9.75" style="44" customWidth="1"/>
    <col min="34" max="34" width="8.875" style="44" customWidth="1"/>
    <col min="35" max="35" width="7.75" style="44" customWidth="1"/>
    <col min="36" max="36" width="7.125" style="44" customWidth="1"/>
    <col min="37" max="37" width="7.25" style="44" customWidth="1"/>
    <col min="38" max="38" width="8.125" style="44" customWidth="1"/>
    <col min="39" max="39" width="7.625" style="44" customWidth="1"/>
    <col min="40" max="16384" width="7.75" style="44"/>
  </cols>
  <sheetData>
    <row r="1" spans="2:30" customFormat="1" ht="14.1">
      <c r="Q1" s="6"/>
    </row>
    <row r="2" spans="2:30" s="41" customFormat="1" ht="20.100000000000001" customHeight="1">
      <c r="B2" s="40" t="s">
        <v>322</v>
      </c>
      <c r="Q2" s="42"/>
    </row>
    <row r="3" spans="2:30" customFormat="1" ht="14.1">
      <c r="Q3" s="6"/>
      <c r="Z3" s="44"/>
      <c r="AA3" s="44"/>
      <c r="AB3" s="44"/>
      <c r="AC3" s="44"/>
      <c r="AD3" s="44"/>
    </row>
    <row r="4" spans="2:30" ht="14.45" thickBot="1">
      <c r="B4" s="1" t="s">
        <v>323</v>
      </c>
      <c r="E4" s="1" t="s">
        <v>324</v>
      </c>
      <c r="F4" s="1"/>
      <c r="G4" s="1"/>
      <c r="H4" s="1"/>
      <c r="I4" s="1"/>
      <c r="J4" s="1"/>
      <c r="N4" s="1" t="s">
        <v>325</v>
      </c>
      <c r="O4" s="1"/>
      <c r="P4" s="1"/>
      <c r="Q4" s="1"/>
      <c r="R4" s="1"/>
      <c r="S4" s="1"/>
    </row>
    <row r="5" spans="2:30" ht="14.45" thickTop="1">
      <c r="B5" s="45"/>
      <c r="C5" s="46"/>
      <c r="E5" s="47"/>
      <c r="F5" s="47"/>
      <c r="G5" s="920" t="s">
        <v>326</v>
      </c>
      <c r="H5" s="920"/>
      <c r="I5" s="920"/>
      <c r="J5" s="920"/>
      <c r="K5" s="920"/>
      <c r="L5" s="920"/>
      <c r="N5" s="921"/>
      <c r="O5" s="921"/>
      <c r="P5" s="921"/>
      <c r="Q5" s="921"/>
      <c r="R5" s="921"/>
      <c r="S5" s="921"/>
      <c r="T5" s="921"/>
      <c r="U5" s="921"/>
    </row>
    <row r="6" spans="2:30" ht="14.45" thickBot="1">
      <c r="B6" s="1" t="s">
        <v>327</v>
      </c>
      <c r="C6" s="44"/>
      <c r="D6" s="44" t="s">
        <v>328</v>
      </c>
      <c r="G6" s="906"/>
      <c r="H6" s="906"/>
      <c r="I6" s="906"/>
      <c r="J6" s="906"/>
      <c r="K6" s="906"/>
      <c r="L6" s="906"/>
      <c r="N6" s="922"/>
      <c r="O6" s="922"/>
      <c r="P6" s="922"/>
      <c r="Q6" s="922"/>
      <c r="R6" s="922"/>
      <c r="S6" s="922"/>
      <c r="T6" s="922"/>
      <c r="U6" s="922"/>
    </row>
    <row r="7" spans="2:30" ht="14.1">
      <c r="B7" s="45" t="s">
        <v>329</v>
      </c>
      <c r="C7" s="48">
        <v>45727</v>
      </c>
      <c r="D7" s="44" t="s">
        <v>328</v>
      </c>
      <c r="E7" s="23"/>
      <c r="G7" s="906" t="s">
        <v>330</v>
      </c>
      <c r="H7" s="906"/>
      <c r="I7" s="906"/>
      <c r="J7" s="906"/>
      <c r="K7" s="906"/>
      <c r="L7" s="906"/>
      <c r="N7" s="922"/>
      <c r="O7" s="922"/>
      <c r="P7" s="922"/>
      <c r="Q7" s="922"/>
      <c r="R7" s="922"/>
      <c r="S7" s="922"/>
      <c r="T7" s="922"/>
      <c r="U7" s="922"/>
    </row>
    <row r="8" spans="2:30" ht="14.1">
      <c r="B8" s="25" t="s">
        <v>331</v>
      </c>
      <c r="C8" s="39"/>
      <c r="G8" s="906"/>
      <c r="H8" s="906"/>
      <c r="I8" s="906"/>
      <c r="J8" s="906"/>
      <c r="K8" s="906"/>
      <c r="L8" s="906"/>
      <c r="N8" s="922"/>
      <c r="O8" s="922"/>
      <c r="P8" s="922"/>
      <c r="Q8" s="922"/>
      <c r="R8" s="922"/>
      <c r="S8" s="922"/>
      <c r="T8" s="922"/>
      <c r="U8" s="922"/>
    </row>
    <row r="9" spans="2:30" ht="15" customHeight="1">
      <c r="B9" s="25" t="s">
        <v>332</v>
      </c>
      <c r="C9" s="26" t="s">
        <v>333</v>
      </c>
      <c r="E9" s="23"/>
      <c r="G9" s="906" t="s">
        <v>334</v>
      </c>
      <c r="H9" s="906"/>
      <c r="I9" s="906"/>
      <c r="J9" s="906"/>
      <c r="K9" s="906"/>
      <c r="L9" s="906"/>
      <c r="N9" s="922"/>
      <c r="O9" s="922"/>
      <c r="P9" s="922"/>
      <c r="Q9" s="922"/>
      <c r="R9" s="922"/>
      <c r="S9" s="922"/>
      <c r="T9" s="922"/>
      <c r="U9" s="922"/>
    </row>
    <row r="10" spans="2:30" ht="13.9" customHeight="1">
      <c r="B10" s="25" t="s">
        <v>335</v>
      </c>
      <c r="C10" s="26" t="s">
        <v>336</v>
      </c>
      <c r="G10" s="906"/>
      <c r="H10" s="906"/>
      <c r="I10" s="906"/>
      <c r="J10" s="906"/>
      <c r="K10" s="906"/>
      <c r="L10" s="906"/>
      <c r="N10" s="922"/>
      <c r="O10" s="922"/>
      <c r="P10" s="922"/>
      <c r="Q10" s="922"/>
      <c r="R10" s="922"/>
      <c r="S10" s="922"/>
      <c r="T10" s="922"/>
      <c r="U10" s="922"/>
    </row>
    <row r="11" spans="2:30" ht="15" customHeight="1">
      <c r="B11" s="23" t="s">
        <v>337</v>
      </c>
      <c r="C11" s="832"/>
      <c r="E11" s="23"/>
      <c r="G11" s="906" t="s">
        <v>338</v>
      </c>
      <c r="H11" s="906"/>
      <c r="I11" s="906"/>
      <c r="J11" s="906"/>
      <c r="K11" s="906"/>
      <c r="L11" s="906"/>
      <c r="N11" s="922"/>
      <c r="O11" s="922"/>
      <c r="P11" s="922"/>
      <c r="Q11" s="922"/>
      <c r="R11" s="922"/>
      <c r="S11" s="922"/>
      <c r="T11" s="922"/>
      <c r="U11" s="922"/>
    </row>
    <row r="12" spans="2:30" ht="13.9" customHeight="1">
      <c r="B12" s="25"/>
      <c r="G12" s="906"/>
      <c r="H12" s="906"/>
      <c r="I12" s="906"/>
      <c r="J12" s="906"/>
      <c r="K12" s="906"/>
      <c r="L12" s="906"/>
      <c r="N12" s="922"/>
      <c r="O12" s="922"/>
      <c r="P12" s="922"/>
      <c r="Q12" s="922"/>
      <c r="R12" s="922"/>
      <c r="S12" s="922"/>
      <c r="T12" s="922"/>
      <c r="U12" s="922"/>
    </row>
    <row r="13" spans="2:30" ht="14.1">
      <c r="B13" s="1" t="s">
        <v>339</v>
      </c>
      <c r="C13" s="44"/>
      <c r="E13" s="23"/>
      <c r="G13" s="906"/>
      <c r="H13" s="906"/>
      <c r="I13" s="906"/>
      <c r="J13" s="906"/>
      <c r="K13" s="906"/>
      <c r="L13" s="906"/>
      <c r="N13" s="922"/>
      <c r="O13" s="922"/>
      <c r="P13" s="922"/>
      <c r="Q13" s="922"/>
      <c r="R13" s="922"/>
      <c r="S13" s="922"/>
      <c r="T13" s="922"/>
      <c r="U13" s="922"/>
    </row>
    <row r="14" spans="2:30" ht="14.1">
      <c r="B14" s="47" t="s">
        <v>102</v>
      </c>
      <c r="C14" s="833">
        <v>22</v>
      </c>
      <c r="G14" s="906"/>
      <c r="H14" s="906"/>
      <c r="I14" s="906"/>
      <c r="J14" s="906"/>
      <c r="K14" s="906"/>
      <c r="L14" s="906"/>
      <c r="N14" s="922"/>
      <c r="O14" s="922"/>
      <c r="P14" s="922"/>
      <c r="Q14" s="922"/>
      <c r="R14" s="922"/>
      <c r="S14" s="922"/>
      <c r="T14" s="922"/>
      <c r="U14" s="922"/>
    </row>
    <row r="15" spans="2:30" ht="14.1">
      <c r="B15" s="25" t="s">
        <v>103</v>
      </c>
      <c r="C15" s="723">
        <v>0</v>
      </c>
    </row>
    <row r="16" spans="2:30" ht="14.1">
      <c r="B16" s="25" t="s">
        <v>104</v>
      </c>
      <c r="C16" s="723">
        <v>13</v>
      </c>
      <c r="E16" s="1" t="s">
        <v>340</v>
      </c>
      <c r="F16" s="1"/>
      <c r="G16" s="1"/>
      <c r="H16" s="1"/>
      <c r="I16" s="1"/>
      <c r="J16" s="1"/>
      <c r="N16" s="1" t="s">
        <v>341</v>
      </c>
      <c r="O16" s="1"/>
      <c r="P16" s="1"/>
      <c r="Q16" s="1"/>
      <c r="R16" s="1"/>
      <c r="S16" s="1"/>
    </row>
    <row r="17" spans="2:22" ht="14.45" thickTop="1">
      <c r="B17" s="25" t="s">
        <v>105</v>
      </c>
      <c r="C17" s="723">
        <v>50</v>
      </c>
      <c r="E17" s="47"/>
      <c r="F17" s="47"/>
      <c r="G17" s="920"/>
      <c r="H17" s="920"/>
      <c r="I17" s="920"/>
      <c r="J17" s="920"/>
      <c r="K17" s="920"/>
      <c r="L17" s="920"/>
      <c r="N17" s="47"/>
      <c r="O17" s="47"/>
      <c r="P17" s="47"/>
      <c r="Q17" s="47"/>
      <c r="R17" s="47"/>
      <c r="S17" s="47"/>
      <c r="T17" s="47"/>
      <c r="U17" s="47"/>
      <c r="V17" s="47"/>
    </row>
    <row r="18" spans="2:22" ht="14.1">
      <c r="B18" s="23" t="s">
        <v>106</v>
      </c>
      <c r="C18" s="834" t="s">
        <v>342</v>
      </c>
      <c r="G18" s="906"/>
      <c r="H18" s="906"/>
      <c r="I18" s="906"/>
      <c r="J18" s="906"/>
      <c r="K18" s="906"/>
      <c r="L18" s="906"/>
      <c r="O18" s="649"/>
      <c r="P18" s="649"/>
      <c r="Q18" s="649"/>
      <c r="R18" s="649"/>
      <c r="S18" s="649"/>
      <c r="T18" s="649"/>
      <c r="U18" s="649"/>
      <c r="V18" s="649"/>
    </row>
    <row r="19" spans="2:22" ht="14.1">
      <c r="B19" s="25" t="s">
        <v>107</v>
      </c>
      <c r="C19" s="831" t="s">
        <v>342</v>
      </c>
      <c r="E19" s="23"/>
      <c r="G19" s="906"/>
      <c r="H19" s="906"/>
      <c r="I19" s="906"/>
      <c r="J19" s="906"/>
      <c r="K19" s="906"/>
      <c r="L19" s="906"/>
      <c r="N19" s="23"/>
      <c r="P19" s="649"/>
      <c r="Q19" s="649"/>
      <c r="R19" s="649"/>
      <c r="S19" s="649"/>
      <c r="T19" s="649"/>
      <c r="U19" s="649"/>
      <c r="V19" s="649"/>
    </row>
    <row r="20" spans="2:22" ht="14.1">
      <c r="B20" s="25" t="s">
        <v>108</v>
      </c>
      <c r="C20" s="831" t="s">
        <v>342</v>
      </c>
      <c r="G20" s="906"/>
      <c r="H20" s="906"/>
      <c r="I20" s="906"/>
      <c r="J20" s="906"/>
      <c r="K20" s="906"/>
      <c r="L20" s="906"/>
      <c r="P20" s="649"/>
      <c r="Q20" s="649"/>
      <c r="R20" s="649"/>
      <c r="S20" s="649"/>
      <c r="T20" s="649"/>
      <c r="U20" s="649"/>
    </row>
    <row r="21" spans="2:22" ht="14.1">
      <c r="B21" s="25" t="s">
        <v>109</v>
      </c>
      <c r="C21" s="831" t="s">
        <v>342</v>
      </c>
      <c r="E21" s="23"/>
      <c r="G21" s="906"/>
      <c r="H21" s="906"/>
      <c r="I21" s="906"/>
      <c r="J21" s="906"/>
      <c r="K21" s="906"/>
      <c r="L21" s="906"/>
      <c r="N21" s="23"/>
      <c r="P21" s="906"/>
      <c r="Q21" s="906"/>
      <c r="R21" s="906"/>
      <c r="S21" s="906"/>
      <c r="T21" s="906"/>
      <c r="U21" s="906"/>
    </row>
    <row r="22" spans="2:22" ht="14.1">
      <c r="B22" s="23" t="s">
        <v>110</v>
      </c>
      <c r="C22" s="49">
        <v>39.9</v>
      </c>
      <c r="G22" s="906"/>
      <c r="H22" s="906"/>
      <c r="I22" s="906"/>
      <c r="J22" s="906"/>
      <c r="K22" s="906"/>
      <c r="L22" s="906"/>
      <c r="P22" s="906"/>
      <c r="Q22" s="906"/>
      <c r="R22" s="906"/>
      <c r="S22" s="906"/>
      <c r="T22" s="906"/>
      <c r="U22" s="906"/>
    </row>
    <row r="23" spans="2:22" ht="14.1">
      <c r="B23" s="23" t="s">
        <v>111</v>
      </c>
      <c r="C23" s="835" t="s">
        <v>343</v>
      </c>
      <c r="E23" s="23"/>
      <c r="G23" s="906"/>
      <c r="H23" s="906"/>
      <c r="I23" s="906"/>
      <c r="J23" s="906"/>
      <c r="K23" s="906"/>
      <c r="L23" s="906"/>
      <c r="N23" s="23"/>
      <c r="P23" s="906"/>
      <c r="Q23" s="906"/>
      <c r="R23" s="906"/>
      <c r="S23" s="906"/>
      <c r="T23" s="906"/>
      <c r="U23" s="906"/>
    </row>
    <row r="24" spans="2:22" ht="14.1">
      <c r="B24" s="25" t="s">
        <v>112</v>
      </c>
      <c r="C24" s="44">
        <v>-7.8</v>
      </c>
    </row>
    <row r="25" spans="2:22" ht="14.1">
      <c r="B25" s="25" t="s">
        <v>113</v>
      </c>
      <c r="C25" s="43">
        <v>8</v>
      </c>
    </row>
    <row r="26" spans="2:22" ht="14.1">
      <c r="B26" s="23" t="s">
        <v>114</v>
      </c>
      <c r="C26" s="746" t="s">
        <v>344</v>
      </c>
    </row>
    <row r="29" spans="2:22" ht="14.45" thickBot="1">
      <c r="B29" s="1" t="s">
        <v>345</v>
      </c>
    </row>
    <row r="30" spans="2:22" ht="14.45" customHeight="1">
      <c r="B30" s="923"/>
      <c r="C30" s="923"/>
    </row>
    <row r="31" spans="2:22" ht="12.6">
      <c r="B31" s="924"/>
      <c r="C31" s="924"/>
    </row>
    <row r="32" spans="2:22" ht="12.6">
      <c r="B32" s="924"/>
      <c r="C32" s="924"/>
    </row>
    <row r="33" spans="2:22" ht="15.6">
      <c r="B33" s="924"/>
      <c r="C33" s="924"/>
      <c r="E33" s="52" t="s">
        <v>346</v>
      </c>
      <c r="F33" s="52"/>
      <c r="G33" s="52"/>
      <c r="H33" s="52"/>
      <c r="I33" s="52"/>
      <c r="J33" s="52"/>
      <c r="K33" s="52"/>
      <c r="L33" s="52"/>
      <c r="M33" s="52"/>
      <c r="N33" s="52"/>
      <c r="O33" s="52"/>
      <c r="P33" s="52"/>
      <c r="Q33" s="52"/>
      <c r="R33" s="52"/>
      <c r="S33" s="52"/>
      <c r="T33" s="52"/>
      <c r="U33" s="52"/>
      <c r="V33" s="52"/>
    </row>
    <row r="34" spans="2:22" customFormat="1" ht="3.95" customHeight="1">
      <c r="B34" s="924"/>
      <c r="C34" s="924"/>
      <c r="D34" s="44"/>
      <c r="E34" s="53"/>
      <c r="F34" s="53"/>
      <c r="G34" s="53"/>
      <c r="H34" s="53"/>
      <c r="I34" s="53"/>
      <c r="J34" s="53"/>
      <c r="K34" s="53"/>
      <c r="L34" s="53"/>
      <c r="M34" s="53"/>
      <c r="N34" s="53"/>
      <c r="O34" s="53"/>
      <c r="P34" s="53"/>
      <c r="Q34" s="53"/>
      <c r="R34" s="53"/>
      <c r="S34" s="53"/>
      <c r="T34" s="53"/>
      <c r="U34" s="53"/>
      <c r="V34" s="53"/>
    </row>
    <row r="35" spans="2:22" ht="12.95">
      <c r="B35" s="924"/>
      <c r="C35" s="924"/>
      <c r="E35" s="54"/>
      <c r="F35" s="54"/>
      <c r="G35" s="55" t="s">
        <v>327</v>
      </c>
      <c r="H35" s="55" t="s">
        <v>347</v>
      </c>
      <c r="I35" s="55"/>
      <c r="J35" s="55"/>
      <c r="K35" s="55" t="s">
        <v>348</v>
      </c>
      <c r="L35" s="55"/>
      <c r="M35" s="55"/>
      <c r="N35" s="55"/>
      <c r="O35" s="55" t="s">
        <v>349</v>
      </c>
      <c r="P35" s="54"/>
      <c r="Q35" s="54"/>
      <c r="R35" s="54"/>
      <c r="S35" s="54"/>
      <c r="T35" s="54"/>
      <c r="U35" s="54"/>
      <c r="V35" s="54"/>
    </row>
    <row r="36" spans="2:22" ht="20.25" customHeight="1">
      <c r="B36" s="924"/>
      <c r="C36" s="924"/>
      <c r="E36" s="23" t="s">
        <v>350</v>
      </c>
      <c r="G36" s="925"/>
      <c r="H36" s="926"/>
      <c r="I36" s="926"/>
      <c r="J36" s="926"/>
      <c r="K36" s="926"/>
      <c r="L36" s="926"/>
      <c r="M36" s="926"/>
      <c r="N36" s="926"/>
      <c r="O36" s="925"/>
      <c r="P36" s="925"/>
      <c r="Q36" s="925"/>
      <c r="R36" s="925"/>
      <c r="S36" s="925"/>
      <c r="T36" s="925"/>
      <c r="U36" s="925"/>
      <c r="V36" s="925"/>
    </row>
    <row r="37" spans="2:22" ht="20.25" customHeight="1">
      <c r="B37" s="924"/>
      <c r="C37" s="924"/>
      <c r="G37" s="925"/>
      <c r="H37" s="926"/>
      <c r="I37" s="926"/>
      <c r="J37" s="926"/>
      <c r="K37" s="926"/>
      <c r="L37" s="926"/>
      <c r="M37" s="926"/>
      <c r="N37" s="926"/>
      <c r="O37" s="925"/>
      <c r="P37" s="925"/>
      <c r="Q37" s="925"/>
      <c r="R37" s="925"/>
      <c r="S37" s="925"/>
      <c r="T37" s="925"/>
      <c r="U37" s="925"/>
      <c r="V37" s="925"/>
    </row>
    <row r="38" spans="2:22" ht="22.5" customHeight="1">
      <c r="B38" s="924"/>
      <c r="C38" s="924"/>
      <c r="E38" s="23" t="s">
        <v>351</v>
      </c>
      <c r="G38" s="925"/>
      <c r="H38" s="926"/>
      <c r="I38" s="926"/>
      <c r="J38" s="926"/>
      <c r="K38" s="926"/>
      <c r="L38" s="926"/>
      <c r="M38" s="926"/>
      <c r="N38" s="926"/>
      <c r="O38" s="925"/>
      <c r="P38" s="925"/>
      <c r="Q38" s="925"/>
      <c r="R38" s="925"/>
      <c r="S38" s="925"/>
      <c r="T38" s="925"/>
      <c r="U38" s="925"/>
      <c r="V38" s="925"/>
    </row>
    <row r="39" spans="2:22" ht="19.5" customHeight="1">
      <c r="B39" s="924"/>
      <c r="C39" s="924"/>
      <c r="G39" s="925"/>
      <c r="H39" s="926"/>
      <c r="I39" s="926"/>
      <c r="J39" s="926"/>
      <c r="K39" s="926"/>
      <c r="L39" s="926"/>
      <c r="M39" s="926"/>
      <c r="N39" s="926"/>
      <c r="O39" s="925"/>
      <c r="P39" s="925"/>
      <c r="Q39" s="925"/>
      <c r="R39" s="925"/>
      <c r="S39" s="925"/>
      <c r="T39" s="925"/>
      <c r="U39" s="925"/>
      <c r="V39" s="925"/>
    </row>
    <row r="40" spans="2:22" ht="14.1">
      <c r="B40" s="924"/>
      <c r="C40" s="924"/>
      <c r="E40" s="23" t="s">
        <v>352</v>
      </c>
      <c r="G40" s="925"/>
      <c r="H40" s="926"/>
      <c r="I40" s="926"/>
      <c r="J40" s="926"/>
      <c r="K40" s="926"/>
      <c r="L40" s="926"/>
      <c r="M40" s="926"/>
      <c r="N40" s="926"/>
      <c r="O40" s="925"/>
      <c r="P40" s="925"/>
      <c r="Q40" s="925"/>
      <c r="R40" s="925"/>
      <c r="S40" s="925"/>
      <c r="T40" s="925"/>
      <c r="U40" s="925"/>
      <c r="V40" s="925"/>
    </row>
    <row r="41" spans="2:22" ht="12.6">
      <c r="B41" s="924"/>
      <c r="C41" s="924"/>
      <c r="G41" s="925"/>
      <c r="H41" s="926"/>
      <c r="I41" s="926"/>
      <c r="J41" s="926"/>
      <c r="K41" s="926"/>
      <c r="L41" s="926"/>
      <c r="M41" s="926"/>
      <c r="N41" s="926"/>
      <c r="O41" s="925"/>
      <c r="P41" s="925"/>
      <c r="Q41" s="925"/>
      <c r="R41" s="925"/>
      <c r="S41" s="925"/>
      <c r="T41" s="925"/>
      <c r="U41" s="925"/>
      <c r="V41" s="925"/>
    </row>
    <row r="42" spans="2:22" ht="14.1">
      <c r="B42" s="924"/>
      <c r="C42" s="924"/>
      <c r="E42" s="23" t="s">
        <v>353</v>
      </c>
      <c r="G42" s="925"/>
      <c r="H42" s="926"/>
      <c r="I42" s="926"/>
      <c r="J42" s="926"/>
      <c r="K42" s="926"/>
      <c r="L42" s="926"/>
      <c r="M42" s="926"/>
      <c r="N42" s="926"/>
      <c r="O42" s="925"/>
      <c r="P42" s="925"/>
      <c r="Q42" s="925"/>
      <c r="R42" s="925"/>
      <c r="S42" s="925"/>
      <c r="T42" s="925"/>
      <c r="U42" s="925"/>
      <c r="V42" s="925"/>
    </row>
    <row r="43" spans="2:22" ht="12.6">
      <c r="B43" s="924"/>
      <c r="C43" s="924"/>
      <c r="G43" s="925"/>
      <c r="H43" s="926"/>
      <c r="I43" s="926"/>
      <c r="J43" s="926"/>
      <c r="K43" s="926"/>
      <c r="L43" s="926"/>
      <c r="M43" s="926"/>
      <c r="N43" s="926"/>
      <c r="O43" s="925"/>
      <c r="P43" s="925"/>
      <c r="Q43" s="925"/>
      <c r="R43" s="925"/>
      <c r="S43" s="925"/>
      <c r="T43" s="925"/>
      <c r="U43" s="925"/>
      <c r="V43" s="925"/>
    </row>
    <row r="44" spans="2:22" ht="14.1">
      <c r="B44" s="924"/>
      <c r="C44" s="924"/>
      <c r="E44" s="23" t="s">
        <v>354</v>
      </c>
      <c r="G44" s="925"/>
      <c r="H44" s="926"/>
      <c r="I44" s="926"/>
      <c r="J44" s="926"/>
      <c r="K44" s="926"/>
      <c r="L44" s="926"/>
      <c r="M44" s="926"/>
      <c r="N44" s="926"/>
      <c r="O44" s="926"/>
      <c r="P44" s="926"/>
      <c r="Q44" s="926"/>
      <c r="R44" s="926"/>
      <c r="S44" s="926"/>
      <c r="T44" s="926"/>
      <c r="U44" s="926"/>
      <c r="V44" s="926"/>
    </row>
    <row r="45" spans="2:22" ht="12.6">
      <c r="B45" s="924"/>
      <c r="C45" s="924"/>
      <c r="G45" s="925"/>
      <c r="H45" s="926"/>
      <c r="I45" s="926"/>
      <c r="J45" s="926"/>
      <c r="K45" s="926"/>
      <c r="L45" s="926"/>
      <c r="M45" s="926"/>
      <c r="N45" s="926"/>
      <c r="O45" s="926"/>
      <c r="P45" s="926"/>
      <c r="Q45" s="926"/>
      <c r="R45" s="926"/>
      <c r="S45" s="926"/>
      <c r="T45" s="926"/>
      <c r="U45" s="926"/>
      <c r="V45" s="926"/>
    </row>
    <row r="46" spans="2:22" ht="15.6">
      <c r="E46" s="52" t="s">
        <v>355</v>
      </c>
      <c r="F46" s="52"/>
      <c r="G46" s="52"/>
      <c r="H46" s="52"/>
      <c r="I46" s="52"/>
      <c r="J46" s="52"/>
      <c r="K46" s="52"/>
      <c r="L46" s="52"/>
      <c r="M46" s="52"/>
      <c r="N46" s="52"/>
      <c r="O46" s="52"/>
      <c r="P46" s="52"/>
      <c r="Q46" s="52"/>
      <c r="R46" s="52"/>
      <c r="S46" s="52"/>
      <c r="T46" s="52"/>
      <c r="U46" s="52"/>
      <c r="V46" s="52"/>
    </row>
    <row r="47" spans="2:22" customFormat="1" ht="3.95" customHeight="1">
      <c r="B47" s="44"/>
      <c r="C47" s="43"/>
      <c r="D47" s="44"/>
      <c r="E47" s="53"/>
      <c r="F47" s="53"/>
      <c r="G47" s="53"/>
      <c r="H47" s="53"/>
      <c r="I47" s="53"/>
      <c r="J47" s="53"/>
      <c r="K47" s="53"/>
      <c r="L47" s="53"/>
      <c r="M47" s="53"/>
      <c r="N47" s="53"/>
      <c r="O47" s="53"/>
      <c r="P47" s="53"/>
      <c r="Q47" s="53"/>
      <c r="R47" s="53"/>
      <c r="S47" s="53"/>
      <c r="T47" s="53"/>
      <c r="U47" s="53"/>
      <c r="V47" s="53"/>
    </row>
    <row r="48" spans="2:22" ht="14.45" thickBot="1">
      <c r="B48" s="1" t="s">
        <v>356</v>
      </c>
      <c r="C48" s="44"/>
      <c r="E48" s="54"/>
      <c r="F48" s="54"/>
      <c r="G48" s="55" t="s">
        <v>327</v>
      </c>
      <c r="H48" s="55" t="s">
        <v>347</v>
      </c>
      <c r="I48" s="55"/>
      <c r="J48" s="55"/>
      <c r="K48" s="55" t="s">
        <v>348</v>
      </c>
      <c r="L48" s="55"/>
      <c r="M48" s="55"/>
      <c r="N48" s="55"/>
      <c r="O48" s="55" t="s">
        <v>349</v>
      </c>
      <c r="P48" s="54"/>
      <c r="Q48" s="54"/>
      <c r="R48" s="54"/>
      <c r="S48" s="54"/>
      <c r="T48" s="54"/>
      <c r="U48" s="54"/>
      <c r="V48" s="54"/>
    </row>
    <row r="49" spans="2:22" ht="169.5" customHeight="1">
      <c r="B49" s="45" t="s">
        <v>357</v>
      </c>
      <c r="C49" s="46"/>
      <c r="E49" s="836" t="s">
        <v>358</v>
      </c>
      <c r="G49" s="929"/>
      <c r="H49" s="931"/>
      <c r="I49" s="931"/>
      <c r="J49" s="931"/>
      <c r="K49" s="932" t="s">
        <v>359</v>
      </c>
      <c r="L49" s="932"/>
      <c r="M49" s="932"/>
      <c r="N49" s="932"/>
      <c r="O49" s="932" t="s">
        <v>360</v>
      </c>
      <c r="P49" s="932"/>
      <c r="Q49" s="932"/>
      <c r="R49" s="932"/>
      <c r="S49" s="932"/>
      <c r="T49" s="932"/>
      <c r="U49" s="932"/>
      <c r="V49" s="932"/>
    </row>
    <row r="50" spans="2:22" ht="26.45" customHeight="1">
      <c r="B50" s="25" t="s">
        <v>361</v>
      </c>
      <c r="C50" s="61"/>
      <c r="D50" s="44" t="s">
        <v>328</v>
      </c>
      <c r="G50" s="930"/>
      <c r="H50" s="926"/>
      <c r="I50" s="926"/>
      <c r="J50" s="926"/>
      <c r="K50" s="928"/>
      <c r="L50" s="928"/>
      <c r="M50" s="928"/>
      <c r="N50" s="928"/>
      <c r="O50" s="928"/>
      <c r="P50" s="928"/>
      <c r="Q50" s="928"/>
      <c r="R50" s="928"/>
      <c r="S50" s="928"/>
      <c r="T50" s="928"/>
      <c r="U50" s="928"/>
      <c r="V50" s="928"/>
    </row>
    <row r="51" spans="2:22" ht="22.5" customHeight="1">
      <c r="B51" s="25" t="s">
        <v>362</v>
      </c>
      <c r="C51" s="61"/>
      <c r="D51" s="44" t="s">
        <v>328</v>
      </c>
      <c r="E51" s="836" t="s">
        <v>363</v>
      </c>
      <c r="G51" s="927"/>
      <c r="H51" s="926"/>
      <c r="I51" s="926"/>
      <c r="J51" s="926"/>
      <c r="K51" s="928" t="s">
        <v>364</v>
      </c>
      <c r="L51" s="928"/>
      <c r="M51" s="928"/>
      <c r="N51" s="928"/>
      <c r="O51" s="928" t="s">
        <v>365</v>
      </c>
      <c r="P51" s="928"/>
      <c r="Q51" s="928"/>
      <c r="R51" s="928"/>
      <c r="S51" s="928"/>
      <c r="T51" s="928"/>
      <c r="U51" s="928"/>
      <c r="V51" s="928"/>
    </row>
    <row r="52" spans="2:22" ht="53.25" customHeight="1">
      <c r="G52" s="927"/>
      <c r="H52" s="926"/>
      <c r="I52" s="926"/>
      <c r="J52" s="926"/>
      <c r="K52" s="928"/>
      <c r="L52" s="928"/>
      <c r="M52" s="928"/>
      <c r="N52" s="928"/>
      <c r="O52" s="928"/>
      <c r="P52" s="928"/>
      <c r="Q52" s="928"/>
      <c r="R52" s="928"/>
      <c r="S52" s="928"/>
      <c r="T52" s="928"/>
      <c r="U52" s="928"/>
      <c r="V52" s="928"/>
    </row>
    <row r="53" spans="2:22" ht="14.1">
      <c r="E53" s="836" t="s">
        <v>366</v>
      </c>
      <c r="G53" s="927"/>
      <c r="H53" s="926"/>
      <c r="I53" s="926"/>
      <c r="J53" s="926"/>
      <c r="K53" s="926"/>
      <c r="L53" s="926"/>
      <c r="M53" s="926"/>
      <c r="N53" s="926"/>
      <c r="O53" s="928" t="s">
        <v>367</v>
      </c>
      <c r="P53" s="928"/>
      <c r="Q53" s="928"/>
      <c r="R53" s="928"/>
      <c r="S53" s="928"/>
      <c r="T53" s="928"/>
      <c r="U53" s="928"/>
      <c r="V53" s="928"/>
    </row>
    <row r="54" spans="2:22" ht="12.95">
      <c r="G54" s="927"/>
      <c r="H54" s="926"/>
      <c r="I54" s="926"/>
      <c r="J54" s="926"/>
      <c r="K54" s="926"/>
      <c r="L54" s="926"/>
      <c r="M54" s="926"/>
      <c r="N54" s="926"/>
      <c r="O54" s="928"/>
      <c r="P54" s="928"/>
      <c r="Q54" s="928"/>
      <c r="R54" s="928"/>
      <c r="S54" s="928"/>
      <c r="T54" s="928"/>
      <c r="U54" s="928"/>
      <c r="V54" s="928"/>
    </row>
    <row r="55" spans="2:22" ht="24.6" customHeight="1">
      <c r="E55" s="836" t="s">
        <v>368</v>
      </c>
      <c r="G55" s="934"/>
      <c r="H55" s="926"/>
      <c r="I55" s="926"/>
      <c r="J55" s="926"/>
      <c r="K55" s="935"/>
      <c r="L55" s="935"/>
      <c r="M55" s="935"/>
      <c r="N55" s="935"/>
      <c r="O55" s="928" t="s">
        <v>369</v>
      </c>
      <c r="P55" s="928"/>
      <c r="Q55" s="928"/>
      <c r="R55" s="928"/>
      <c r="S55" s="928"/>
      <c r="T55" s="928"/>
      <c r="U55" s="928"/>
      <c r="V55" s="928"/>
    </row>
    <row r="56" spans="2:22" ht="23.1" customHeight="1">
      <c r="G56" s="934"/>
      <c r="H56" s="926"/>
      <c r="I56" s="926"/>
      <c r="J56" s="926"/>
      <c r="K56" s="935"/>
      <c r="L56" s="935"/>
      <c r="M56" s="935"/>
      <c r="N56" s="935"/>
      <c r="O56" s="928"/>
      <c r="P56" s="928"/>
      <c r="Q56" s="928"/>
      <c r="R56" s="928"/>
      <c r="S56" s="928"/>
      <c r="T56" s="928"/>
      <c r="U56" s="928"/>
      <c r="V56" s="928"/>
    </row>
    <row r="57" spans="2:22" ht="32.25" customHeight="1">
      <c r="E57" s="836" t="s">
        <v>370</v>
      </c>
      <c r="G57" s="936"/>
      <c r="H57" s="926"/>
      <c r="I57" s="926"/>
      <c r="J57" s="926"/>
      <c r="K57" s="928" t="s">
        <v>371</v>
      </c>
      <c r="L57" s="928"/>
      <c r="M57" s="928"/>
      <c r="N57" s="928"/>
      <c r="O57" s="926"/>
      <c r="P57" s="926"/>
      <c r="Q57" s="926"/>
      <c r="R57" s="926"/>
      <c r="S57" s="926"/>
      <c r="T57" s="926"/>
      <c r="U57" s="926"/>
      <c r="V57" s="926"/>
    </row>
    <row r="58" spans="2:22" ht="12.95">
      <c r="G58" s="936"/>
      <c r="H58" s="926"/>
      <c r="I58" s="926"/>
      <c r="J58" s="926"/>
      <c r="K58" s="928"/>
      <c r="L58" s="928"/>
      <c r="M58" s="928"/>
      <c r="N58" s="928"/>
      <c r="O58" s="926"/>
      <c r="P58" s="926"/>
      <c r="Q58" s="926"/>
      <c r="R58" s="926"/>
      <c r="S58" s="926"/>
      <c r="T58" s="926"/>
      <c r="U58" s="926"/>
      <c r="V58" s="926"/>
    </row>
    <row r="59" spans="2:22" ht="20.25" customHeight="1">
      <c r="E59" s="836" t="s">
        <v>372</v>
      </c>
      <c r="G59" s="925" t="s">
        <v>344</v>
      </c>
      <c r="H59" s="926"/>
      <c r="I59" s="926"/>
      <c r="J59" s="926"/>
      <c r="K59" s="926"/>
      <c r="L59" s="926"/>
      <c r="M59" s="926"/>
      <c r="N59" s="926"/>
      <c r="O59" s="926"/>
      <c r="P59" s="926"/>
      <c r="Q59" s="926"/>
      <c r="R59" s="926"/>
      <c r="S59" s="926"/>
      <c r="T59" s="926"/>
      <c r="U59" s="926"/>
      <c r="V59" s="926"/>
    </row>
    <row r="60" spans="2:22" ht="20.25" customHeight="1">
      <c r="G60" s="925"/>
      <c r="H60" s="926"/>
      <c r="I60" s="926"/>
      <c r="J60" s="926"/>
      <c r="K60" s="926"/>
      <c r="L60" s="926"/>
      <c r="M60" s="926"/>
      <c r="N60" s="926"/>
      <c r="O60" s="926"/>
      <c r="P60" s="926"/>
      <c r="Q60" s="926"/>
      <c r="R60" s="926"/>
      <c r="S60" s="926"/>
      <c r="T60" s="926"/>
      <c r="U60" s="926"/>
      <c r="V60" s="926"/>
    </row>
    <row r="61" spans="2:22" ht="15" customHeight="1">
      <c r="E61" s="836" t="s">
        <v>373</v>
      </c>
      <c r="G61" s="933"/>
      <c r="H61" s="926"/>
      <c r="I61" s="926"/>
      <c r="J61" s="926"/>
      <c r="K61" s="926"/>
      <c r="L61" s="926"/>
      <c r="M61" s="926"/>
      <c r="N61" s="926"/>
      <c r="O61" s="925"/>
      <c r="P61" s="925"/>
      <c r="Q61" s="925"/>
      <c r="R61" s="925"/>
      <c r="S61" s="925"/>
      <c r="T61" s="925"/>
      <c r="U61" s="925"/>
      <c r="V61" s="925"/>
    </row>
    <row r="62" spans="2:22" ht="12.95">
      <c r="G62" s="933"/>
      <c r="H62" s="926"/>
      <c r="I62" s="926"/>
      <c r="J62" s="926"/>
      <c r="K62" s="926"/>
      <c r="L62" s="926"/>
      <c r="M62" s="926"/>
      <c r="N62" s="926"/>
      <c r="O62" s="925"/>
      <c r="P62" s="925"/>
      <c r="Q62" s="925"/>
      <c r="R62" s="925"/>
      <c r="S62" s="925"/>
      <c r="T62" s="925"/>
      <c r="U62" s="925"/>
      <c r="V62" s="925"/>
    </row>
    <row r="63" spans="2:22" ht="27.75" customHeight="1">
      <c r="E63" s="836" t="s">
        <v>374</v>
      </c>
      <c r="G63" s="930"/>
      <c r="H63" s="926"/>
      <c r="I63" s="926"/>
      <c r="J63" s="926"/>
      <c r="K63" s="926"/>
      <c r="L63" s="926"/>
      <c r="M63" s="926"/>
      <c r="N63" s="926"/>
      <c r="O63" s="928" t="s">
        <v>375</v>
      </c>
      <c r="P63" s="928"/>
      <c r="Q63" s="928"/>
      <c r="R63" s="928"/>
      <c r="S63" s="928"/>
      <c r="T63" s="928"/>
      <c r="U63" s="928"/>
      <c r="V63" s="928"/>
    </row>
    <row r="64" spans="2:22" ht="27.75" customHeight="1">
      <c r="G64" s="930"/>
      <c r="H64" s="926"/>
      <c r="I64" s="926"/>
      <c r="J64" s="926"/>
      <c r="K64" s="926"/>
      <c r="L64" s="926"/>
      <c r="M64" s="926"/>
      <c r="N64" s="926"/>
      <c r="O64" s="928"/>
      <c r="P64" s="928"/>
      <c r="Q64" s="928"/>
      <c r="R64" s="928"/>
      <c r="S64" s="928"/>
      <c r="T64" s="928"/>
      <c r="U64" s="928"/>
      <c r="V64" s="928"/>
    </row>
    <row r="65" spans="2:22" ht="24" customHeight="1">
      <c r="E65" s="836" t="s">
        <v>376</v>
      </c>
      <c r="G65" s="927"/>
      <c r="H65" s="926"/>
      <c r="I65" s="926"/>
      <c r="J65" s="926"/>
      <c r="K65" s="926"/>
      <c r="L65" s="926"/>
      <c r="M65" s="926"/>
      <c r="N65" s="926"/>
      <c r="O65" s="928" t="s">
        <v>377</v>
      </c>
      <c r="P65" s="928"/>
      <c r="Q65" s="928"/>
      <c r="R65" s="928"/>
      <c r="S65" s="928"/>
      <c r="T65" s="928"/>
      <c r="U65" s="928"/>
      <c r="V65" s="928"/>
    </row>
    <row r="66" spans="2:22" ht="32.25" customHeight="1">
      <c r="G66" s="927"/>
      <c r="H66" s="926"/>
      <c r="I66" s="926"/>
      <c r="J66" s="926"/>
      <c r="K66" s="926"/>
      <c r="L66" s="926"/>
      <c r="M66" s="926"/>
      <c r="N66" s="926"/>
      <c r="O66" s="928"/>
      <c r="P66" s="928"/>
      <c r="Q66" s="928"/>
      <c r="R66" s="928"/>
      <c r="S66" s="928"/>
      <c r="T66" s="928"/>
      <c r="U66" s="928"/>
      <c r="V66" s="928"/>
    </row>
    <row r="67" spans="2:22" ht="14.1">
      <c r="E67" s="836" t="s">
        <v>378</v>
      </c>
      <c r="G67" s="934"/>
      <c r="H67" s="926"/>
      <c r="I67" s="926"/>
      <c r="J67" s="926"/>
      <c r="K67" s="926"/>
      <c r="L67" s="926"/>
      <c r="M67" s="926"/>
      <c r="N67" s="926"/>
      <c r="O67" s="928" t="s">
        <v>379</v>
      </c>
      <c r="P67" s="928"/>
      <c r="Q67" s="928"/>
      <c r="R67" s="928"/>
      <c r="S67" s="928"/>
      <c r="T67" s="928"/>
      <c r="U67" s="928"/>
      <c r="V67" s="928"/>
    </row>
    <row r="68" spans="2:22" ht="14.1">
      <c r="E68" s="836"/>
      <c r="G68" s="934"/>
      <c r="H68" s="926"/>
      <c r="I68" s="926"/>
      <c r="J68" s="926"/>
      <c r="K68" s="926"/>
      <c r="L68" s="926"/>
      <c r="M68" s="926"/>
      <c r="N68" s="926"/>
      <c r="O68" s="928"/>
      <c r="P68" s="928"/>
      <c r="Q68" s="928"/>
      <c r="R68" s="928"/>
      <c r="S68" s="928"/>
      <c r="T68" s="928"/>
      <c r="U68" s="928"/>
      <c r="V68" s="928"/>
    </row>
    <row r="69" spans="2:22" ht="33" customHeight="1">
      <c r="E69" s="836" t="s">
        <v>380</v>
      </c>
      <c r="G69" s="936"/>
      <c r="H69" s="926"/>
      <c r="I69" s="926"/>
      <c r="J69" s="926"/>
      <c r="K69" s="926"/>
      <c r="L69" s="926"/>
      <c r="M69" s="926"/>
      <c r="N69" s="926"/>
      <c r="O69" s="928" t="s">
        <v>381</v>
      </c>
      <c r="P69" s="928"/>
      <c r="Q69" s="928"/>
      <c r="R69" s="928"/>
      <c r="S69" s="928"/>
      <c r="T69" s="928"/>
      <c r="U69" s="928"/>
      <c r="V69" s="928"/>
    </row>
    <row r="70" spans="2:22" ht="12.95">
      <c r="G70" s="936"/>
      <c r="H70" s="926"/>
      <c r="I70" s="926"/>
      <c r="J70" s="926"/>
      <c r="K70" s="926"/>
      <c r="L70" s="926"/>
      <c r="M70" s="926"/>
      <c r="N70" s="926"/>
      <c r="O70" s="928"/>
      <c r="P70" s="928"/>
      <c r="Q70" s="928"/>
      <c r="R70" s="928"/>
      <c r="S70" s="928"/>
      <c r="T70" s="928"/>
      <c r="U70" s="928"/>
      <c r="V70" s="928"/>
    </row>
    <row r="71" spans="2:22" ht="15.6">
      <c r="E71" s="52" t="s">
        <v>382</v>
      </c>
      <c r="F71" s="52"/>
      <c r="G71" s="52"/>
      <c r="H71" s="52"/>
      <c r="I71" s="52"/>
      <c r="J71" s="52"/>
      <c r="K71" s="52"/>
      <c r="L71" s="52"/>
      <c r="M71" s="52"/>
      <c r="N71" s="52"/>
      <c r="O71" s="52"/>
      <c r="P71" s="52"/>
      <c r="Q71" s="52"/>
      <c r="R71" s="52"/>
      <c r="S71" s="52"/>
      <c r="T71" s="52"/>
      <c r="U71" s="52"/>
      <c r="V71" s="52"/>
    </row>
    <row r="72" spans="2:22" customFormat="1" ht="3.95" customHeight="1">
      <c r="B72" s="44"/>
      <c r="C72" s="43"/>
      <c r="D72" s="44"/>
      <c r="E72" s="53"/>
      <c r="F72" s="53"/>
      <c r="G72" s="53"/>
      <c r="H72" s="53"/>
      <c r="I72" s="53"/>
      <c r="J72" s="53"/>
      <c r="K72" s="53"/>
      <c r="L72" s="53"/>
      <c r="M72" s="53"/>
      <c r="N72" s="53"/>
      <c r="O72" s="53"/>
      <c r="P72" s="53"/>
      <c r="Q72" s="53"/>
      <c r="R72" s="53"/>
      <c r="S72" s="53"/>
      <c r="T72" s="53"/>
      <c r="U72" s="53"/>
      <c r="V72" s="53"/>
    </row>
    <row r="73" spans="2:22" ht="13.5" thickBot="1">
      <c r="E73" s="54"/>
      <c r="F73" s="54"/>
      <c r="G73" s="55" t="s">
        <v>327</v>
      </c>
      <c r="H73" s="55" t="s">
        <v>347</v>
      </c>
      <c r="I73" s="55"/>
      <c r="J73" s="55"/>
      <c r="K73" s="55" t="s">
        <v>348</v>
      </c>
      <c r="L73" s="55"/>
      <c r="M73" s="55"/>
      <c r="N73" s="55"/>
      <c r="O73" s="55" t="s">
        <v>349</v>
      </c>
      <c r="P73" s="54"/>
      <c r="Q73" s="54"/>
      <c r="R73" s="54"/>
      <c r="S73" s="54"/>
      <c r="T73" s="54"/>
      <c r="U73" s="54"/>
      <c r="V73" s="54"/>
    </row>
    <row r="74" spans="2:22" ht="25.5" customHeight="1">
      <c r="E74" s="23" t="s">
        <v>383</v>
      </c>
      <c r="G74" s="929"/>
      <c r="H74" s="931"/>
      <c r="I74" s="931"/>
      <c r="J74" s="931"/>
      <c r="K74" s="931"/>
      <c r="L74" s="931"/>
      <c r="M74" s="931"/>
      <c r="N74" s="931"/>
      <c r="O74" s="938" t="s">
        <v>384</v>
      </c>
      <c r="P74" s="938"/>
      <c r="Q74" s="938"/>
      <c r="R74" s="938"/>
      <c r="S74" s="938"/>
      <c r="T74" s="938"/>
      <c r="U74" s="938"/>
      <c r="V74" s="938"/>
    </row>
    <row r="75" spans="2:22" ht="25.5" customHeight="1">
      <c r="G75" s="930"/>
      <c r="H75" s="926"/>
      <c r="I75" s="926"/>
      <c r="J75" s="926"/>
      <c r="K75" s="926"/>
      <c r="L75" s="926"/>
      <c r="M75" s="926"/>
      <c r="N75" s="926"/>
      <c r="O75" s="939"/>
      <c r="P75" s="939"/>
      <c r="Q75" s="939"/>
      <c r="R75" s="939"/>
      <c r="S75" s="939"/>
      <c r="T75" s="939"/>
      <c r="U75" s="939"/>
      <c r="V75" s="939"/>
    </row>
    <row r="76" spans="2:22" ht="14.1" customHeight="1">
      <c r="E76" s="23" t="s">
        <v>385</v>
      </c>
      <c r="G76" s="936"/>
      <c r="H76" s="926"/>
      <c r="I76" s="926"/>
      <c r="J76" s="926"/>
      <c r="K76" s="926"/>
      <c r="L76" s="926"/>
      <c r="M76" s="926"/>
      <c r="N76" s="926"/>
      <c r="O76" s="937" t="s">
        <v>386</v>
      </c>
      <c r="P76" s="937"/>
      <c r="Q76" s="937"/>
      <c r="R76" s="937"/>
      <c r="S76" s="937"/>
      <c r="T76" s="937"/>
      <c r="U76" s="937"/>
      <c r="V76" s="937"/>
    </row>
    <row r="77" spans="2:22" ht="12.4" customHeight="1">
      <c r="G77" s="936"/>
      <c r="H77" s="926"/>
      <c r="I77" s="926"/>
      <c r="J77" s="926"/>
      <c r="K77" s="926"/>
      <c r="L77" s="926"/>
      <c r="M77" s="926"/>
      <c r="N77" s="926"/>
      <c r="O77" s="937"/>
      <c r="P77" s="937"/>
      <c r="Q77" s="937"/>
      <c r="R77" s="937"/>
      <c r="S77" s="937"/>
      <c r="T77" s="937"/>
      <c r="U77" s="937"/>
      <c r="V77" s="937"/>
    </row>
    <row r="78" spans="2:22" ht="14.1" customHeight="1">
      <c r="E78" s="23" t="s">
        <v>387</v>
      </c>
      <c r="G78" s="927"/>
      <c r="H78" s="926"/>
      <c r="I78" s="926"/>
      <c r="J78" s="926"/>
      <c r="K78" s="926"/>
      <c r="L78" s="926"/>
      <c r="M78" s="926"/>
      <c r="N78" s="926"/>
      <c r="O78" s="937" t="s">
        <v>388</v>
      </c>
      <c r="P78" s="937"/>
      <c r="Q78" s="937"/>
      <c r="R78" s="937"/>
      <c r="S78" s="937"/>
      <c r="T78" s="937"/>
      <c r="U78" s="937"/>
      <c r="V78" s="937"/>
    </row>
    <row r="79" spans="2:22" ht="12.4" customHeight="1">
      <c r="G79" s="927"/>
      <c r="H79" s="926"/>
      <c r="I79" s="926"/>
      <c r="J79" s="926"/>
      <c r="K79" s="926"/>
      <c r="L79" s="926"/>
      <c r="M79" s="926"/>
      <c r="N79" s="926"/>
      <c r="O79" s="937"/>
      <c r="P79" s="937"/>
      <c r="Q79" s="937"/>
      <c r="R79" s="937"/>
      <c r="S79" s="937"/>
      <c r="T79" s="937"/>
      <c r="U79" s="937"/>
      <c r="V79" s="937"/>
    </row>
    <row r="80" spans="2:22" ht="14.1" customHeight="1">
      <c r="E80" s="23" t="s">
        <v>389</v>
      </c>
      <c r="G80" s="930"/>
      <c r="H80" s="926"/>
      <c r="I80" s="926"/>
      <c r="J80" s="926"/>
      <c r="K80" s="926"/>
      <c r="L80" s="926"/>
      <c r="M80" s="926"/>
      <c r="N80" s="926"/>
      <c r="O80" s="937" t="s">
        <v>390</v>
      </c>
      <c r="P80" s="937"/>
      <c r="Q80" s="937"/>
      <c r="R80" s="937"/>
      <c r="S80" s="937"/>
      <c r="T80" s="937"/>
      <c r="U80" s="937"/>
      <c r="V80" s="937"/>
    </row>
    <row r="81" spans="5:24" ht="12.4" customHeight="1">
      <c r="G81" s="930"/>
      <c r="H81" s="926"/>
      <c r="I81" s="926"/>
      <c r="J81" s="926"/>
      <c r="K81" s="926"/>
      <c r="L81" s="926"/>
      <c r="M81" s="926"/>
      <c r="N81" s="926"/>
      <c r="O81" s="937"/>
      <c r="P81" s="937"/>
      <c r="Q81" s="937"/>
      <c r="R81" s="937"/>
      <c r="S81" s="937"/>
      <c r="T81" s="937"/>
      <c r="U81" s="937"/>
      <c r="V81" s="937"/>
    </row>
    <row r="82" spans="5:24" ht="14.1">
      <c r="E82" s="23" t="s">
        <v>391</v>
      </c>
      <c r="G82" s="940"/>
      <c r="H82" s="926"/>
      <c r="I82" s="926"/>
      <c r="J82" s="926"/>
      <c r="K82" s="926"/>
      <c r="L82" s="926"/>
      <c r="M82" s="926"/>
      <c r="N82" s="926"/>
      <c r="O82" s="937" t="s">
        <v>392</v>
      </c>
      <c r="P82" s="937"/>
      <c r="Q82" s="937"/>
      <c r="R82" s="937"/>
      <c r="S82" s="937"/>
      <c r="T82" s="937"/>
      <c r="U82" s="937"/>
      <c r="V82" s="937"/>
    </row>
    <row r="83" spans="5:24" ht="12.95">
      <c r="G83" s="940"/>
      <c r="H83" s="926"/>
      <c r="I83" s="926"/>
      <c r="J83" s="926"/>
      <c r="K83" s="926"/>
      <c r="L83" s="926"/>
      <c r="M83" s="926"/>
      <c r="N83" s="926"/>
      <c r="O83" s="937"/>
      <c r="P83" s="937"/>
      <c r="Q83" s="937"/>
      <c r="R83" s="937"/>
      <c r="S83" s="937"/>
      <c r="T83" s="937"/>
      <c r="U83" s="937"/>
      <c r="V83" s="937"/>
    </row>
    <row r="84" spans="5:24" ht="14.1" customHeight="1">
      <c r="E84" s="23" t="s">
        <v>393</v>
      </c>
      <c r="G84" s="930"/>
      <c r="H84" s="926"/>
      <c r="I84" s="926"/>
      <c r="J84" s="926"/>
      <c r="K84" s="926"/>
      <c r="L84" s="926"/>
      <c r="M84" s="926"/>
      <c r="N84" s="926"/>
      <c r="O84" s="928" t="s">
        <v>394</v>
      </c>
      <c r="P84" s="928"/>
      <c r="Q84" s="928"/>
      <c r="R84" s="928"/>
      <c r="S84" s="928"/>
      <c r="T84" s="928"/>
      <c r="U84" s="928"/>
      <c r="V84" s="928"/>
    </row>
    <row r="85" spans="5:24" ht="12.4" customHeight="1">
      <c r="G85" s="930"/>
      <c r="H85" s="926"/>
      <c r="I85" s="926"/>
      <c r="J85" s="926"/>
      <c r="K85" s="926"/>
      <c r="L85" s="926"/>
      <c r="M85" s="926"/>
      <c r="N85" s="926"/>
      <c r="O85" s="928"/>
      <c r="P85" s="928"/>
      <c r="Q85" s="928"/>
      <c r="R85" s="928"/>
      <c r="S85" s="928"/>
      <c r="T85" s="928"/>
      <c r="U85" s="928"/>
      <c r="V85" s="928"/>
    </row>
    <row r="86" spans="5:24" ht="14.1" customHeight="1">
      <c r="E86" s="23" t="s">
        <v>395</v>
      </c>
      <c r="G86" s="927"/>
      <c r="H86" s="926"/>
      <c r="I86" s="926"/>
      <c r="J86" s="926"/>
      <c r="K86" s="926"/>
      <c r="L86" s="926"/>
      <c r="M86" s="926"/>
      <c r="N86" s="926"/>
      <c r="O86" s="937" t="s">
        <v>396</v>
      </c>
      <c r="P86" s="937"/>
      <c r="Q86" s="937"/>
      <c r="R86" s="937"/>
      <c r="S86" s="937"/>
      <c r="T86" s="937"/>
      <c r="U86" s="937"/>
      <c r="V86" s="937"/>
    </row>
    <row r="87" spans="5:24" ht="12.4" customHeight="1">
      <c r="G87" s="927"/>
      <c r="H87" s="926"/>
      <c r="I87" s="926"/>
      <c r="J87" s="926"/>
      <c r="K87" s="926"/>
      <c r="L87" s="926"/>
      <c r="M87" s="926"/>
      <c r="N87" s="926"/>
      <c r="O87" s="937"/>
      <c r="P87" s="937"/>
      <c r="Q87" s="937"/>
      <c r="R87" s="937"/>
      <c r="S87" s="937"/>
      <c r="T87" s="937"/>
      <c r="U87" s="937"/>
      <c r="V87" s="937"/>
    </row>
    <row r="88" spans="5:24" ht="13.9" customHeight="1">
      <c r="E88" s="23" t="s">
        <v>397</v>
      </c>
      <c r="G88" s="936"/>
      <c r="H88" s="926"/>
      <c r="I88" s="926"/>
      <c r="J88" s="926"/>
      <c r="K88" s="926"/>
      <c r="L88" s="926"/>
      <c r="M88" s="926"/>
      <c r="N88" s="926"/>
      <c r="O88" s="941" t="s">
        <v>398</v>
      </c>
      <c r="P88" s="941"/>
      <c r="Q88" s="941"/>
      <c r="R88" s="941"/>
      <c r="S88" s="941"/>
      <c r="T88" s="941"/>
      <c r="U88" s="941"/>
      <c r="V88" s="941"/>
      <c r="X88"/>
    </row>
    <row r="89" spans="5:24" ht="13.15" customHeight="1">
      <c r="E89" s="23"/>
      <c r="G89" s="936"/>
      <c r="H89" s="926"/>
      <c r="I89" s="926"/>
      <c r="J89" s="926"/>
      <c r="K89" s="926"/>
      <c r="L89" s="926"/>
      <c r="M89" s="926"/>
      <c r="N89" s="926"/>
      <c r="O89" s="941"/>
      <c r="P89" s="941"/>
      <c r="Q89" s="941"/>
      <c r="R89" s="941"/>
      <c r="S89" s="941"/>
      <c r="T89" s="941"/>
      <c r="U89" s="941"/>
      <c r="V89" s="941"/>
      <c r="X89"/>
    </row>
    <row r="90" spans="5:24" ht="14.1" customHeight="1">
      <c r="E90" s="23" t="s">
        <v>399</v>
      </c>
      <c r="G90" s="927"/>
      <c r="H90" s="926"/>
      <c r="I90" s="926"/>
      <c r="J90" s="926"/>
      <c r="K90" s="926"/>
      <c r="L90" s="926"/>
      <c r="M90" s="926"/>
      <c r="N90" s="926"/>
      <c r="O90" s="928" t="s">
        <v>400</v>
      </c>
      <c r="P90" s="928"/>
      <c r="Q90" s="928"/>
      <c r="R90" s="928"/>
      <c r="S90" s="928"/>
      <c r="T90" s="928"/>
      <c r="U90" s="928"/>
      <c r="V90" s="928"/>
      <c r="X90"/>
    </row>
    <row r="91" spans="5:24" ht="18.95" customHeight="1">
      <c r="E91" s="23"/>
      <c r="G91" s="927"/>
      <c r="H91" s="926"/>
      <c r="I91" s="926"/>
      <c r="J91" s="926"/>
      <c r="K91" s="926"/>
      <c r="L91" s="926"/>
      <c r="M91" s="926"/>
      <c r="N91" s="926"/>
      <c r="O91" s="928"/>
      <c r="P91" s="928"/>
      <c r="Q91" s="928"/>
      <c r="R91" s="928"/>
      <c r="S91" s="928"/>
      <c r="T91" s="928"/>
      <c r="U91" s="928"/>
      <c r="V91" s="928"/>
      <c r="X91"/>
    </row>
    <row r="92" spans="5:24" ht="14.1" customHeight="1">
      <c r="E92" s="23" t="s">
        <v>401</v>
      </c>
      <c r="G92" s="933"/>
      <c r="H92" s="926"/>
      <c r="I92" s="926"/>
      <c r="J92" s="926"/>
      <c r="K92" s="926"/>
      <c r="L92" s="926"/>
      <c r="M92" s="926"/>
      <c r="N92" s="926"/>
      <c r="O92" s="937"/>
      <c r="P92" s="937"/>
      <c r="Q92" s="937"/>
      <c r="R92" s="937"/>
      <c r="S92" s="937"/>
      <c r="T92" s="937"/>
      <c r="U92" s="937"/>
      <c r="V92" s="937"/>
    </row>
    <row r="93" spans="5:24" ht="12.4" customHeight="1">
      <c r="G93" s="933"/>
      <c r="H93" s="926"/>
      <c r="I93" s="926"/>
      <c r="J93" s="926"/>
      <c r="K93" s="926"/>
      <c r="L93" s="926"/>
      <c r="M93" s="926"/>
      <c r="N93" s="926"/>
      <c r="O93" s="937"/>
      <c r="P93" s="937"/>
      <c r="Q93" s="937"/>
      <c r="R93" s="937"/>
      <c r="S93" s="937"/>
      <c r="T93" s="937"/>
      <c r="U93" s="937"/>
      <c r="V93" s="937"/>
    </row>
    <row r="94" spans="5:24" ht="33.75" customHeight="1">
      <c r="E94" s="23" t="s">
        <v>402</v>
      </c>
      <c r="G94" s="930"/>
      <c r="H94" s="926"/>
      <c r="I94" s="926"/>
      <c r="J94" s="926"/>
      <c r="K94" s="926"/>
      <c r="L94" s="926"/>
      <c r="M94" s="926"/>
      <c r="N94" s="926"/>
      <c r="O94" s="928" t="s">
        <v>403</v>
      </c>
      <c r="P94" s="928"/>
      <c r="Q94" s="928"/>
      <c r="R94" s="928"/>
      <c r="S94" s="928"/>
      <c r="T94" s="928"/>
      <c r="U94" s="928"/>
      <c r="V94" s="928"/>
    </row>
    <row r="95" spans="5:24" ht="33.75" customHeight="1">
      <c r="G95" s="930"/>
      <c r="H95" s="926"/>
      <c r="I95" s="926"/>
      <c r="J95" s="926"/>
      <c r="K95" s="926"/>
      <c r="L95" s="926"/>
      <c r="M95" s="926"/>
      <c r="N95" s="926"/>
      <c r="O95" s="928"/>
      <c r="P95" s="928"/>
      <c r="Q95" s="928"/>
      <c r="R95" s="928"/>
      <c r="S95" s="928"/>
      <c r="T95" s="928"/>
      <c r="U95" s="928"/>
      <c r="V95" s="928"/>
    </row>
    <row r="98" spans="8:8" ht="12.75" customHeight="1">
      <c r="H98" s="25"/>
    </row>
  </sheetData>
  <mergeCells count="122">
    <mergeCell ref="G94:G95"/>
    <mergeCell ref="H94:J95"/>
    <mergeCell ref="K94:N95"/>
    <mergeCell ref="O94:V95"/>
    <mergeCell ref="G90:G91"/>
    <mergeCell ref="H90:J91"/>
    <mergeCell ref="K90:N91"/>
    <mergeCell ref="G92:G93"/>
    <mergeCell ref="H92:J93"/>
    <mergeCell ref="K92:N93"/>
    <mergeCell ref="O92:V93"/>
    <mergeCell ref="G86:G87"/>
    <mergeCell ref="H86:J87"/>
    <mergeCell ref="K86:N87"/>
    <mergeCell ref="O86:V87"/>
    <mergeCell ref="G88:G89"/>
    <mergeCell ref="H88:J89"/>
    <mergeCell ref="K88:N89"/>
    <mergeCell ref="O90:V91"/>
    <mergeCell ref="G82:G83"/>
    <mergeCell ref="H82:J83"/>
    <mergeCell ref="K82:N83"/>
    <mergeCell ref="O82:V83"/>
    <mergeCell ref="G84:G85"/>
    <mergeCell ref="H84:J85"/>
    <mergeCell ref="K84:N85"/>
    <mergeCell ref="O84:V85"/>
    <mergeCell ref="O88:V89"/>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dataValidations count="1">
    <dataValidation type="list" allowBlank="1" showInputMessage="1" showErrorMessage="1" sqref="F6" xr:uid="{00000000-0002-0000-0400-000000000000}">
      <formula1>#REF!</formula1>
    </dataValidation>
  </dataValidation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2:R86"/>
  <sheetViews>
    <sheetView showGridLines="0" topLeftCell="A29" zoomScale="71" zoomScaleNormal="71" workbookViewId="0">
      <selection activeCell="Q25" sqref="Q25"/>
    </sheetView>
  </sheetViews>
  <sheetFormatPr defaultRowHeight="14.1"/>
  <cols>
    <col min="1" max="1" width="2.625" customWidth="1"/>
    <col min="5" max="5" width="30.625" customWidth="1"/>
    <col min="6" max="6" width="13.125" customWidth="1"/>
    <col min="7" max="17" width="11.125" customWidth="1"/>
    <col min="18" max="18" width="20.625" style="6" customWidth="1"/>
  </cols>
  <sheetData>
    <row r="2" spans="1:18" s="38" customFormat="1" ht="20.25" customHeight="1">
      <c r="B2" s="650" t="s">
        <v>404</v>
      </c>
      <c r="R2" s="691"/>
    </row>
    <row r="4" spans="1:18" ht="15.6">
      <c r="A4" t="s">
        <v>405</v>
      </c>
      <c r="B4" s="222" t="s">
        <v>406</v>
      </c>
      <c r="C4" s="56"/>
      <c r="D4" s="56"/>
      <c r="E4" s="56"/>
      <c r="F4" s="56"/>
      <c r="G4" s="223">
        <v>2014</v>
      </c>
      <c r="H4" s="223">
        <f>+G4+1</f>
        <v>2015</v>
      </c>
      <c r="I4" s="223">
        <f t="shared" ref="I4:M4" si="0">+H4+1</f>
        <v>2016</v>
      </c>
      <c r="J4" s="223">
        <f t="shared" si="0"/>
        <v>2017</v>
      </c>
      <c r="K4" s="223">
        <f t="shared" si="0"/>
        <v>2018</v>
      </c>
      <c r="L4" s="223">
        <f t="shared" si="0"/>
        <v>2019</v>
      </c>
      <c r="M4" s="223">
        <f t="shared" si="0"/>
        <v>2020</v>
      </c>
      <c r="N4" s="223">
        <f>+M4+1</f>
        <v>2021</v>
      </c>
      <c r="O4" s="223">
        <f>+N4+1</f>
        <v>2022</v>
      </c>
      <c r="P4" s="223">
        <f t="shared" ref="P4" si="1">+O4+1</f>
        <v>2023</v>
      </c>
      <c r="Q4" s="223">
        <f>+P4+1</f>
        <v>2024</v>
      </c>
      <c r="R4" s="58" t="str">
        <f>"CAGR "&amp;$G$4&amp;" - "&amp;$Q$4</f>
        <v>CAGR 2014 - 2024</v>
      </c>
    </row>
    <row r="5" spans="1:18" ht="3.75" customHeight="1">
      <c r="B5" s="53"/>
      <c r="C5" s="53"/>
      <c r="D5" s="53"/>
      <c r="E5" s="53"/>
      <c r="F5" s="53"/>
      <c r="G5" s="224"/>
      <c r="H5" s="224"/>
      <c r="I5" s="224"/>
      <c r="J5" s="224"/>
      <c r="K5" s="224"/>
      <c r="L5" s="224"/>
      <c r="M5" s="224"/>
      <c r="N5" s="224"/>
      <c r="O5" s="224"/>
      <c r="P5" s="224"/>
      <c r="Q5" s="224"/>
      <c r="R5" s="60"/>
    </row>
    <row r="6" spans="1:18">
      <c r="B6" t="str">
        <f>+Peers!B6</f>
        <v/>
      </c>
      <c r="G6" s="202" t="s">
        <v>405</v>
      </c>
      <c r="H6" s="202" t="s">
        <v>407</v>
      </c>
      <c r="I6" s="202"/>
      <c r="J6" s="202"/>
      <c r="K6" s="202"/>
      <c r="L6" s="202"/>
      <c r="M6" s="202"/>
      <c r="N6" s="202"/>
      <c r="O6" s="202"/>
      <c r="P6" s="202"/>
      <c r="Q6" s="202"/>
      <c r="R6" s="692" t="str">
        <f t="shared" ref="R6:R16" si="2">IFERROR((Q6/G6)^(1/COUNT($G$4:$Q$4))-1,"")</f>
        <v/>
      </c>
    </row>
    <row r="7" spans="1:18">
      <c r="B7" s="655" t="str">
        <f>+Peers!B8</f>
        <v/>
      </c>
      <c r="C7" s="655"/>
      <c r="D7" s="655"/>
      <c r="E7" s="655"/>
      <c r="F7" s="655"/>
      <c r="G7" s="656"/>
      <c r="H7" s="656"/>
      <c r="I7" s="656"/>
      <c r="J7" s="656"/>
      <c r="K7" s="656"/>
      <c r="L7" s="656"/>
      <c r="M7" s="656"/>
      <c r="N7" s="656"/>
      <c r="O7" s="656"/>
      <c r="P7" s="656"/>
      <c r="Q7" s="656"/>
      <c r="R7" s="693" t="str">
        <f t="shared" si="2"/>
        <v/>
      </c>
    </row>
    <row r="8" spans="1:18">
      <c r="B8" t="str">
        <f>+Peers!B9</f>
        <v/>
      </c>
      <c r="G8" s="202"/>
      <c r="H8" s="202"/>
      <c r="I8" s="202"/>
      <c r="J8" s="202"/>
      <c r="K8" s="202"/>
      <c r="L8" s="202"/>
      <c r="M8" s="202"/>
      <c r="N8" s="202"/>
      <c r="O8" s="202"/>
      <c r="P8" s="202"/>
      <c r="Q8" s="202"/>
      <c r="R8" s="692" t="str">
        <f t="shared" si="2"/>
        <v/>
      </c>
    </row>
    <row r="9" spans="1:18">
      <c r="B9" s="655" t="str">
        <f>+Peers!B10</f>
        <v/>
      </c>
      <c r="C9" s="655"/>
      <c r="D9" s="655"/>
      <c r="E9" s="655"/>
      <c r="F9" s="655"/>
      <c r="G9" s="656"/>
      <c r="H9" s="656"/>
      <c r="I9" s="656"/>
      <c r="J9" s="656"/>
      <c r="K9" s="656"/>
      <c r="L9" s="656"/>
      <c r="M9" s="656"/>
      <c r="N9" s="656"/>
      <c r="O9" s="656"/>
      <c r="P9" s="656"/>
      <c r="Q9" s="655"/>
      <c r="R9" s="693" t="str">
        <f t="shared" si="2"/>
        <v/>
      </c>
    </row>
    <row r="10" spans="1:18">
      <c r="B10" t="str">
        <f>+Peers!B11</f>
        <v/>
      </c>
      <c r="G10" s="202"/>
      <c r="H10" s="202"/>
      <c r="I10" s="202"/>
      <c r="J10" s="202"/>
      <c r="K10" s="202"/>
      <c r="L10" s="202"/>
      <c r="M10" s="202"/>
      <c r="N10" s="202"/>
      <c r="O10" s="202"/>
      <c r="P10" s="202"/>
      <c r="Q10" s="202"/>
      <c r="R10" s="692" t="str">
        <f t="shared" si="2"/>
        <v/>
      </c>
    </row>
    <row r="11" spans="1:18">
      <c r="B11" s="655" t="str">
        <f>+Peers!B12</f>
        <v/>
      </c>
      <c r="C11" s="655"/>
      <c r="D11" s="655"/>
      <c r="E11" s="655"/>
      <c r="F11" s="655"/>
      <c r="G11" s="656"/>
      <c r="H11" s="656"/>
      <c r="I11" s="656"/>
      <c r="J11" s="656"/>
      <c r="K11" s="656"/>
      <c r="L11" s="656"/>
      <c r="M11" s="656"/>
      <c r="N11" s="656"/>
      <c r="O11" s="656"/>
      <c r="P11" s="656"/>
      <c r="Q11" s="656"/>
      <c r="R11" s="693" t="str">
        <f t="shared" si="2"/>
        <v/>
      </c>
    </row>
    <row r="12" spans="1:18">
      <c r="B12" t="str">
        <f>+Peers!B13</f>
        <v/>
      </c>
      <c r="G12" s="202"/>
      <c r="H12" s="202"/>
      <c r="I12" s="202"/>
      <c r="J12" s="202"/>
      <c r="K12" s="202"/>
      <c r="L12" s="202"/>
      <c r="M12" s="202"/>
      <c r="N12" s="202"/>
      <c r="O12" s="202"/>
      <c r="P12" s="202"/>
      <c r="Q12" s="202"/>
      <c r="R12" s="692" t="str">
        <f t="shared" si="2"/>
        <v/>
      </c>
    </row>
    <row r="13" spans="1:18">
      <c r="B13" s="655" t="str">
        <f>+Peers!B14</f>
        <v/>
      </c>
      <c r="C13" s="655"/>
      <c r="D13" s="655"/>
      <c r="E13" s="655"/>
      <c r="F13" s="655"/>
      <c r="G13" s="656"/>
      <c r="H13" s="656"/>
      <c r="I13" s="656"/>
      <c r="J13" s="656"/>
      <c r="K13" s="656"/>
      <c r="L13" s="656"/>
      <c r="M13" s="656"/>
      <c r="N13" s="656"/>
      <c r="O13" s="656"/>
      <c r="P13" s="656"/>
      <c r="Q13" s="656"/>
      <c r="R13" s="693" t="str">
        <f t="shared" si="2"/>
        <v/>
      </c>
    </row>
    <row r="14" spans="1:18">
      <c r="B14" t="str">
        <f>+Peers!B15</f>
        <v/>
      </c>
      <c r="G14" s="202"/>
      <c r="H14" s="202"/>
      <c r="I14" s="202"/>
      <c r="J14" s="202"/>
      <c r="K14" s="202"/>
      <c r="L14" s="202"/>
      <c r="M14" s="202"/>
      <c r="N14" s="202"/>
      <c r="O14" s="202"/>
      <c r="P14" s="202"/>
      <c r="Q14" s="202"/>
      <c r="R14" s="692" t="str">
        <f t="shared" si="2"/>
        <v/>
      </c>
    </row>
    <row r="15" spans="1:18">
      <c r="B15" s="655" t="str">
        <f>+Peers!B16</f>
        <v/>
      </c>
      <c r="C15" s="655"/>
      <c r="D15" s="655"/>
      <c r="E15" s="655"/>
      <c r="F15" s="655"/>
      <c r="G15" s="656"/>
      <c r="H15" s="656"/>
      <c r="I15" s="656"/>
      <c r="J15" s="656"/>
      <c r="K15" s="656"/>
      <c r="L15" s="656"/>
      <c r="M15" s="656"/>
      <c r="N15" s="656"/>
      <c r="O15" s="656"/>
      <c r="P15" s="656"/>
      <c r="Q15" s="656"/>
      <c r="R15" s="693" t="str">
        <f t="shared" si="2"/>
        <v/>
      </c>
    </row>
    <row r="16" spans="1:18">
      <c r="B16" t="str">
        <f>+Peers!B17</f>
        <v/>
      </c>
      <c r="G16" s="202"/>
      <c r="H16" s="202"/>
      <c r="I16" s="202"/>
      <c r="J16" s="202"/>
      <c r="K16" s="202"/>
      <c r="L16" s="202"/>
      <c r="M16" s="202"/>
      <c r="N16" s="202"/>
      <c r="O16" s="202"/>
      <c r="P16" s="202"/>
      <c r="Q16" s="202"/>
      <c r="R16" s="692" t="str">
        <f t="shared" si="2"/>
        <v/>
      </c>
    </row>
    <row r="17" spans="1:18">
      <c r="G17" s="202"/>
      <c r="H17" s="202"/>
      <c r="I17" s="202"/>
      <c r="J17" s="202"/>
      <c r="K17" s="202"/>
      <c r="L17" s="202"/>
      <c r="M17" s="202"/>
      <c r="N17" s="202"/>
      <c r="O17" s="202"/>
      <c r="P17" s="202"/>
      <c r="Q17" s="202"/>
    </row>
    <row r="18" spans="1:18" ht="15.6">
      <c r="A18" t="s">
        <v>405</v>
      </c>
      <c r="B18" s="222" t="s">
        <v>408</v>
      </c>
      <c r="C18" s="56"/>
      <c r="D18" s="56"/>
      <c r="E18" s="56"/>
      <c r="F18" s="56"/>
      <c r="G18" s="223">
        <v>2014</v>
      </c>
      <c r="H18" s="223">
        <f t="shared" ref="H18:Q18" si="3">+G18+1</f>
        <v>2015</v>
      </c>
      <c r="I18" s="223">
        <f t="shared" si="3"/>
        <v>2016</v>
      </c>
      <c r="J18" s="223">
        <f t="shared" si="3"/>
        <v>2017</v>
      </c>
      <c r="K18" s="223">
        <f t="shared" si="3"/>
        <v>2018</v>
      </c>
      <c r="L18" s="223">
        <f t="shared" si="3"/>
        <v>2019</v>
      </c>
      <c r="M18" s="223">
        <f t="shared" si="3"/>
        <v>2020</v>
      </c>
      <c r="N18" s="223">
        <f t="shared" si="3"/>
        <v>2021</v>
      </c>
      <c r="O18" s="223">
        <f t="shared" si="3"/>
        <v>2022</v>
      </c>
      <c r="P18" s="223">
        <f t="shared" si="3"/>
        <v>2023</v>
      </c>
      <c r="Q18" s="223">
        <f t="shared" si="3"/>
        <v>2024</v>
      </c>
      <c r="R18" s="58" t="str">
        <f>"CAGR "&amp;$G$4&amp;" - "&amp;$Q$4</f>
        <v>CAGR 2014 - 2024</v>
      </c>
    </row>
    <row r="19" spans="1:18" s="97" customFormat="1" ht="3.75" customHeight="1">
      <c r="B19" s="651"/>
      <c r="C19" s="651"/>
      <c r="D19" s="651"/>
      <c r="E19" s="651"/>
      <c r="F19" s="651"/>
      <c r="G19" s="652"/>
      <c r="H19" s="652"/>
      <c r="I19" s="652"/>
      <c r="J19" s="652"/>
      <c r="K19" s="652"/>
      <c r="L19" s="652"/>
      <c r="M19" s="652"/>
      <c r="N19" s="652"/>
      <c r="O19" s="652"/>
      <c r="P19" s="652"/>
      <c r="Q19" s="652"/>
      <c r="R19" s="653"/>
    </row>
    <row r="20" spans="1:18">
      <c r="B20" t="str">
        <f>+$B$6</f>
        <v/>
      </c>
      <c r="G20" s="202"/>
      <c r="H20" s="202"/>
      <c r="I20" s="202"/>
      <c r="J20" s="202"/>
      <c r="K20" s="202"/>
      <c r="L20" s="202"/>
      <c r="M20" s="202"/>
      <c r="N20" s="202"/>
      <c r="O20" s="202"/>
      <c r="P20" s="202"/>
      <c r="Q20" s="202"/>
      <c r="R20" s="692" t="str">
        <f t="shared" ref="R20:R30" si="4">IFERROR((Q20/G20)^(1/COUNT($G$4:$Q$4))-1,"")</f>
        <v/>
      </c>
    </row>
    <row r="21" spans="1:18">
      <c r="B21" s="655" t="str">
        <f>+$B$7</f>
        <v/>
      </c>
      <c r="C21" s="655"/>
      <c r="D21" s="655"/>
      <c r="E21" s="655"/>
      <c r="F21" s="655"/>
      <c r="G21" s="656"/>
      <c r="H21" s="656"/>
      <c r="I21" s="656"/>
      <c r="J21" s="656"/>
      <c r="K21" s="656"/>
      <c r="L21" s="656"/>
      <c r="M21" s="656"/>
      <c r="N21" s="656"/>
      <c r="O21" s="656"/>
      <c r="P21" s="656"/>
      <c r="Q21" s="656"/>
      <c r="R21" s="693" t="str">
        <f t="shared" si="4"/>
        <v/>
      </c>
    </row>
    <row r="22" spans="1:18">
      <c r="B22" t="str">
        <f>+$B$8</f>
        <v/>
      </c>
      <c r="G22" s="202"/>
      <c r="H22" s="202"/>
      <c r="I22" s="202"/>
      <c r="J22" s="202"/>
      <c r="K22" s="202"/>
      <c r="L22" s="202"/>
      <c r="M22" s="202"/>
      <c r="N22" s="202"/>
      <c r="O22" s="202"/>
      <c r="P22" s="202"/>
      <c r="Q22" s="202"/>
      <c r="R22" s="692" t="str">
        <f t="shared" si="4"/>
        <v/>
      </c>
    </row>
    <row r="23" spans="1:18">
      <c r="B23" s="655" t="str">
        <f>+$B$9</f>
        <v/>
      </c>
      <c r="C23" s="655"/>
      <c r="D23" s="655"/>
      <c r="E23" s="655"/>
      <c r="F23" s="655"/>
      <c r="G23" s="657"/>
      <c r="H23" s="657"/>
      <c r="I23" s="657"/>
      <c r="J23" s="656"/>
      <c r="K23" s="656"/>
      <c r="L23" s="656"/>
      <c r="M23" s="656"/>
      <c r="N23" s="656"/>
      <c r="O23" s="656"/>
      <c r="P23" s="656"/>
      <c r="Q23" s="655"/>
      <c r="R23" s="693" t="str">
        <f t="shared" si="4"/>
        <v/>
      </c>
    </row>
    <row r="24" spans="1:18">
      <c r="B24" t="str">
        <f>+$B$10</f>
        <v/>
      </c>
      <c r="G24" s="202"/>
      <c r="H24" s="202"/>
      <c r="I24" s="202"/>
      <c r="J24" s="202"/>
      <c r="K24" s="202"/>
      <c r="L24" s="202"/>
      <c r="M24" s="202"/>
      <c r="N24" s="202"/>
      <c r="O24" s="202"/>
      <c r="P24" s="202"/>
      <c r="Q24" s="202"/>
      <c r="R24" s="692" t="str">
        <f t="shared" si="4"/>
        <v/>
      </c>
    </row>
    <row r="25" spans="1:18">
      <c r="B25" s="655" t="str">
        <f>+$B$11</f>
        <v/>
      </c>
      <c r="C25" s="655"/>
      <c r="D25" s="655"/>
      <c r="E25" s="655"/>
      <c r="F25" s="655"/>
      <c r="G25" s="656"/>
      <c r="H25" s="656"/>
      <c r="I25" s="656"/>
      <c r="J25" s="656"/>
      <c r="K25" s="656"/>
      <c r="L25" s="656"/>
      <c r="M25" s="656"/>
      <c r="N25" s="656"/>
      <c r="O25" s="656"/>
      <c r="P25" s="656"/>
      <c r="Q25" s="656"/>
      <c r="R25" s="693" t="str">
        <f t="shared" si="4"/>
        <v/>
      </c>
    </row>
    <row r="26" spans="1:18">
      <c r="B26" t="str">
        <f>+$B$12</f>
        <v/>
      </c>
      <c r="G26" s="202"/>
      <c r="H26" s="202"/>
      <c r="I26" s="202"/>
      <c r="J26" s="202"/>
      <c r="K26" s="202"/>
      <c r="L26" s="202"/>
      <c r="M26" s="202"/>
      <c r="N26" s="202"/>
      <c r="O26" s="202"/>
      <c r="P26" s="202"/>
      <c r="Q26" s="202"/>
      <c r="R26" s="692" t="str">
        <f t="shared" si="4"/>
        <v/>
      </c>
    </row>
    <row r="27" spans="1:18">
      <c r="B27" s="655" t="str">
        <f>+$B$13</f>
        <v/>
      </c>
      <c r="C27" s="655"/>
      <c r="D27" s="655"/>
      <c r="E27" s="655"/>
      <c r="F27" s="655"/>
      <c r="G27" s="656"/>
      <c r="H27" s="656"/>
      <c r="I27" s="656"/>
      <c r="J27" s="656"/>
      <c r="K27" s="656"/>
      <c r="L27" s="656"/>
      <c r="M27" s="656"/>
      <c r="N27" s="656"/>
      <c r="O27" s="656"/>
      <c r="P27" s="656"/>
      <c r="Q27" s="656"/>
      <c r="R27" s="693" t="str">
        <f t="shared" si="4"/>
        <v/>
      </c>
    </row>
    <row r="28" spans="1:18">
      <c r="B28" t="str">
        <f>+$B$14</f>
        <v/>
      </c>
      <c r="G28" s="202"/>
      <c r="H28" s="202"/>
      <c r="I28" s="202"/>
      <c r="J28" s="202"/>
      <c r="K28" s="202"/>
      <c r="L28" s="202"/>
      <c r="M28" s="202"/>
      <c r="N28" s="202"/>
      <c r="O28" s="202"/>
      <c r="P28" s="202"/>
      <c r="Q28" s="202"/>
      <c r="R28" s="692" t="str">
        <f t="shared" si="4"/>
        <v/>
      </c>
    </row>
    <row r="29" spans="1:18">
      <c r="B29" s="655" t="str">
        <f>+$B$15</f>
        <v/>
      </c>
      <c r="C29" s="655"/>
      <c r="D29" s="655"/>
      <c r="E29" s="655"/>
      <c r="F29" s="655"/>
      <c r="G29" s="656"/>
      <c r="H29" s="656"/>
      <c r="I29" s="656"/>
      <c r="J29" s="656"/>
      <c r="K29" s="656"/>
      <c r="L29" s="656"/>
      <c r="M29" s="656"/>
      <c r="N29" s="656"/>
      <c r="O29" s="656"/>
      <c r="P29" s="656"/>
      <c r="Q29" s="656"/>
      <c r="R29" s="693" t="str">
        <f t="shared" si="4"/>
        <v/>
      </c>
    </row>
    <row r="30" spans="1:18">
      <c r="B30" t="str">
        <f>+$B$16</f>
        <v/>
      </c>
      <c r="G30" s="202"/>
      <c r="H30" s="202"/>
      <c r="I30" s="202"/>
      <c r="J30" s="202"/>
      <c r="K30" s="202"/>
      <c r="L30" s="202"/>
      <c r="M30" s="202"/>
      <c r="N30" s="202"/>
      <c r="O30" s="202"/>
      <c r="P30" s="202"/>
      <c r="Q30" s="202"/>
      <c r="R30" s="692" t="str">
        <f t="shared" si="4"/>
        <v/>
      </c>
    </row>
    <row r="31" spans="1:18">
      <c r="G31" s="202"/>
      <c r="H31" s="202"/>
      <c r="I31" s="202"/>
      <c r="J31" s="202"/>
      <c r="K31" s="202"/>
      <c r="L31" s="202"/>
      <c r="M31" s="202"/>
      <c r="N31" s="202"/>
      <c r="O31" s="202"/>
      <c r="P31" s="202"/>
      <c r="Q31" s="202"/>
    </row>
    <row r="32" spans="1:18" ht="15.6">
      <c r="A32" t="s">
        <v>405</v>
      </c>
      <c r="B32" s="222" t="s">
        <v>409</v>
      </c>
      <c r="C32" s="56"/>
      <c r="D32" s="56"/>
      <c r="E32" s="56"/>
      <c r="F32" s="56"/>
      <c r="G32" s="223">
        <v>2014</v>
      </c>
      <c r="H32" s="223">
        <f t="shared" ref="H32:Q32" si="5">+G32+1</f>
        <v>2015</v>
      </c>
      <c r="I32" s="223">
        <f t="shared" si="5"/>
        <v>2016</v>
      </c>
      <c r="J32" s="223">
        <f t="shared" si="5"/>
        <v>2017</v>
      </c>
      <c r="K32" s="223">
        <f t="shared" si="5"/>
        <v>2018</v>
      </c>
      <c r="L32" s="223">
        <f t="shared" si="5"/>
        <v>2019</v>
      </c>
      <c r="M32" s="223">
        <f t="shared" si="5"/>
        <v>2020</v>
      </c>
      <c r="N32" s="223">
        <f t="shared" si="5"/>
        <v>2021</v>
      </c>
      <c r="O32" s="223">
        <f t="shared" si="5"/>
        <v>2022</v>
      </c>
      <c r="P32" s="223">
        <f t="shared" si="5"/>
        <v>2023</v>
      </c>
      <c r="Q32" s="223">
        <f t="shared" si="5"/>
        <v>2024</v>
      </c>
      <c r="R32" s="58" t="str">
        <f>"CAGR "&amp;$G$4&amp;" - "&amp;$Q$4</f>
        <v>CAGR 2014 - 2024</v>
      </c>
    </row>
    <row r="33" spans="1:18" ht="3.75" customHeight="1">
      <c r="B33" s="53"/>
      <c r="C33" s="53"/>
      <c r="D33" s="53"/>
      <c r="E33" s="53"/>
      <c r="F33" s="53"/>
      <c r="G33" s="224"/>
      <c r="H33" s="224"/>
      <c r="I33" s="224"/>
      <c r="J33" s="224"/>
      <c r="K33" s="224"/>
      <c r="L33" s="224"/>
      <c r="M33" s="224"/>
      <c r="N33" s="224"/>
      <c r="O33" s="224"/>
      <c r="P33" s="224"/>
      <c r="Q33" s="224"/>
      <c r="R33" s="60"/>
    </row>
    <row r="34" spans="1:18">
      <c r="B34" t="str">
        <f>+$B$6</f>
        <v/>
      </c>
      <c r="G34" s="202"/>
      <c r="H34" s="202"/>
      <c r="I34" s="202"/>
      <c r="J34" s="202"/>
      <c r="K34" s="202"/>
      <c r="L34" s="202"/>
      <c r="M34" s="202"/>
      <c r="N34" s="202"/>
      <c r="O34" s="202"/>
      <c r="P34" s="202"/>
      <c r="Q34" s="202"/>
      <c r="R34" s="692" t="str">
        <f t="shared" ref="R34:R44" si="6">IFERROR((Q34/G34)^(1/COUNT($G$4:$Q$4))-1,"")</f>
        <v/>
      </c>
    </row>
    <row r="35" spans="1:18">
      <c r="B35" s="655" t="str">
        <f>+$B$7</f>
        <v/>
      </c>
      <c r="C35" s="655"/>
      <c r="D35" s="655"/>
      <c r="E35" s="655"/>
      <c r="F35" s="655"/>
      <c r="G35" s="656"/>
      <c r="H35" s="656"/>
      <c r="I35" s="656"/>
      <c r="J35" s="656"/>
      <c r="K35" s="656"/>
      <c r="L35" s="656"/>
      <c r="M35" s="656"/>
      <c r="N35" s="656"/>
      <c r="O35" s="656"/>
      <c r="P35" s="656"/>
      <c r="Q35" s="656"/>
      <c r="R35" s="693" t="str">
        <f t="shared" si="6"/>
        <v/>
      </c>
    </row>
    <row r="36" spans="1:18">
      <c r="B36" t="str">
        <f>+$B$8</f>
        <v/>
      </c>
      <c r="G36" s="202"/>
      <c r="H36" s="202"/>
      <c r="I36" s="202"/>
      <c r="J36" s="202"/>
      <c r="K36" s="202"/>
      <c r="L36" s="202"/>
      <c r="M36" s="202"/>
      <c r="N36" s="202"/>
      <c r="O36" s="202"/>
      <c r="P36" s="202"/>
      <c r="Q36" s="202"/>
      <c r="R36" s="692" t="str">
        <f t="shared" si="6"/>
        <v/>
      </c>
    </row>
    <row r="37" spans="1:18">
      <c r="B37" s="655" t="str">
        <f>+$B$9</f>
        <v/>
      </c>
      <c r="C37" s="655"/>
      <c r="D37" s="655"/>
      <c r="E37" s="655"/>
      <c r="F37" s="655"/>
      <c r="G37" s="657"/>
      <c r="H37" s="657"/>
      <c r="I37" s="657"/>
      <c r="J37" s="657"/>
      <c r="K37" s="656"/>
      <c r="L37" s="656"/>
      <c r="M37" s="656"/>
      <c r="N37" s="656"/>
      <c r="O37" s="656"/>
      <c r="P37" s="656"/>
      <c r="Q37" s="655"/>
      <c r="R37" s="693" t="str">
        <f t="shared" si="6"/>
        <v/>
      </c>
    </row>
    <row r="38" spans="1:18">
      <c r="B38" t="str">
        <f>+$B$10</f>
        <v/>
      </c>
      <c r="G38" s="202"/>
      <c r="H38" s="202"/>
      <c r="I38" s="202"/>
      <c r="J38" s="202"/>
      <c r="K38" s="202"/>
      <c r="L38" s="202"/>
      <c r="M38" s="202"/>
      <c r="N38" s="202"/>
      <c r="O38" s="202"/>
      <c r="P38" s="202"/>
      <c r="Q38" s="202"/>
      <c r="R38" s="692" t="str">
        <f t="shared" si="6"/>
        <v/>
      </c>
    </row>
    <row r="39" spans="1:18">
      <c r="B39" s="655" t="str">
        <f>+$B$11</f>
        <v/>
      </c>
      <c r="C39" s="655"/>
      <c r="D39" s="655"/>
      <c r="E39" s="655"/>
      <c r="F39" s="655"/>
      <c r="G39" s="656"/>
      <c r="H39" s="656"/>
      <c r="I39" s="656"/>
      <c r="J39" s="656"/>
      <c r="K39" s="656"/>
      <c r="L39" s="656"/>
      <c r="M39" s="656"/>
      <c r="N39" s="656"/>
      <c r="O39" s="656"/>
      <c r="P39" s="656"/>
      <c r="Q39" s="656"/>
      <c r="R39" s="693" t="str">
        <f t="shared" si="6"/>
        <v/>
      </c>
    </row>
    <row r="40" spans="1:18">
      <c r="B40" t="str">
        <f>+$B$12</f>
        <v/>
      </c>
      <c r="G40" s="202"/>
      <c r="H40" s="202"/>
      <c r="I40" s="202"/>
      <c r="J40" s="202"/>
      <c r="K40" s="202"/>
      <c r="L40" s="202"/>
      <c r="M40" s="202"/>
      <c r="N40" s="202"/>
      <c r="O40" s="202"/>
      <c r="P40" s="202"/>
      <c r="Q40" s="202"/>
      <c r="R40" s="692" t="str">
        <f t="shared" si="6"/>
        <v/>
      </c>
    </row>
    <row r="41" spans="1:18">
      <c r="B41" s="655" t="str">
        <f>+$B$13</f>
        <v/>
      </c>
      <c r="C41" s="655"/>
      <c r="D41" s="655"/>
      <c r="E41" s="655"/>
      <c r="F41" s="655"/>
      <c r="G41" s="656"/>
      <c r="H41" s="656"/>
      <c r="I41" s="656"/>
      <c r="J41" s="656"/>
      <c r="K41" s="656"/>
      <c r="L41" s="656"/>
      <c r="M41" s="656"/>
      <c r="N41" s="656"/>
      <c r="O41" s="656"/>
      <c r="P41" s="656"/>
      <c r="Q41" s="656"/>
      <c r="R41" s="693" t="str">
        <f t="shared" si="6"/>
        <v/>
      </c>
    </row>
    <row r="42" spans="1:18">
      <c r="B42" t="str">
        <f>+$B$14</f>
        <v/>
      </c>
      <c r="G42" s="202"/>
      <c r="H42" s="202"/>
      <c r="I42" s="202"/>
      <c r="J42" s="202"/>
      <c r="K42" s="202"/>
      <c r="L42" s="202"/>
      <c r="M42" s="202"/>
      <c r="N42" s="202"/>
      <c r="O42" s="202"/>
      <c r="P42" s="202"/>
      <c r="Q42" s="202"/>
      <c r="R42" s="692" t="str">
        <f t="shared" si="6"/>
        <v/>
      </c>
    </row>
    <row r="43" spans="1:18">
      <c r="B43" s="655" t="str">
        <f>+$B$15</f>
        <v/>
      </c>
      <c r="C43" s="655"/>
      <c r="D43" s="655"/>
      <c r="E43" s="655"/>
      <c r="F43" s="655"/>
      <c r="G43" s="656"/>
      <c r="H43" s="656"/>
      <c r="I43" s="656"/>
      <c r="J43" s="656"/>
      <c r="K43" s="656"/>
      <c r="L43" s="656"/>
      <c r="M43" s="656"/>
      <c r="N43" s="656"/>
      <c r="O43" s="656"/>
      <c r="P43" s="656"/>
      <c r="Q43" s="656"/>
      <c r="R43" s="693" t="str">
        <f t="shared" si="6"/>
        <v/>
      </c>
    </row>
    <row r="44" spans="1:18">
      <c r="B44" t="str">
        <f>+$B$16</f>
        <v/>
      </c>
      <c r="G44" s="202"/>
      <c r="H44" s="202"/>
      <c r="I44" s="202"/>
      <c r="J44" s="202"/>
      <c r="K44" s="202"/>
      <c r="L44" s="202"/>
      <c r="M44" s="202"/>
      <c r="N44" s="202"/>
      <c r="O44" s="202"/>
      <c r="P44" s="202"/>
      <c r="Q44" s="202"/>
      <c r="R44" s="692" t="str">
        <f t="shared" si="6"/>
        <v/>
      </c>
    </row>
    <row r="45" spans="1:18">
      <c r="G45" s="202"/>
      <c r="H45" s="202"/>
      <c r="I45" s="202"/>
      <c r="J45" s="202"/>
      <c r="K45" s="202"/>
      <c r="L45" s="202"/>
      <c r="M45" s="202"/>
      <c r="N45" s="202"/>
      <c r="O45" s="202"/>
      <c r="P45" s="202"/>
      <c r="Q45" s="202"/>
    </row>
    <row r="46" spans="1:18" ht="15.6">
      <c r="A46" t="s">
        <v>405</v>
      </c>
      <c r="B46" s="222" t="s">
        <v>410</v>
      </c>
      <c r="C46" s="56"/>
      <c r="D46" s="56"/>
      <c r="E46" s="56"/>
      <c r="F46" s="56"/>
      <c r="G46" s="223">
        <v>2014</v>
      </c>
      <c r="H46" s="223">
        <f t="shared" ref="H46:Q46" si="7">+G46+1</f>
        <v>2015</v>
      </c>
      <c r="I46" s="223">
        <f t="shared" si="7"/>
        <v>2016</v>
      </c>
      <c r="J46" s="223">
        <f t="shared" si="7"/>
        <v>2017</v>
      </c>
      <c r="K46" s="223">
        <f t="shared" si="7"/>
        <v>2018</v>
      </c>
      <c r="L46" s="223">
        <f t="shared" si="7"/>
        <v>2019</v>
      </c>
      <c r="M46" s="223">
        <f t="shared" si="7"/>
        <v>2020</v>
      </c>
      <c r="N46" s="223">
        <f t="shared" si="7"/>
        <v>2021</v>
      </c>
      <c r="O46" s="223">
        <f t="shared" si="7"/>
        <v>2022</v>
      </c>
      <c r="P46" s="223">
        <f t="shared" si="7"/>
        <v>2023</v>
      </c>
      <c r="Q46" s="223">
        <f t="shared" si="7"/>
        <v>2024</v>
      </c>
      <c r="R46" s="58" t="str">
        <f>"CAGR "&amp;$G$4&amp;" - "&amp;$Q$4</f>
        <v>CAGR 2014 - 2024</v>
      </c>
    </row>
    <row r="47" spans="1:18" ht="3.75" customHeight="1">
      <c r="B47" s="53"/>
      <c r="C47" s="53"/>
      <c r="D47" s="53"/>
      <c r="E47" s="53"/>
      <c r="F47" s="53"/>
      <c r="G47" s="224"/>
      <c r="H47" s="224"/>
      <c r="I47" s="224"/>
      <c r="J47" s="224"/>
      <c r="K47" s="224"/>
      <c r="L47" s="224"/>
      <c r="M47" s="224"/>
      <c r="N47" s="224"/>
      <c r="O47" s="224"/>
      <c r="P47" s="224"/>
      <c r="Q47" s="224"/>
      <c r="R47" s="60"/>
    </row>
    <row r="48" spans="1:18">
      <c r="B48" t="str">
        <f>+$B$6</f>
        <v/>
      </c>
      <c r="G48" s="202"/>
      <c r="H48" s="202"/>
      <c r="I48" s="202"/>
      <c r="J48" s="202"/>
      <c r="K48" s="202"/>
      <c r="L48" s="202"/>
      <c r="M48" s="202"/>
      <c r="N48" s="202"/>
      <c r="O48" s="202"/>
      <c r="P48" s="202"/>
      <c r="Q48" s="202"/>
      <c r="R48" s="692" t="str">
        <f t="shared" ref="R48:R58" si="8">IFERROR((Q48/G48)^(1/COUNT($G$4:$Q$4))-1,"")</f>
        <v/>
      </c>
    </row>
    <row r="49" spans="1:18">
      <c r="B49" s="655" t="str">
        <f>+$B$7</f>
        <v/>
      </c>
      <c r="C49" s="655"/>
      <c r="D49" s="655"/>
      <c r="E49" s="655"/>
      <c r="F49" s="655"/>
      <c r="G49" s="656"/>
      <c r="H49" s="656"/>
      <c r="I49" s="656"/>
      <c r="J49" s="656"/>
      <c r="K49" s="656"/>
      <c r="L49" s="656"/>
      <c r="M49" s="656"/>
      <c r="N49" s="656"/>
      <c r="O49" s="656"/>
      <c r="P49" s="656"/>
      <c r="Q49" s="656"/>
      <c r="R49" s="693" t="str">
        <f t="shared" si="8"/>
        <v/>
      </c>
    </row>
    <row r="50" spans="1:18">
      <c r="B50" t="str">
        <f>+$B$8</f>
        <v/>
      </c>
      <c r="G50" s="202"/>
      <c r="H50" s="202"/>
      <c r="I50" s="202"/>
      <c r="J50" s="202"/>
      <c r="K50" s="202"/>
      <c r="L50" s="202"/>
      <c r="M50" s="202"/>
      <c r="N50" s="202"/>
      <c r="O50" s="202"/>
      <c r="P50" s="202"/>
      <c r="Q50" s="202"/>
      <c r="R50" s="692" t="str">
        <f t="shared" si="8"/>
        <v/>
      </c>
    </row>
    <row r="51" spans="1:18">
      <c r="B51" s="655" t="str">
        <f>+$B$9</f>
        <v/>
      </c>
      <c r="C51" s="655"/>
      <c r="D51" s="655"/>
      <c r="E51" s="655"/>
      <c r="F51" s="655"/>
      <c r="G51" s="656"/>
      <c r="H51" s="656"/>
      <c r="I51" s="656"/>
      <c r="J51" s="656"/>
      <c r="K51" s="656"/>
      <c r="L51" s="656"/>
      <c r="M51" s="656"/>
      <c r="N51" s="656"/>
      <c r="O51" s="656"/>
      <c r="P51" s="656"/>
      <c r="Q51" s="656"/>
      <c r="R51" s="693" t="str">
        <f t="shared" si="8"/>
        <v/>
      </c>
    </row>
    <row r="52" spans="1:18">
      <c r="B52" t="str">
        <f>+$B$10</f>
        <v/>
      </c>
      <c r="G52" s="202"/>
      <c r="H52" s="202"/>
      <c r="I52" s="202"/>
      <c r="J52" s="202"/>
      <c r="K52" s="202"/>
      <c r="L52" s="202"/>
      <c r="M52" s="202"/>
      <c r="N52" s="202"/>
      <c r="O52" s="202"/>
      <c r="P52" s="202"/>
      <c r="Q52" s="202"/>
      <c r="R52" s="692" t="str">
        <f t="shared" si="8"/>
        <v/>
      </c>
    </row>
    <row r="53" spans="1:18">
      <c r="B53" s="655" t="str">
        <f>+$B$11</f>
        <v/>
      </c>
      <c r="C53" s="655"/>
      <c r="D53" s="655"/>
      <c r="E53" s="655"/>
      <c r="F53" s="655"/>
      <c r="G53" s="656"/>
      <c r="H53" s="656"/>
      <c r="I53" s="656"/>
      <c r="J53" s="656"/>
      <c r="K53" s="656"/>
      <c r="L53" s="657"/>
      <c r="M53" s="657"/>
      <c r="N53" s="657"/>
      <c r="O53" s="657"/>
      <c r="P53" s="656"/>
      <c r="Q53" s="656"/>
      <c r="R53" s="693" t="str">
        <f t="shared" si="8"/>
        <v/>
      </c>
    </row>
    <row r="54" spans="1:18">
      <c r="B54" t="str">
        <f>+$B$12</f>
        <v/>
      </c>
      <c r="G54" s="202"/>
      <c r="H54" s="202"/>
      <c r="I54" s="202"/>
      <c r="J54" s="202"/>
      <c r="K54" s="202"/>
      <c r="L54" s="202"/>
      <c r="M54" s="202"/>
      <c r="N54" s="202"/>
      <c r="O54" s="202"/>
      <c r="P54" s="202"/>
      <c r="Q54" s="202"/>
      <c r="R54" s="692" t="str">
        <f t="shared" si="8"/>
        <v/>
      </c>
    </row>
    <row r="55" spans="1:18">
      <c r="B55" s="655" t="str">
        <f>+$B$13</f>
        <v/>
      </c>
      <c r="C55" s="655"/>
      <c r="D55" s="655"/>
      <c r="E55" s="655"/>
      <c r="F55" s="655"/>
      <c r="G55" s="656"/>
      <c r="H55" s="656"/>
      <c r="I55" s="656"/>
      <c r="J55" s="656"/>
      <c r="K55" s="656"/>
      <c r="L55" s="656"/>
      <c r="M55" s="656"/>
      <c r="N55" s="656"/>
      <c r="O55" s="656"/>
      <c r="P55" s="656"/>
      <c r="Q55" s="656"/>
      <c r="R55" s="693" t="str">
        <f t="shared" si="8"/>
        <v/>
      </c>
    </row>
    <row r="56" spans="1:18">
      <c r="B56" t="str">
        <f>+$B$14</f>
        <v/>
      </c>
      <c r="G56" s="202"/>
      <c r="H56" s="202"/>
      <c r="I56" s="202"/>
      <c r="J56" s="202"/>
      <c r="K56" s="202"/>
      <c r="L56" s="202"/>
      <c r="M56" s="202"/>
      <c r="N56" s="202"/>
      <c r="O56" s="202"/>
      <c r="P56" s="202"/>
      <c r="Q56" s="202"/>
      <c r="R56" s="692" t="str">
        <f t="shared" si="8"/>
        <v/>
      </c>
    </row>
    <row r="57" spans="1:18">
      <c r="B57" s="655" t="str">
        <f>+$B$15</f>
        <v/>
      </c>
      <c r="C57" s="655"/>
      <c r="D57" s="655"/>
      <c r="E57" s="655"/>
      <c r="F57" s="655"/>
      <c r="G57" s="656"/>
      <c r="H57" s="656"/>
      <c r="I57" s="656"/>
      <c r="J57" s="656"/>
      <c r="K57" s="656"/>
      <c r="L57" s="656"/>
      <c r="M57" s="656"/>
      <c r="N57" s="656"/>
      <c r="O57" s="656"/>
      <c r="P57" s="656"/>
      <c r="Q57" s="656"/>
      <c r="R57" s="693" t="str">
        <f t="shared" si="8"/>
        <v/>
      </c>
    </row>
    <row r="58" spans="1:18">
      <c r="B58" t="str">
        <f>+$B$16</f>
        <v/>
      </c>
      <c r="G58" s="202"/>
      <c r="H58" s="202"/>
      <c r="I58" s="202"/>
      <c r="J58" s="202"/>
      <c r="K58" s="202"/>
      <c r="L58" s="202"/>
      <c r="M58" s="202"/>
      <c r="N58" s="202"/>
      <c r="O58" s="202"/>
      <c r="P58" s="202"/>
      <c r="Q58" s="202"/>
      <c r="R58" s="692" t="str">
        <f t="shared" si="8"/>
        <v/>
      </c>
    </row>
    <row r="60" spans="1:18" ht="15.6">
      <c r="A60" t="s">
        <v>405</v>
      </c>
      <c r="B60" s="222" t="s">
        <v>411</v>
      </c>
      <c r="C60" s="56"/>
      <c r="D60" s="56"/>
      <c r="E60" s="56"/>
      <c r="F60" s="56"/>
      <c r="G60" s="223">
        <v>2014</v>
      </c>
      <c r="H60" s="223">
        <f t="shared" ref="H60:Q60" si="9">+G60+1</f>
        <v>2015</v>
      </c>
      <c r="I60" s="223">
        <f t="shared" si="9"/>
        <v>2016</v>
      </c>
      <c r="J60" s="223">
        <f t="shared" si="9"/>
        <v>2017</v>
      </c>
      <c r="K60" s="223">
        <f t="shared" si="9"/>
        <v>2018</v>
      </c>
      <c r="L60" s="223">
        <f t="shared" si="9"/>
        <v>2019</v>
      </c>
      <c r="M60" s="223">
        <f t="shared" si="9"/>
        <v>2020</v>
      </c>
      <c r="N60" s="223">
        <f t="shared" si="9"/>
        <v>2021</v>
      </c>
      <c r="O60" s="223">
        <f t="shared" si="9"/>
        <v>2022</v>
      </c>
      <c r="P60" s="223">
        <f t="shared" si="9"/>
        <v>2023</v>
      </c>
      <c r="Q60" s="223">
        <f t="shared" si="9"/>
        <v>2024</v>
      </c>
      <c r="R60" s="58" t="str">
        <f>"CAGR "&amp;$G$4&amp;" - "&amp;$Q$4</f>
        <v>CAGR 2014 - 2024</v>
      </c>
    </row>
    <row r="61" spans="1:18" ht="3.75" customHeight="1">
      <c r="B61" s="53"/>
      <c r="C61" s="53"/>
      <c r="D61" s="53"/>
      <c r="E61" s="53"/>
      <c r="F61" s="53"/>
      <c r="G61" s="224"/>
      <c r="H61" s="224"/>
      <c r="I61" s="224"/>
      <c r="J61" s="224"/>
      <c r="K61" s="224"/>
      <c r="L61" s="224"/>
      <c r="M61" s="224"/>
      <c r="N61" s="224"/>
      <c r="O61" s="224"/>
      <c r="P61" s="224"/>
      <c r="Q61" s="224"/>
      <c r="R61" s="60"/>
    </row>
    <row r="62" spans="1:18">
      <c r="B62" t="str">
        <f>+$B$6</f>
        <v/>
      </c>
      <c r="G62" s="202"/>
      <c r="H62" s="202"/>
      <c r="I62" s="202"/>
      <c r="J62" s="202"/>
      <c r="K62" s="202"/>
      <c r="L62" s="202"/>
      <c r="M62" s="202"/>
      <c r="N62" s="202"/>
      <c r="O62" s="202"/>
      <c r="P62" s="202"/>
      <c r="Q62" s="202"/>
      <c r="R62" s="692" t="str">
        <f t="shared" ref="R62:R72" si="10">IFERROR((Q62/G62)^(1/COUNT($G$4:$Q$4))-1,"")</f>
        <v/>
      </c>
    </row>
    <row r="63" spans="1:18">
      <c r="B63" s="655" t="str">
        <f>+$B$7</f>
        <v/>
      </c>
      <c r="C63" s="655"/>
      <c r="D63" s="655"/>
      <c r="E63" s="655"/>
      <c r="F63" s="655"/>
      <c r="G63" s="656"/>
      <c r="H63" s="656"/>
      <c r="I63" s="656"/>
      <c r="J63" s="656"/>
      <c r="K63" s="656"/>
      <c r="L63" s="656"/>
      <c r="M63" s="656"/>
      <c r="N63" s="656"/>
      <c r="O63" s="656"/>
      <c r="P63" s="656"/>
      <c r="Q63" s="656"/>
      <c r="R63" s="693" t="str">
        <f t="shared" si="10"/>
        <v/>
      </c>
    </row>
    <row r="64" spans="1:18">
      <c r="B64" t="str">
        <f>+$B$8</f>
        <v/>
      </c>
      <c r="G64" s="654"/>
      <c r="H64" s="202"/>
      <c r="I64" s="202"/>
      <c r="J64" s="202"/>
      <c r="K64" s="202"/>
      <c r="L64" s="202"/>
      <c r="M64" s="202"/>
      <c r="N64" s="202"/>
      <c r="O64" s="202"/>
      <c r="P64" s="202"/>
      <c r="Q64" s="202"/>
      <c r="R64" s="692" t="str">
        <f t="shared" si="10"/>
        <v/>
      </c>
    </row>
    <row r="65" spans="1:18">
      <c r="B65" s="655" t="str">
        <f>+$B$9</f>
        <v/>
      </c>
      <c r="C65" s="655"/>
      <c r="D65" s="655"/>
      <c r="E65" s="655"/>
      <c r="F65" s="655"/>
      <c r="G65" s="656"/>
      <c r="H65" s="656"/>
      <c r="I65" s="656"/>
      <c r="J65" s="656"/>
      <c r="K65" s="656"/>
      <c r="L65" s="656"/>
      <c r="M65" s="655"/>
      <c r="N65" s="655"/>
      <c r="O65" s="655"/>
      <c r="P65" s="655"/>
      <c r="Q65" s="655"/>
      <c r="R65" s="693" t="str">
        <f t="shared" si="10"/>
        <v/>
      </c>
    </row>
    <row r="66" spans="1:18">
      <c r="B66" t="str">
        <f>+$B$10</f>
        <v/>
      </c>
      <c r="G66" s="202"/>
      <c r="H66" s="202"/>
      <c r="I66" s="202"/>
      <c r="J66" s="202"/>
      <c r="K66" s="202"/>
      <c r="L66" s="202"/>
      <c r="M66" s="202"/>
      <c r="N66" s="202"/>
      <c r="O66" s="202"/>
      <c r="P66" s="202"/>
      <c r="Q66" s="202"/>
      <c r="R66" s="692" t="str">
        <f t="shared" si="10"/>
        <v/>
      </c>
    </row>
    <row r="67" spans="1:18">
      <c r="B67" s="655" t="str">
        <f>+$B$11</f>
        <v/>
      </c>
      <c r="C67" s="655"/>
      <c r="D67" s="655"/>
      <c r="E67" s="655"/>
      <c r="F67" s="655"/>
      <c r="G67" s="656"/>
      <c r="H67" s="656"/>
      <c r="I67" s="656"/>
      <c r="J67" s="656"/>
      <c r="K67" s="656"/>
      <c r="L67" s="656"/>
      <c r="M67" s="656"/>
      <c r="N67" s="656"/>
      <c r="O67" s="656"/>
      <c r="P67" s="656"/>
      <c r="Q67" s="656"/>
      <c r="R67" s="693" t="str">
        <f t="shared" si="10"/>
        <v/>
      </c>
    </row>
    <row r="68" spans="1:18">
      <c r="B68" t="str">
        <f>+$B$12</f>
        <v/>
      </c>
      <c r="G68" s="202"/>
      <c r="H68" s="202"/>
      <c r="I68" s="202"/>
      <c r="J68" s="202"/>
      <c r="K68" s="202"/>
      <c r="L68" s="202"/>
      <c r="M68" s="202"/>
      <c r="N68" s="202"/>
      <c r="O68" s="202"/>
      <c r="P68" s="202"/>
      <c r="Q68" s="202"/>
      <c r="R68" s="692" t="str">
        <f t="shared" si="10"/>
        <v/>
      </c>
    </row>
    <row r="69" spans="1:18">
      <c r="B69" s="655" t="str">
        <f>+$B$13</f>
        <v/>
      </c>
      <c r="C69" s="655"/>
      <c r="D69" s="655"/>
      <c r="E69" s="655"/>
      <c r="F69" s="655"/>
      <c r="G69" s="656"/>
      <c r="H69" s="656"/>
      <c r="I69" s="656"/>
      <c r="J69" s="656"/>
      <c r="K69" s="656"/>
      <c r="L69" s="656"/>
      <c r="M69" s="656"/>
      <c r="N69" s="656"/>
      <c r="O69" s="656"/>
      <c r="P69" s="656"/>
      <c r="Q69" s="656"/>
      <c r="R69" s="693" t="str">
        <f t="shared" si="10"/>
        <v/>
      </c>
    </row>
    <row r="70" spans="1:18">
      <c r="B70" t="str">
        <f>+$B$14</f>
        <v/>
      </c>
      <c r="G70" s="202"/>
      <c r="H70" s="202"/>
      <c r="I70" s="202"/>
      <c r="J70" s="202"/>
      <c r="K70" s="202"/>
      <c r="L70" s="202"/>
      <c r="M70" s="202"/>
      <c r="N70" s="202"/>
      <c r="O70" s="202"/>
      <c r="P70" s="202"/>
      <c r="Q70" s="202"/>
      <c r="R70" s="692" t="str">
        <f t="shared" si="10"/>
        <v/>
      </c>
    </row>
    <row r="71" spans="1:18">
      <c r="B71" s="655" t="str">
        <f>+$B$15</f>
        <v/>
      </c>
      <c r="C71" s="655"/>
      <c r="D71" s="655"/>
      <c r="E71" s="655"/>
      <c r="F71" s="655"/>
      <c r="G71" s="656"/>
      <c r="H71" s="656"/>
      <c r="I71" s="656"/>
      <c r="J71" s="656"/>
      <c r="K71" s="656"/>
      <c r="L71" s="656"/>
      <c r="M71" s="656"/>
      <c r="N71" s="656"/>
      <c r="O71" s="656"/>
      <c r="P71" s="656"/>
      <c r="Q71" s="656"/>
      <c r="R71" s="693" t="str">
        <f t="shared" si="10"/>
        <v/>
      </c>
    </row>
    <row r="72" spans="1:18">
      <c r="B72" t="str">
        <f>+$B$16</f>
        <v/>
      </c>
      <c r="G72" s="202"/>
      <c r="H72" s="202"/>
      <c r="I72" s="202"/>
      <c r="J72" s="202"/>
      <c r="K72" s="202"/>
      <c r="L72" s="202"/>
      <c r="M72" s="202"/>
      <c r="N72" s="202"/>
      <c r="O72" s="202"/>
      <c r="P72" s="202"/>
      <c r="Q72" s="202"/>
      <c r="R72" s="692" t="str">
        <f t="shared" si="10"/>
        <v/>
      </c>
    </row>
    <row r="73" spans="1:18">
      <c r="G73" s="202"/>
      <c r="H73" s="202"/>
      <c r="I73" s="202"/>
      <c r="J73" s="202"/>
      <c r="K73" s="202"/>
      <c r="L73" s="202"/>
      <c r="M73" s="202"/>
      <c r="N73" s="202"/>
      <c r="O73" s="202"/>
      <c r="P73" s="202"/>
      <c r="Q73" s="202"/>
    </row>
    <row r="74" spans="1:18" ht="15.6">
      <c r="A74" t="s">
        <v>405</v>
      </c>
      <c r="B74" s="222" t="s">
        <v>412</v>
      </c>
      <c r="C74" s="56"/>
      <c r="D74" s="56"/>
      <c r="E74" s="56"/>
      <c r="F74" s="56"/>
      <c r="G74" s="223">
        <v>2014</v>
      </c>
      <c r="H74" s="223">
        <f t="shared" ref="H74" si="11">+G74+1</f>
        <v>2015</v>
      </c>
      <c r="I74" s="223">
        <f t="shared" ref="I74" si="12">+H74+1</f>
        <v>2016</v>
      </c>
      <c r="J74" s="223">
        <f t="shared" ref="J74" si="13">+I74+1</f>
        <v>2017</v>
      </c>
      <c r="K74" s="223">
        <f t="shared" ref="K74" si="14">+J74+1</f>
        <v>2018</v>
      </c>
      <c r="L74" s="223">
        <f t="shared" ref="L74" si="15">+K74+1</f>
        <v>2019</v>
      </c>
      <c r="M74" s="223">
        <f t="shared" ref="M74" si="16">+L74+1</f>
        <v>2020</v>
      </c>
      <c r="N74" s="223">
        <f t="shared" ref="N74" si="17">+M74+1</f>
        <v>2021</v>
      </c>
      <c r="O74" s="223">
        <f t="shared" ref="O74" si="18">+N74+1</f>
        <v>2022</v>
      </c>
      <c r="P74" s="223">
        <f t="shared" ref="P74" si="19">+O74+1</f>
        <v>2023</v>
      </c>
      <c r="Q74" s="223">
        <f t="shared" ref="Q74" si="20">+P74+1</f>
        <v>2024</v>
      </c>
      <c r="R74" s="58" t="str">
        <f>"CAGR "&amp;$G$4&amp;" - "&amp;$Q$4</f>
        <v>CAGR 2014 - 2024</v>
      </c>
    </row>
    <row r="75" spans="1:18" ht="3.95" customHeight="1">
      <c r="B75" s="53"/>
      <c r="C75" s="53"/>
      <c r="D75" s="53"/>
      <c r="E75" s="53"/>
      <c r="F75" s="53"/>
      <c r="G75" s="224"/>
      <c r="H75" s="224"/>
      <c r="I75" s="224"/>
      <c r="J75" s="224"/>
      <c r="K75" s="224"/>
      <c r="L75" s="224"/>
      <c r="M75" s="224"/>
      <c r="N75" s="224"/>
      <c r="O75" s="224"/>
      <c r="P75" s="224"/>
      <c r="Q75" s="224"/>
      <c r="R75" s="60"/>
    </row>
    <row r="76" spans="1:18">
      <c r="B76" t="str">
        <f>+$B$6</f>
        <v/>
      </c>
      <c r="G76" s="10" t="e">
        <f>+G6+G20</f>
        <v>#VALUE!</v>
      </c>
      <c r="H76" s="10" t="e">
        <f t="shared" ref="H76:Q76" si="21">+H6+H20</f>
        <v>#VALUE!</v>
      </c>
      <c r="I76" s="10">
        <f t="shared" si="21"/>
        <v>0</v>
      </c>
      <c r="J76" s="10">
        <f t="shared" si="21"/>
        <v>0</v>
      </c>
      <c r="K76" s="10">
        <f t="shared" si="21"/>
        <v>0</v>
      </c>
      <c r="L76" s="10">
        <f t="shared" si="21"/>
        <v>0</v>
      </c>
      <c r="M76" s="10">
        <f t="shared" si="21"/>
        <v>0</v>
      </c>
      <c r="N76" s="10">
        <f t="shared" si="21"/>
        <v>0</v>
      </c>
      <c r="O76" s="10">
        <f t="shared" si="21"/>
        <v>0</v>
      </c>
      <c r="P76" s="10">
        <f t="shared" si="21"/>
        <v>0</v>
      </c>
      <c r="Q76" s="10">
        <f t="shared" si="21"/>
        <v>0</v>
      </c>
      <c r="R76" s="692" t="str">
        <f t="shared" ref="R76:R86" si="22">IFERROR((Q76/G76)^(1/COUNT($G$4:$Q$4))-1,"")</f>
        <v/>
      </c>
    </row>
    <row r="77" spans="1:18">
      <c r="B77" s="655" t="str">
        <f>+$B$7</f>
        <v/>
      </c>
      <c r="C77" s="655"/>
      <c r="D77" s="655"/>
      <c r="E77" s="655"/>
      <c r="F77" s="655"/>
      <c r="G77" s="690">
        <f t="shared" ref="G77:Q77" si="23">+G7+G21</f>
        <v>0</v>
      </c>
      <c r="H77" s="690">
        <f t="shared" si="23"/>
        <v>0</v>
      </c>
      <c r="I77" s="690">
        <f t="shared" si="23"/>
        <v>0</v>
      </c>
      <c r="J77" s="690">
        <f t="shared" si="23"/>
        <v>0</v>
      </c>
      <c r="K77" s="690">
        <f t="shared" si="23"/>
        <v>0</v>
      </c>
      <c r="L77" s="690">
        <f t="shared" si="23"/>
        <v>0</v>
      </c>
      <c r="M77" s="690">
        <f t="shared" si="23"/>
        <v>0</v>
      </c>
      <c r="N77" s="690">
        <f t="shared" si="23"/>
        <v>0</v>
      </c>
      <c r="O77" s="690">
        <f t="shared" si="23"/>
        <v>0</v>
      </c>
      <c r="P77" s="690">
        <f t="shared" si="23"/>
        <v>0</v>
      </c>
      <c r="Q77" s="690">
        <f t="shared" si="23"/>
        <v>0</v>
      </c>
      <c r="R77" s="693" t="str">
        <f t="shared" si="22"/>
        <v/>
      </c>
    </row>
    <row r="78" spans="1:18">
      <c r="B78" t="str">
        <f>+$B$8</f>
        <v/>
      </c>
      <c r="G78" s="756">
        <f t="shared" ref="G78:Q78" si="24">+G8+G22</f>
        <v>0</v>
      </c>
      <c r="H78" s="10">
        <f t="shared" si="24"/>
        <v>0</v>
      </c>
      <c r="I78" s="10">
        <f t="shared" si="24"/>
        <v>0</v>
      </c>
      <c r="J78" s="10">
        <f t="shared" si="24"/>
        <v>0</v>
      </c>
      <c r="K78" s="10">
        <f t="shared" si="24"/>
        <v>0</v>
      </c>
      <c r="L78" s="10">
        <f t="shared" si="24"/>
        <v>0</v>
      </c>
      <c r="M78" s="10">
        <f t="shared" si="24"/>
        <v>0</v>
      </c>
      <c r="N78" s="10">
        <f t="shared" si="24"/>
        <v>0</v>
      </c>
      <c r="O78" s="10">
        <f t="shared" si="24"/>
        <v>0</v>
      </c>
      <c r="P78" s="10">
        <f t="shared" si="24"/>
        <v>0</v>
      </c>
      <c r="Q78" s="10">
        <f t="shared" si="24"/>
        <v>0</v>
      </c>
      <c r="R78" s="692" t="str">
        <f t="shared" si="22"/>
        <v/>
      </c>
    </row>
    <row r="79" spans="1:18">
      <c r="B79" s="655" t="str">
        <f>+$B$9</f>
        <v/>
      </c>
      <c r="C79" s="655"/>
      <c r="D79" s="655"/>
      <c r="E79" s="655"/>
      <c r="F79" s="655"/>
      <c r="G79" s="690">
        <f t="shared" ref="G79:Q79" si="25">+G9+G23</f>
        <v>0</v>
      </c>
      <c r="H79" s="690">
        <f t="shared" si="25"/>
        <v>0</v>
      </c>
      <c r="I79" s="690">
        <f t="shared" si="25"/>
        <v>0</v>
      </c>
      <c r="J79" s="690">
        <f t="shared" si="25"/>
        <v>0</v>
      </c>
      <c r="K79" s="690">
        <f t="shared" si="25"/>
        <v>0</v>
      </c>
      <c r="L79" s="690">
        <f t="shared" si="25"/>
        <v>0</v>
      </c>
      <c r="M79" s="690">
        <f t="shared" si="25"/>
        <v>0</v>
      </c>
      <c r="N79" s="690">
        <f t="shared" si="25"/>
        <v>0</v>
      </c>
      <c r="O79" s="690">
        <f t="shared" si="25"/>
        <v>0</v>
      </c>
      <c r="P79" s="690">
        <f t="shared" si="25"/>
        <v>0</v>
      </c>
      <c r="Q79" s="690">
        <f t="shared" si="25"/>
        <v>0</v>
      </c>
      <c r="R79" s="693" t="str">
        <f t="shared" si="22"/>
        <v/>
      </c>
    </row>
    <row r="80" spans="1:18">
      <c r="B80" t="str">
        <f>+$B$10</f>
        <v/>
      </c>
      <c r="G80" s="10">
        <f t="shared" ref="G80:Q80" si="26">+G10+G24</f>
        <v>0</v>
      </c>
      <c r="H80" s="10">
        <f t="shared" si="26"/>
        <v>0</v>
      </c>
      <c r="I80" s="10">
        <f t="shared" si="26"/>
        <v>0</v>
      </c>
      <c r="J80" s="10">
        <f t="shared" si="26"/>
        <v>0</v>
      </c>
      <c r="K80" s="10">
        <f t="shared" si="26"/>
        <v>0</v>
      </c>
      <c r="L80" s="10">
        <f t="shared" si="26"/>
        <v>0</v>
      </c>
      <c r="M80" s="10">
        <f t="shared" si="26"/>
        <v>0</v>
      </c>
      <c r="N80" s="10">
        <f t="shared" si="26"/>
        <v>0</v>
      </c>
      <c r="O80" s="10">
        <f t="shared" si="26"/>
        <v>0</v>
      </c>
      <c r="P80" s="10">
        <f t="shared" si="26"/>
        <v>0</v>
      </c>
      <c r="Q80" s="10">
        <f t="shared" si="26"/>
        <v>0</v>
      </c>
      <c r="R80" s="692" t="str">
        <f t="shared" si="22"/>
        <v/>
      </c>
    </row>
    <row r="81" spans="2:18">
      <c r="B81" s="655" t="str">
        <f>+$B$11</f>
        <v/>
      </c>
      <c r="C81" s="655"/>
      <c r="D81" s="655"/>
      <c r="E81" s="655"/>
      <c r="F81" s="655"/>
      <c r="G81" s="690">
        <f t="shared" ref="G81:Q81" si="27">+G11+G25</f>
        <v>0</v>
      </c>
      <c r="H81" s="690">
        <f t="shared" si="27"/>
        <v>0</v>
      </c>
      <c r="I81" s="690">
        <f t="shared" si="27"/>
        <v>0</v>
      </c>
      <c r="J81" s="690">
        <f t="shared" si="27"/>
        <v>0</v>
      </c>
      <c r="K81" s="690">
        <f t="shared" si="27"/>
        <v>0</v>
      </c>
      <c r="L81" s="690">
        <f t="shared" si="27"/>
        <v>0</v>
      </c>
      <c r="M81" s="690">
        <f t="shared" si="27"/>
        <v>0</v>
      </c>
      <c r="N81" s="690">
        <f t="shared" si="27"/>
        <v>0</v>
      </c>
      <c r="O81" s="690">
        <f t="shared" si="27"/>
        <v>0</v>
      </c>
      <c r="P81" s="690">
        <f t="shared" si="27"/>
        <v>0</v>
      </c>
      <c r="Q81" s="690">
        <f t="shared" si="27"/>
        <v>0</v>
      </c>
      <c r="R81" s="693" t="str">
        <f t="shared" si="22"/>
        <v/>
      </c>
    </row>
    <row r="82" spans="2:18">
      <c r="B82" t="str">
        <f>+$B$12</f>
        <v/>
      </c>
      <c r="G82" s="10">
        <f t="shared" ref="G82:Q82" si="28">+G12+G26</f>
        <v>0</v>
      </c>
      <c r="H82" s="10">
        <f t="shared" si="28"/>
        <v>0</v>
      </c>
      <c r="I82" s="10">
        <f t="shared" si="28"/>
        <v>0</v>
      </c>
      <c r="J82" s="10">
        <f t="shared" si="28"/>
        <v>0</v>
      </c>
      <c r="K82" s="10">
        <f t="shared" si="28"/>
        <v>0</v>
      </c>
      <c r="L82" s="10">
        <f t="shared" si="28"/>
        <v>0</v>
      </c>
      <c r="M82" s="10">
        <f t="shared" si="28"/>
        <v>0</v>
      </c>
      <c r="N82" s="10">
        <f t="shared" si="28"/>
        <v>0</v>
      </c>
      <c r="O82" s="10">
        <f t="shared" si="28"/>
        <v>0</v>
      </c>
      <c r="P82" s="10">
        <f t="shared" si="28"/>
        <v>0</v>
      </c>
      <c r="Q82" s="10">
        <f t="shared" si="28"/>
        <v>0</v>
      </c>
      <c r="R82" s="692" t="str">
        <f t="shared" si="22"/>
        <v/>
      </c>
    </row>
    <row r="83" spans="2:18">
      <c r="B83" s="655" t="str">
        <f>+$B$13</f>
        <v/>
      </c>
      <c r="C83" s="655"/>
      <c r="D83" s="655"/>
      <c r="E83" s="655"/>
      <c r="F83" s="655"/>
      <c r="G83" s="690">
        <f t="shared" ref="G83:Q83" si="29">+G13+G27</f>
        <v>0</v>
      </c>
      <c r="H83" s="690">
        <f t="shared" si="29"/>
        <v>0</v>
      </c>
      <c r="I83" s="690">
        <f t="shared" si="29"/>
        <v>0</v>
      </c>
      <c r="J83" s="690">
        <f t="shared" si="29"/>
        <v>0</v>
      </c>
      <c r="K83" s="690">
        <f t="shared" si="29"/>
        <v>0</v>
      </c>
      <c r="L83" s="690">
        <f t="shared" si="29"/>
        <v>0</v>
      </c>
      <c r="M83" s="690">
        <f t="shared" si="29"/>
        <v>0</v>
      </c>
      <c r="N83" s="690">
        <f t="shared" si="29"/>
        <v>0</v>
      </c>
      <c r="O83" s="690">
        <f t="shared" si="29"/>
        <v>0</v>
      </c>
      <c r="P83" s="690">
        <f t="shared" si="29"/>
        <v>0</v>
      </c>
      <c r="Q83" s="690">
        <f t="shared" si="29"/>
        <v>0</v>
      </c>
      <c r="R83" s="693" t="str">
        <f t="shared" si="22"/>
        <v/>
      </c>
    </row>
    <row r="84" spans="2:18">
      <c r="B84" t="str">
        <f>+$B$14</f>
        <v/>
      </c>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692" t="str">
        <f t="shared" si="22"/>
        <v/>
      </c>
    </row>
    <row r="85" spans="2:18">
      <c r="B85" s="655" t="str">
        <f>+$B$15</f>
        <v/>
      </c>
      <c r="C85" s="655"/>
      <c r="D85" s="655"/>
      <c r="E85" s="655"/>
      <c r="F85" s="655"/>
      <c r="G85" s="690">
        <f t="shared" ref="G85:Q85" si="31">+G15+G29</f>
        <v>0</v>
      </c>
      <c r="H85" s="690">
        <f t="shared" si="31"/>
        <v>0</v>
      </c>
      <c r="I85" s="690">
        <f t="shared" si="31"/>
        <v>0</v>
      </c>
      <c r="J85" s="690">
        <f t="shared" si="31"/>
        <v>0</v>
      </c>
      <c r="K85" s="690">
        <f t="shared" si="31"/>
        <v>0</v>
      </c>
      <c r="L85" s="690">
        <f t="shared" si="31"/>
        <v>0</v>
      </c>
      <c r="M85" s="690">
        <f t="shared" si="31"/>
        <v>0</v>
      </c>
      <c r="N85" s="690">
        <f t="shared" si="31"/>
        <v>0</v>
      </c>
      <c r="O85" s="690">
        <f t="shared" si="31"/>
        <v>0</v>
      </c>
      <c r="P85" s="690">
        <f t="shared" si="31"/>
        <v>0</v>
      </c>
      <c r="Q85" s="690">
        <f t="shared" si="31"/>
        <v>0</v>
      </c>
      <c r="R85" s="693" t="str">
        <f t="shared" si="22"/>
        <v/>
      </c>
    </row>
    <row r="86" spans="2:18">
      <c r="B86" t="str">
        <f>+$B$16</f>
        <v/>
      </c>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692" t="str">
        <f t="shared" si="22"/>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21EF-8CF4-480D-AA97-1CD708CBD85B}">
  <sheetPr>
    <tabColor theme="8" tint="-0.499984740745262"/>
  </sheetPr>
  <dimension ref="A2:BD1771"/>
  <sheetViews>
    <sheetView showGridLines="0" topLeftCell="B21" zoomScale="41" zoomScaleNormal="81" workbookViewId="0">
      <selection activeCell="R31" sqref="R31"/>
    </sheetView>
  </sheetViews>
  <sheetFormatPr defaultColWidth="9" defaultRowHeight="15" customHeight="1"/>
  <cols>
    <col min="1" max="1" width="2.375" style="130" customWidth="1"/>
    <col min="2" max="2" width="45" style="130" customWidth="1"/>
    <col min="3" max="3" width="14" style="130" customWidth="1"/>
    <col min="4" max="4" width="3.5" style="130" customWidth="1"/>
    <col min="5" max="7" width="13.375" style="130" customWidth="1"/>
    <col min="8" max="17" width="12.875" style="130" customWidth="1"/>
    <col min="18" max="18" width="11.75" style="130" customWidth="1"/>
    <col min="19" max="26" width="13.75" style="130" customWidth="1"/>
    <col min="27" max="27" width="11.625" style="130" customWidth="1"/>
    <col min="28" max="28" width="32.125" style="130" hidden="1" customWidth="1"/>
    <col min="29" max="29" width="11.125" style="130" hidden="1" customWidth="1"/>
    <col min="30" max="41" width="9" style="130" hidden="1" customWidth="1"/>
    <col min="42" max="42" width="9.125" style="130" hidden="1" customWidth="1"/>
    <col min="43" max="44" width="9" style="130" customWidth="1"/>
    <col min="45" max="45" width="8.625" style="130" customWidth="1"/>
    <col min="46" max="46" width="2.625" style="130" customWidth="1"/>
    <col min="47" max="16384" width="9" style="130"/>
  </cols>
  <sheetData>
    <row r="2" spans="1:45" s="41" customFormat="1" ht="20.100000000000001" customHeight="1">
      <c r="B2" s="40" t="s">
        <v>413</v>
      </c>
    </row>
    <row r="4" spans="1:45" ht="15.6">
      <c r="A4" s="130" t="s">
        <v>405</v>
      </c>
      <c r="B4" s="52" t="s">
        <v>414</v>
      </c>
      <c r="C4" s="56"/>
      <c r="D4" s="56"/>
      <c r="E4" s="56"/>
      <c r="F4" s="56"/>
      <c r="G4" s="56"/>
      <c r="H4" s="56"/>
      <c r="I4" s="56"/>
      <c r="J4" s="56"/>
      <c r="K4" s="56"/>
      <c r="L4" s="56"/>
      <c r="M4" s="56"/>
      <c r="N4" s="56"/>
      <c r="O4" s="56"/>
      <c r="P4" s="56"/>
      <c r="Q4" s="56"/>
      <c r="R4" s="130" t="e" vm="4">
        <v>#VALUE!</v>
      </c>
      <c r="S4" s="396"/>
      <c r="T4" s="396"/>
      <c r="U4" s="396"/>
      <c r="V4" s="396"/>
      <c r="W4" s="396"/>
      <c r="X4" s="396"/>
      <c r="Y4" s="396"/>
      <c r="Z4" s="396"/>
      <c r="AA4" s="131"/>
      <c r="AB4" s="131"/>
    </row>
    <row r="5" spans="1:45" ht="3.95" customHeight="1">
      <c r="B5" s="132"/>
      <c r="C5" s="133"/>
      <c r="D5" s="133"/>
      <c r="E5" s="133"/>
      <c r="F5" s="133"/>
      <c r="G5" s="133"/>
      <c r="H5" s="133"/>
      <c r="I5" s="133"/>
      <c r="J5" s="133"/>
      <c r="K5" s="133"/>
      <c r="L5" s="133"/>
      <c r="M5" s="133"/>
      <c r="N5" s="133"/>
      <c r="O5" s="133"/>
      <c r="P5" s="133"/>
      <c r="Q5" s="133"/>
      <c r="S5" s="131"/>
      <c r="T5" s="131"/>
      <c r="U5" s="131"/>
      <c r="V5" s="131"/>
      <c r="W5" s="131"/>
      <c r="X5" s="131"/>
      <c r="Y5" s="131"/>
      <c r="Z5" s="131"/>
      <c r="AA5" s="131"/>
      <c r="AB5" s="131"/>
    </row>
    <row r="6" spans="1:45" ht="15.6">
      <c r="B6" s="134" t="s">
        <v>415</v>
      </c>
      <c r="C6" s="135"/>
      <c r="D6" s="135"/>
      <c r="E6" s="134" t="s">
        <v>416</v>
      </c>
      <c r="F6" s="135"/>
      <c r="G6" s="135"/>
      <c r="H6" s="134" t="s">
        <v>417</v>
      </c>
      <c r="J6" s="135"/>
      <c r="K6" s="134" t="s">
        <v>418</v>
      </c>
      <c r="L6" s="135"/>
      <c r="P6" s="135"/>
      <c r="Q6" s="135"/>
      <c r="AE6" s="130" t="s">
        <v>26</v>
      </c>
      <c r="AF6" s="130" t="s">
        <v>419</v>
      </c>
      <c r="AG6" s="130" t="s">
        <v>420</v>
      </c>
      <c r="AH6" s="130" t="s">
        <v>421</v>
      </c>
      <c r="AI6" s="130" t="s">
        <v>422</v>
      </c>
      <c r="AJ6" s="130" t="s">
        <v>318</v>
      </c>
      <c r="AK6" s="130" t="s">
        <v>423</v>
      </c>
      <c r="AL6" s="130" t="s">
        <v>309</v>
      </c>
      <c r="AM6" s="130" t="s">
        <v>424</v>
      </c>
      <c r="AN6" s="130" t="s">
        <v>314</v>
      </c>
      <c r="AO6" s="130" t="s">
        <v>311</v>
      </c>
      <c r="AP6" s="130" t="s">
        <v>307</v>
      </c>
    </row>
    <row r="7" spans="1:45" ht="15.6">
      <c r="B7" s="135" t="s">
        <v>232</v>
      </c>
      <c r="C7" s="607">
        <v>2</v>
      </c>
      <c r="D7" s="135"/>
      <c r="E7" s="130" t="s">
        <v>232</v>
      </c>
      <c r="F7" s="611">
        <v>-0.02</v>
      </c>
      <c r="H7" s="130" t="s">
        <v>232</v>
      </c>
      <c r="K7" s="130" t="s">
        <v>232</v>
      </c>
      <c r="L7" s="611">
        <v>0.02</v>
      </c>
      <c r="P7" s="135"/>
      <c r="AA7" s="346"/>
      <c r="AD7" s="130">
        <v>2022</v>
      </c>
      <c r="AE7" s="171">
        <f>+E190</f>
        <v>-167.50668599594084</v>
      </c>
      <c r="AF7" s="171">
        <f>+E242</f>
        <v>-77.839999999999989</v>
      </c>
      <c r="AG7" s="171">
        <f ca="1">+H214</f>
        <v>0</v>
      </c>
      <c r="AH7" s="171">
        <f>+E255</f>
        <v>3.9</v>
      </c>
      <c r="AI7" s="171">
        <f>+E180</f>
        <v>-108.83668599594084</v>
      </c>
      <c r="AJ7" s="210">
        <f>+E240</f>
        <v>87.3</v>
      </c>
      <c r="AK7" s="171">
        <f>+E85</f>
        <v>471.8</v>
      </c>
      <c r="AO7" s="171"/>
    </row>
    <row r="8" spans="1:45" ht="15.6">
      <c r="B8" s="135" t="s">
        <v>425</v>
      </c>
      <c r="C8" s="607">
        <v>2</v>
      </c>
      <c r="D8" s="135"/>
      <c r="E8" s="130" t="s">
        <v>425</v>
      </c>
      <c r="F8" s="611">
        <v>-0.01</v>
      </c>
      <c r="H8" s="130" t="s">
        <v>425</v>
      </c>
      <c r="K8" s="130" t="s">
        <v>425</v>
      </c>
      <c r="L8" s="611">
        <v>0.01</v>
      </c>
      <c r="P8" s="135"/>
      <c r="AA8" s="347"/>
      <c r="AD8" s="130">
        <f t="shared" ref="AD8:AD14" si="0">+AD7+1</f>
        <v>2023</v>
      </c>
      <c r="AE8" s="171">
        <f>+F190</f>
        <v>-147.67541528239204</v>
      </c>
      <c r="AF8" s="171">
        <f>+F242</f>
        <v>-58.599999999999994</v>
      </c>
      <c r="AG8" s="171">
        <f ca="1">+I214</f>
        <v>0</v>
      </c>
      <c r="AH8" s="171">
        <f>+F255</f>
        <v>2.4</v>
      </c>
      <c r="AI8" s="171">
        <f>+F180</f>
        <v>-153.17541528239204</v>
      </c>
      <c r="AJ8" s="210">
        <f>+F240</f>
        <v>90.1</v>
      </c>
      <c r="AK8" s="171">
        <f>+F85</f>
        <v>244.8</v>
      </c>
    </row>
    <row r="9" spans="1:45" ht="15.6">
      <c r="B9" s="135" t="s">
        <v>426</v>
      </c>
      <c r="C9" s="607">
        <v>2</v>
      </c>
      <c r="D9" s="135"/>
      <c r="E9" s="135" t="s">
        <v>426</v>
      </c>
      <c r="F9" s="609">
        <f ca="1">IFERROR(+I9+0.5%,"")</f>
        <v>0.13501781598809312</v>
      </c>
      <c r="H9" s="135" t="s">
        <v>426</v>
      </c>
      <c r="I9" s="610">
        <f ca="1">WACC!G26</f>
        <v>0.13001781598809312</v>
      </c>
      <c r="J9" s="135"/>
      <c r="K9" s="135" t="s">
        <v>426</v>
      </c>
      <c r="L9" s="612">
        <f ca="1">IFERROR(I9-0.5%,"")</f>
        <v>0.12501781598809311</v>
      </c>
      <c r="M9" s="135"/>
      <c r="P9" s="135"/>
      <c r="Q9" s="135"/>
      <c r="AA9" s="347"/>
      <c r="AD9" s="130">
        <f t="shared" si="0"/>
        <v>2024</v>
      </c>
      <c r="AE9" s="171">
        <f>+G190</f>
        <v>-78.861600747015288</v>
      </c>
      <c r="AF9" s="171">
        <f>+G242</f>
        <v>19.739999999999995</v>
      </c>
      <c r="AG9" s="171">
        <f ca="1">+J214</f>
        <v>0</v>
      </c>
      <c r="AH9" s="171">
        <f>+G255</f>
        <v>-26.1</v>
      </c>
      <c r="AI9" s="171">
        <f>+G180</f>
        <v>-151.03160074701529</v>
      </c>
      <c r="AJ9" s="210">
        <f>+G240</f>
        <v>98.300000000000011</v>
      </c>
      <c r="AK9" s="171">
        <f>+G85</f>
        <v>418.9</v>
      </c>
      <c r="AL9" s="210">
        <f>Inputs!Q48</f>
        <v>1184.3</v>
      </c>
      <c r="AM9" s="210">
        <f>+Inputs!Q60</f>
        <v>801.9</v>
      </c>
      <c r="AN9" s="210">
        <f>+AL9-AM9</f>
        <v>382.4</v>
      </c>
      <c r="AO9" s="210">
        <f>+Inputs!Q54</f>
        <v>339.5</v>
      </c>
      <c r="AP9" s="210">
        <f>+Inputs!Q38</f>
        <v>692.6</v>
      </c>
    </row>
    <row r="10" spans="1:45" ht="15.6">
      <c r="B10" s="135" t="s">
        <v>427</v>
      </c>
      <c r="C10" s="607">
        <v>2</v>
      </c>
      <c r="D10" s="135"/>
      <c r="E10" s="135" t="s">
        <v>427</v>
      </c>
      <c r="F10" s="841">
        <f>+I10-1</f>
        <v>16.02</v>
      </c>
      <c r="H10" s="135" t="s">
        <v>427</v>
      </c>
      <c r="I10" s="840">
        <v>17.02</v>
      </c>
      <c r="J10" s="135"/>
      <c r="K10" s="135" t="s">
        <v>427</v>
      </c>
      <c r="L10" s="841">
        <f>+I10+1</f>
        <v>18.02</v>
      </c>
      <c r="M10" s="135"/>
      <c r="P10" s="135"/>
      <c r="AA10" s="347"/>
      <c r="AD10" s="130">
        <f t="shared" si="0"/>
        <v>2025</v>
      </c>
      <c r="AE10" s="171">
        <f ca="1">+H190</f>
        <v>-306.70190668859527</v>
      </c>
      <c r="AF10" s="171">
        <f>+H242</f>
        <v>-298.64750022192857</v>
      </c>
      <c r="AG10" s="171">
        <f ca="1">+K214</f>
        <v>0</v>
      </c>
      <c r="AH10" s="171">
        <f>+H255</f>
        <v>0</v>
      </c>
      <c r="AI10" s="171">
        <f ca="1">+H180</f>
        <v>-295.67184619091427</v>
      </c>
      <c r="AJ10" s="210">
        <f>+H240</f>
        <v>0</v>
      </c>
      <c r="AK10" s="171">
        <f>+H85</f>
        <v>-348.54246775526201</v>
      </c>
      <c r="AL10" s="210">
        <f>Inputs!Q48+DCF!H85+DCF!H87+DCF!H90+DCF!H93+DCF!H96+DCF!H102-DCF!G85-DCF!G87-DCF!G90-DCF!G93-DCF!G96-DCF!G102</f>
        <v>459.44890934816539</v>
      </c>
      <c r="AM10" s="210">
        <f>+Inputs!Q60+(DCF!H107+DCF!H110+DCF!H113+DCF!H115*DCF!G107*DCF!G110*DCF!G113*DCF!G115)</f>
        <v>1085.1990761408717</v>
      </c>
      <c r="AN10" s="210">
        <f>+AL10-AM10</f>
        <v>-625.7501667927063</v>
      </c>
      <c r="AO10" s="171">
        <f>+AO9+H107+H110-G107-G110</f>
        <v>301.49907614087175</v>
      </c>
      <c r="AP10" s="171">
        <f>+H85+H87+H90+H93</f>
        <v>-75.875410943161384</v>
      </c>
    </row>
    <row r="11" spans="1:45" ht="9.9499999999999993" customHeight="1">
      <c r="B11" s="135"/>
      <c r="C11" s="135"/>
      <c r="D11" s="135"/>
      <c r="E11" s="135"/>
      <c r="G11" s="135"/>
      <c r="K11" s="135"/>
      <c r="M11" s="135"/>
      <c r="P11" s="135"/>
      <c r="AD11" s="130">
        <f t="shared" si="0"/>
        <v>2026</v>
      </c>
      <c r="AE11" s="171">
        <f ca="1">+I190</f>
        <v>-288.01252915382088</v>
      </c>
      <c r="AF11" s="171">
        <f>+I242</f>
        <v>16.392412835095627</v>
      </c>
      <c r="AG11" s="171">
        <f ca="1">+L214</f>
        <v>0</v>
      </c>
      <c r="AH11" s="171">
        <f>+I255</f>
        <v>0</v>
      </c>
      <c r="AI11" s="171">
        <f ca="1">+I180</f>
        <v>-318.8602912959924</v>
      </c>
      <c r="AJ11" s="210">
        <f>+I240</f>
        <v>298.64750022192857</v>
      </c>
      <c r="AK11" s="171">
        <f>+I85</f>
        <v>-819.64739434101875</v>
      </c>
      <c r="AL11" s="210">
        <f>AL10+DCF!I85+DCF!I87+DCF!I90+DCF!I93+DCF!I96+DCF!I102-DCF!H85-DCF!H87-DCF!H90-DCF!H93-DCF!H96-DCF!H102</f>
        <v>42.104111051669065</v>
      </c>
      <c r="AM11" s="210">
        <f>AM10+(DCF!I107+DCF!I110+DCF!I113+DCF!I115*DCF!H107*DCF!H110*DCF!H113*DCF!H115)</f>
        <v>1390.7159190607442</v>
      </c>
      <c r="AN11" s="210">
        <f>+AL11-AM11</f>
        <v>-1348.611808009075</v>
      </c>
      <c r="AO11" s="171">
        <f>+AO10+I107+I110-H107-H110</f>
        <v>323.71684291987253</v>
      </c>
      <c r="AP11" s="171">
        <f>+I85+I87+I90+I93</f>
        <v>-530.70872854328024</v>
      </c>
      <c r="AQ11" s="171"/>
    </row>
    <row r="12" spans="1:45" ht="13.5" customHeight="1">
      <c r="B12" s="135" t="s">
        <v>426</v>
      </c>
      <c r="C12" s="608">
        <f ca="1">CHOOSE(C9,F9,I9,L9)</f>
        <v>0.13001781598809312</v>
      </c>
      <c r="D12" s="135"/>
      <c r="E12" s="135"/>
      <c r="G12" s="135"/>
      <c r="K12" s="135"/>
      <c r="P12" s="135"/>
      <c r="S12" s="136"/>
      <c r="T12" s="136"/>
      <c r="U12" s="136"/>
      <c r="V12" s="136"/>
      <c r="W12" s="136"/>
      <c r="X12" s="136"/>
      <c r="Y12" s="136"/>
      <c r="Z12" s="136"/>
      <c r="AA12" s="137"/>
      <c r="AD12" s="130">
        <f t="shared" si="0"/>
        <v>2027</v>
      </c>
      <c r="AE12" s="171">
        <f ca="1">+J190</f>
        <v>-318.45397659158834</v>
      </c>
      <c r="AF12" s="171">
        <f>+J242</f>
        <v>-311.96306026570926</v>
      </c>
      <c r="AG12" s="171">
        <f ca="1">+M214</f>
        <v>0</v>
      </c>
      <c r="AH12" s="171">
        <f>+J255</f>
        <v>0</v>
      </c>
      <c r="AI12" s="171">
        <f ca="1">+J180</f>
        <v>-347.94913013259929</v>
      </c>
      <c r="AJ12" s="210">
        <f>+J240</f>
        <v>0</v>
      </c>
      <c r="AK12" s="171">
        <f>+J85</f>
        <v>-1760.1540541119439</v>
      </c>
    </row>
    <row r="13" spans="1:45" ht="15.6">
      <c r="B13" s="135" t="s">
        <v>428</v>
      </c>
      <c r="C13" s="842">
        <f>CHOOSE(C10,F10,I10,L10)</f>
        <v>17.02</v>
      </c>
      <c r="D13" s="135"/>
      <c r="E13" s="135"/>
      <c r="G13" s="138"/>
      <c r="H13" s="135"/>
      <c r="I13" s="135"/>
      <c r="J13" s="135"/>
      <c r="K13" s="135"/>
      <c r="L13" s="135"/>
      <c r="M13" s="135"/>
      <c r="O13" s="135"/>
      <c r="P13" s="135"/>
      <c r="Q13" s="135"/>
      <c r="R13" s="135"/>
      <c r="AD13" s="130">
        <f t="shared" si="0"/>
        <v>2028</v>
      </c>
      <c r="AE13" s="171">
        <f ca="1">+K190</f>
        <v>-371.94480947987523</v>
      </c>
      <c r="AF13" s="171">
        <f>+K242</f>
        <v>-52.745381925836</v>
      </c>
      <c r="AG13" s="171">
        <f ca="1">+N214</f>
        <v>0</v>
      </c>
      <c r="AH13" s="171">
        <f>+K255</f>
        <v>0</v>
      </c>
      <c r="AI13" s="171">
        <f ca="1">+K180</f>
        <v>-382.34105435442638</v>
      </c>
      <c r="AJ13" s="210">
        <f>+K240</f>
        <v>311.96306026570926</v>
      </c>
      <c r="AK13" s="171">
        <f>+K85</f>
        <v>-2377.7710168141193</v>
      </c>
    </row>
    <row r="14" spans="1:45" ht="15.6">
      <c r="B14" s="135"/>
      <c r="C14" s="139"/>
      <c r="D14" s="135"/>
      <c r="E14" s="140"/>
      <c r="F14" s="140"/>
      <c r="G14" s="140"/>
      <c r="H14" s="135"/>
      <c r="I14" s="135"/>
      <c r="J14" s="135"/>
      <c r="K14" s="135"/>
      <c r="L14" s="135"/>
      <c r="M14" s="135"/>
      <c r="O14" s="135"/>
      <c r="P14" s="135"/>
      <c r="Q14" s="135"/>
      <c r="R14" s="135"/>
      <c r="AD14" s="130">
        <f t="shared" si="0"/>
        <v>2029</v>
      </c>
      <c r="AE14" s="171">
        <f ca="1">+L190</f>
        <v>-400.10638998146993</v>
      </c>
      <c r="AF14" s="171">
        <f>+L242</f>
        <v>-340.41599379420506</v>
      </c>
      <c r="AG14" s="171">
        <f ca="1">+O214</f>
        <v>0</v>
      </c>
      <c r="AH14" s="171">
        <f>+L255</f>
        <v>0</v>
      </c>
      <c r="AI14" s="171">
        <f ca="1">+L180</f>
        <v>-417.59040853118614</v>
      </c>
      <c r="AJ14" s="210">
        <f>+L240</f>
        <v>52.745381925836</v>
      </c>
      <c r="AK14" s="171">
        <f>+L85</f>
        <v>-3317.3210088125288</v>
      </c>
    </row>
    <row r="15" spans="1:45" ht="15.6">
      <c r="A15" s="130" t="s">
        <v>405</v>
      </c>
      <c r="B15" s="52" t="s">
        <v>429</v>
      </c>
      <c r="C15" s="56"/>
      <c r="D15" s="56"/>
      <c r="E15" s="141">
        <v>2022</v>
      </c>
      <c r="F15" s="141">
        <f>+E15+1</f>
        <v>2023</v>
      </c>
      <c r="G15" s="142">
        <f>+F15+1</f>
        <v>2024</v>
      </c>
      <c r="H15" s="104">
        <f t="shared" ref="H15:J15" si="1">+G15+1</f>
        <v>2025</v>
      </c>
      <c r="I15" s="104">
        <f t="shared" si="1"/>
        <v>2026</v>
      </c>
      <c r="J15" s="104">
        <f t="shared" si="1"/>
        <v>2027</v>
      </c>
      <c r="K15" s="104">
        <f>+J15+1</f>
        <v>2028</v>
      </c>
      <c r="L15" s="104">
        <f t="shared" ref="L15:Q15" si="2">+K15+1</f>
        <v>2029</v>
      </c>
      <c r="M15" s="104">
        <f t="shared" si="2"/>
        <v>2030</v>
      </c>
      <c r="N15" s="104">
        <f t="shared" si="2"/>
        <v>2031</v>
      </c>
      <c r="O15" s="104">
        <f t="shared" si="2"/>
        <v>2032</v>
      </c>
      <c r="P15" s="104">
        <f t="shared" si="2"/>
        <v>2033</v>
      </c>
      <c r="Q15" s="104">
        <f t="shared" si="2"/>
        <v>2034</v>
      </c>
      <c r="R15" s="852">
        <f t="shared" ref="R15:AP15" si="3">+Q15+1</f>
        <v>2035</v>
      </c>
      <c r="S15" s="104">
        <f t="shared" si="3"/>
        <v>2036</v>
      </c>
      <c r="T15" s="104">
        <f t="shared" si="3"/>
        <v>2037</v>
      </c>
      <c r="U15" s="104">
        <f t="shared" si="3"/>
        <v>2038</v>
      </c>
      <c r="V15" s="104">
        <f t="shared" si="3"/>
        <v>2039</v>
      </c>
      <c r="W15" s="104">
        <f t="shared" si="3"/>
        <v>2040</v>
      </c>
      <c r="X15" s="104">
        <f t="shared" si="3"/>
        <v>2041</v>
      </c>
      <c r="Y15" s="104">
        <f t="shared" si="3"/>
        <v>2042</v>
      </c>
      <c r="Z15" s="104">
        <f t="shared" si="3"/>
        <v>2043</v>
      </c>
      <c r="AA15" s="104">
        <f t="shared" si="3"/>
        <v>2044</v>
      </c>
      <c r="AB15" s="104">
        <f t="shared" si="3"/>
        <v>2045</v>
      </c>
      <c r="AC15" s="104">
        <f t="shared" si="3"/>
        <v>2046</v>
      </c>
      <c r="AD15" s="104">
        <f t="shared" si="3"/>
        <v>2047</v>
      </c>
      <c r="AE15" s="104">
        <f t="shared" si="3"/>
        <v>2048</v>
      </c>
      <c r="AF15" s="104">
        <f t="shared" si="3"/>
        <v>2049</v>
      </c>
      <c r="AG15" s="104">
        <f t="shared" si="3"/>
        <v>2050</v>
      </c>
      <c r="AH15" s="104">
        <f t="shared" si="3"/>
        <v>2051</v>
      </c>
      <c r="AI15" s="104">
        <f t="shared" si="3"/>
        <v>2052</v>
      </c>
      <c r="AJ15" s="104">
        <f t="shared" si="3"/>
        <v>2053</v>
      </c>
      <c r="AK15" s="104">
        <f t="shared" si="3"/>
        <v>2054</v>
      </c>
      <c r="AL15" s="104">
        <f t="shared" si="3"/>
        <v>2055</v>
      </c>
      <c r="AM15" s="104">
        <f t="shared" si="3"/>
        <v>2056</v>
      </c>
      <c r="AN15" s="104">
        <f t="shared" si="3"/>
        <v>2057</v>
      </c>
      <c r="AO15" s="104">
        <f t="shared" si="3"/>
        <v>2058</v>
      </c>
      <c r="AP15" s="104">
        <f t="shared" si="3"/>
        <v>2059</v>
      </c>
      <c r="AQ15" s="844"/>
      <c r="AR15" s="844"/>
      <c r="AS15" s="844"/>
    </row>
    <row r="16" spans="1:45" ht="3.75" customHeight="1">
      <c r="B16" s="70"/>
      <c r="C16" s="70"/>
      <c r="D16" s="70"/>
      <c r="E16" s="70"/>
      <c r="F16" s="70"/>
      <c r="G16" s="143"/>
      <c r="H16" s="70"/>
      <c r="I16" s="70"/>
      <c r="J16" s="70"/>
      <c r="K16" s="70"/>
      <c r="L16" s="70"/>
      <c r="M16" s="70"/>
      <c r="N16" s="70"/>
      <c r="O16" s="70"/>
      <c r="P16" s="70"/>
      <c r="Q16" s="70"/>
      <c r="R16" s="853"/>
    </row>
    <row r="17" spans="1:31" ht="15.6">
      <c r="B17" s="135" t="s">
        <v>430</v>
      </c>
      <c r="C17" s="139"/>
      <c r="D17" s="135"/>
      <c r="E17" s="144">
        <v>525000</v>
      </c>
      <c r="F17" s="144">
        <v>630000</v>
      </c>
      <c r="G17" s="145">
        <f t="shared" ref="G17:Q17" si="4">F17*1.09</f>
        <v>686700</v>
      </c>
      <c r="H17" s="146">
        <f t="shared" si="4"/>
        <v>748503</v>
      </c>
      <c r="I17" s="146">
        <f t="shared" si="4"/>
        <v>815868.27</v>
      </c>
      <c r="J17" s="146">
        <f t="shared" si="4"/>
        <v>889296.41430000006</v>
      </c>
      <c r="K17" s="146">
        <f t="shared" si="4"/>
        <v>969333.09158700018</v>
      </c>
      <c r="L17" s="146">
        <f t="shared" si="4"/>
        <v>1056573.0698298302</v>
      </c>
      <c r="M17" s="146">
        <f t="shared" si="4"/>
        <v>1151664.6461145149</v>
      </c>
      <c r="N17" s="146">
        <f t="shared" si="4"/>
        <v>1255314.4642648213</v>
      </c>
      <c r="O17" s="146">
        <f t="shared" si="4"/>
        <v>1368292.7660486554</v>
      </c>
      <c r="P17" s="146">
        <f t="shared" si="4"/>
        <v>1491439.1149930344</v>
      </c>
      <c r="Q17" s="146">
        <f t="shared" si="4"/>
        <v>1625668.6353424075</v>
      </c>
      <c r="R17" s="854">
        <f t="shared" ref="R17:AA17" si="5">Q17*1.09</f>
        <v>1771978.8125232244</v>
      </c>
      <c r="S17" s="146">
        <f t="shared" si="5"/>
        <v>1931456.9056503146</v>
      </c>
      <c r="T17" s="146">
        <f t="shared" si="5"/>
        <v>2105288.0271588429</v>
      </c>
      <c r="U17" s="146">
        <f t="shared" si="5"/>
        <v>2294763.949603139</v>
      </c>
      <c r="V17" s="146">
        <f t="shared" si="5"/>
        <v>2501292.7050674218</v>
      </c>
      <c r="W17" s="146">
        <f t="shared" si="5"/>
        <v>2726409.0485234899</v>
      </c>
      <c r="X17" s="146">
        <f t="shared" si="5"/>
        <v>2971785.862890604</v>
      </c>
      <c r="Y17" s="146">
        <f t="shared" si="5"/>
        <v>3239246.5905507584</v>
      </c>
      <c r="Z17" s="146">
        <f t="shared" si="5"/>
        <v>3530778.7837003269</v>
      </c>
      <c r="AA17" s="146">
        <f t="shared" si="5"/>
        <v>3848548.8742333567</v>
      </c>
    </row>
    <row r="18" spans="1:31" ht="15.6">
      <c r="B18" s="135" t="s">
        <v>431</v>
      </c>
      <c r="C18" s="139"/>
      <c r="D18" s="135"/>
      <c r="E18" s="144">
        <v>25796</v>
      </c>
      <c r="F18" s="144">
        <v>26247</v>
      </c>
      <c r="G18" s="145">
        <v>24875</v>
      </c>
      <c r="H18" s="146">
        <f t="shared" ref="H18:Q18" si="6">G18*1.05</f>
        <v>26118.75</v>
      </c>
      <c r="I18" s="146">
        <f t="shared" si="6"/>
        <v>27424.6875</v>
      </c>
      <c r="J18" s="146">
        <f t="shared" si="6"/>
        <v>28795.921875</v>
      </c>
      <c r="K18" s="146">
        <f t="shared" si="6"/>
        <v>30235.717968750003</v>
      </c>
      <c r="L18" s="146">
        <f t="shared" si="6"/>
        <v>31747.503867187505</v>
      </c>
      <c r="M18" s="146">
        <f t="shared" si="6"/>
        <v>33334.879060546882</v>
      </c>
      <c r="N18" s="146">
        <f t="shared" si="6"/>
        <v>35001.62301357423</v>
      </c>
      <c r="O18" s="146">
        <f t="shared" si="6"/>
        <v>36751.704164252944</v>
      </c>
      <c r="P18" s="146">
        <f t="shared" si="6"/>
        <v>38589.289372465595</v>
      </c>
      <c r="Q18" s="146">
        <f t="shared" si="6"/>
        <v>40518.753841088874</v>
      </c>
      <c r="R18" s="854">
        <f t="shared" ref="R18:AA18" si="7">Q18*1.05</f>
        <v>42544.691533143319</v>
      </c>
      <c r="S18" s="146">
        <f t="shared" si="7"/>
        <v>44671.926109800486</v>
      </c>
      <c r="T18" s="146">
        <f t="shared" si="7"/>
        <v>46905.522415290514</v>
      </c>
      <c r="U18" s="146">
        <f t="shared" si="7"/>
        <v>49250.798536055045</v>
      </c>
      <c r="V18" s="146">
        <f t="shared" si="7"/>
        <v>51713.338462857799</v>
      </c>
      <c r="W18" s="146">
        <f t="shared" si="7"/>
        <v>54299.005386000688</v>
      </c>
      <c r="X18" s="146">
        <f t="shared" si="7"/>
        <v>57013.955655300728</v>
      </c>
      <c r="Y18" s="146">
        <f t="shared" si="7"/>
        <v>59864.653438065769</v>
      </c>
      <c r="Z18" s="146">
        <f t="shared" si="7"/>
        <v>62857.886109969062</v>
      </c>
      <c r="AA18" s="146">
        <f t="shared" si="7"/>
        <v>66000.780415467525</v>
      </c>
    </row>
    <row r="19" spans="1:31" ht="15.6">
      <c r="B19" s="135" t="s">
        <v>432</v>
      </c>
      <c r="C19" s="139"/>
      <c r="D19" s="135"/>
      <c r="E19" s="144">
        <f>E27*0.51</f>
        <v>107.61</v>
      </c>
      <c r="F19" s="144">
        <f>F27*0.51</f>
        <v>124.746</v>
      </c>
      <c r="G19" s="145">
        <f>G27*0.51</f>
        <v>222.46199999999999</v>
      </c>
      <c r="H19" s="146">
        <f t="shared" ref="H19:M19" si="8">G19*1.075</f>
        <v>239.14664999999997</v>
      </c>
      <c r="I19" s="146">
        <f t="shared" si="8"/>
        <v>257.08264874999998</v>
      </c>
      <c r="J19" s="146">
        <f t="shared" si="8"/>
        <v>276.36384740624999</v>
      </c>
      <c r="K19" s="146">
        <f t="shared" si="8"/>
        <v>297.09113596171875</v>
      </c>
      <c r="L19" s="146">
        <f t="shared" si="8"/>
        <v>319.37297115884763</v>
      </c>
      <c r="M19" s="146">
        <f t="shared" si="8"/>
        <v>343.32594399576118</v>
      </c>
      <c r="N19" s="146">
        <f t="shared" ref="N19:AA19" si="9">M19*1.091</f>
        <v>374.56860489937543</v>
      </c>
      <c r="O19" s="146">
        <f t="shared" si="9"/>
        <v>408.6543479452186</v>
      </c>
      <c r="P19" s="146">
        <f t="shared" si="9"/>
        <v>445.84189360823348</v>
      </c>
      <c r="Q19" s="146">
        <f t="shared" si="9"/>
        <v>486.41350592658273</v>
      </c>
      <c r="R19" s="854">
        <f t="shared" si="9"/>
        <v>530.6771349659017</v>
      </c>
      <c r="S19" s="146">
        <f t="shared" si="9"/>
        <v>578.96875424779876</v>
      </c>
      <c r="T19" s="146">
        <f t="shared" si="9"/>
        <v>631.6549108843484</v>
      </c>
      <c r="U19" s="146">
        <f t="shared" si="9"/>
        <v>689.13550777482408</v>
      </c>
      <c r="V19" s="146">
        <f t="shared" si="9"/>
        <v>751.846838982333</v>
      </c>
      <c r="W19" s="146">
        <f t="shared" si="9"/>
        <v>820.26490132972526</v>
      </c>
      <c r="X19" s="146">
        <f t="shared" si="9"/>
        <v>894.90900735073023</v>
      </c>
      <c r="Y19" s="146">
        <f t="shared" si="9"/>
        <v>976.34572701964669</v>
      </c>
      <c r="Z19" s="146">
        <f t="shared" si="9"/>
        <v>1065.1931881784344</v>
      </c>
      <c r="AA19" s="146">
        <f t="shared" si="9"/>
        <v>1162.125768302672</v>
      </c>
    </row>
    <row r="20" spans="1:31" ht="15.6">
      <c r="B20" s="816" t="s">
        <v>433</v>
      </c>
      <c r="C20" s="139"/>
      <c r="D20" s="135"/>
      <c r="E20" s="144"/>
      <c r="F20" s="823">
        <f t="shared" ref="F20:Q20" si="10">(F19-E19)/E19</f>
        <v>0.15924170616113739</v>
      </c>
      <c r="G20" s="824">
        <f t="shared" si="10"/>
        <v>0.78331970564186426</v>
      </c>
      <c r="H20" s="825">
        <f>(H19-G19)/G19</f>
        <v>7.49999999999999E-2</v>
      </c>
      <c r="I20" s="825">
        <f t="shared" si="10"/>
        <v>7.5000000000000053E-2</v>
      </c>
      <c r="J20" s="825">
        <f t="shared" si="10"/>
        <v>7.5000000000000053E-2</v>
      </c>
      <c r="K20" s="825">
        <f t="shared" si="10"/>
        <v>7.5000000000000039E-2</v>
      </c>
      <c r="L20" s="825">
        <f t="shared" si="10"/>
        <v>7.4999999999999928E-2</v>
      </c>
      <c r="M20" s="825">
        <f t="shared" si="10"/>
        <v>7.4999999999999914E-2</v>
      </c>
      <c r="N20" s="825">
        <f t="shared" si="10"/>
        <v>9.0999999999999956E-2</v>
      </c>
      <c r="O20" s="825">
        <f t="shared" si="10"/>
        <v>9.1000000000000025E-2</v>
      </c>
      <c r="P20" s="825">
        <f t="shared" si="10"/>
        <v>9.0999999999999956E-2</v>
      </c>
      <c r="Q20" s="825">
        <f t="shared" si="10"/>
        <v>9.1000000000000011E-2</v>
      </c>
      <c r="R20" s="855">
        <f t="shared" ref="R20:AA20" si="11">(R19-Q19)/Q19</f>
        <v>9.0999999999999887E-2</v>
      </c>
      <c r="S20" s="825">
        <f t="shared" si="11"/>
        <v>9.0999999999999998E-2</v>
      </c>
      <c r="T20" s="825">
        <f t="shared" si="11"/>
        <v>9.0999999999999914E-2</v>
      </c>
      <c r="U20" s="825">
        <f t="shared" si="11"/>
        <v>9.099999999999997E-2</v>
      </c>
      <c r="V20" s="825">
        <f t="shared" si="11"/>
        <v>9.09999999999999E-2</v>
      </c>
      <c r="W20" s="825">
        <f t="shared" si="11"/>
        <v>9.0999999999999956E-2</v>
      </c>
      <c r="X20" s="825">
        <f t="shared" si="11"/>
        <v>9.099999999999997E-2</v>
      </c>
      <c r="Y20" s="825">
        <f t="shared" si="11"/>
        <v>9.0999999999999998E-2</v>
      </c>
      <c r="Z20" s="825">
        <f t="shared" si="11"/>
        <v>9.0999999999999873E-2</v>
      </c>
      <c r="AA20" s="825">
        <f t="shared" si="11"/>
        <v>9.1000000000000039E-2</v>
      </c>
    </row>
    <row r="21" spans="1:31" ht="15.6">
      <c r="B21" s="135" t="s">
        <v>434</v>
      </c>
      <c r="C21" s="139"/>
      <c r="D21" s="135"/>
      <c r="E21" s="144">
        <f>E27*0.49</f>
        <v>103.39</v>
      </c>
      <c r="F21" s="144">
        <f>F27*0.49</f>
        <v>119.854</v>
      </c>
      <c r="G21" s="145">
        <f>G27*0.49</f>
        <v>213.738</v>
      </c>
      <c r="H21" s="146">
        <f>G21*1.0631</f>
        <v>227.2248678</v>
      </c>
      <c r="I21" s="146">
        <f>H21*1.0631</f>
        <v>241.56275695817999</v>
      </c>
      <c r="J21" s="146">
        <f>I21*1.0631</f>
        <v>256.80536692224115</v>
      </c>
      <c r="K21" s="146">
        <f>J21*1.0631</f>
        <v>273.00978557503453</v>
      </c>
      <c r="L21" s="146">
        <f>K21*1.0631</f>
        <v>290.23670304481919</v>
      </c>
      <c r="M21" s="146">
        <f t="shared" ref="M21:AA21" si="12">L21*1.0611</f>
        <v>307.97016560085763</v>
      </c>
      <c r="N21" s="146">
        <f t="shared" si="12"/>
        <v>326.78714271907</v>
      </c>
      <c r="O21" s="146">
        <f t="shared" si="12"/>
        <v>346.75383713920513</v>
      </c>
      <c r="P21" s="146">
        <f t="shared" si="12"/>
        <v>367.94049658841055</v>
      </c>
      <c r="Q21" s="146">
        <f t="shared" si="12"/>
        <v>390.4216609299624</v>
      </c>
      <c r="R21" s="854">
        <f t="shared" si="12"/>
        <v>414.27642441278306</v>
      </c>
      <c r="S21" s="146">
        <f t="shared" si="12"/>
        <v>439.58871394440405</v>
      </c>
      <c r="T21" s="146">
        <f t="shared" si="12"/>
        <v>466.44758436640711</v>
      </c>
      <c r="U21" s="146">
        <f t="shared" si="12"/>
        <v>494.94753177119458</v>
      </c>
      <c r="V21" s="146">
        <f t="shared" si="12"/>
        <v>525.18882596241451</v>
      </c>
      <c r="W21" s="146">
        <f t="shared" si="12"/>
        <v>557.27786322871805</v>
      </c>
      <c r="X21" s="146">
        <f t="shared" si="12"/>
        <v>591.32754067199267</v>
      </c>
      <c r="Y21" s="146">
        <f t="shared" si="12"/>
        <v>627.45765340705134</v>
      </c>
      <c r="Z21" s="146">
        <f t="shared" si="12"/>
        <v>665.79531603022212</v>
      </c>
      <c r="AA21" s="146">
        <f t="shared" si="12"/>
        <v>706.4754098396686</v>
      </c>
    </row>
    <row r="22" spans="1:31" ht="15.6">
      <c r="B22" s="816" t="s">
        <v>433</v>
      </c>
      <c r="C22" s="139"/>
      <c r="D22" s="135"/>
      <c r="E22" s="144"/>
      <c r="F22" s="823">
        <f t="shared" ref="F22:Q22" si="13">(F21-E21)/E21</f>
        <v>0.15924170616113742</v>
      </c>
      <c r="G22" s="824">
        <f t="shared" si="13"/>
        <v>0.78331970564186426</v>
      </c>
      <c r="H22" s="825">
        <f t="shared" si="13"/>
        <v>6.3099999999999989E-2</v>
      </c>
      <c r="I22" s="825">
        <f t="shared" si="13"/>
        <v>6.3099999999999962E-2</v>
      </c>
      <c r="J22" s="825">
        <f t="shared" si="13"/>
        <v>6.3100000000000003E-2</v>
      </c>
      <c r="K22" s="825">
        <f t="shared" si="13"/>
        <v>6.3099999999999851E-2</v>
      </c>
      <c r="L22" s="825">
        <f t="shared" si="13"/>
        <v>6.3099999999999962E-2</v>
      </c>
      <c r="M22" s="825">
        <f t="shared" si="13"/>
        <v>6.1099999999999932E-2</v>
      </c>
      <c r="N22" s="825">
        <f t="shared" si="13"/>
        <v>6.1099999999999925E-2</v>
      </c>
      <c r="O22" s="825">
        <f t="shared" si="13"/>
        <v>6.1099999999999849E-2</v>
      </c>
      <c r="P22" s="825">
        <f t="shared" si="13"/>
        <v>6.1099999999999967E-2</v>
      </c>
      <c r="Q22" s="825">
        <f t="shared" si="13"/>
        <v>6.1099999999999897E-2</v>
      </c>
      <c r="R22" s="855">
        <f t="shared" ref="R22:AA22" si="14">(R21-Q21)/Q21</f>
        <v>6.1099999999999884E-2</v>
      </c>
      <c r="S22" s="825">
        <f t="shared" si="14"/>
        <v>6.109999999999987E-2</v>
      </c>
      <c r="T22" s="825">
        <f t="shared" si="14"/>
        <v>6.1099999999999946E-2</v>
      </c>
      <c r="U22" s="825">
        <f t="shared" si="14"/>
        <v>6.1099999999999974E-2</v>
      </c>
      <c r="V22" s="825">
        <f t="shared" si="14"/>
        <v>6.1099999999999891E-2</v>
      </c>
      <c r="W22" s="825">
        <f t="shared" si="14"/>
        <v>6.1100000000000015E-2</v>
      </c>
      <c r="X22" s="825">
        <f t="shared" si="14"/>
        <v>6.1099999999999904E-2</v>
      </c>
      <c r="Y22" s="825">
        <f t="shared" si="14"/>
        <v>6.109999999999987E-2</v>
      </c>
      <c r="Z22" s="825">
        <f t="shared" si="14"/>
        <v>6.1099999999999918E-2</v>
      </c>
      <c r="AA22" s="825">
        <f t="shared" si="14"/>
        <v>6.1099999999999856E-2</v>
      </c>
    </row>
    <row r="23" spans="1:31" ht="15.6">
      <c r="B23" s="135"/>
      <c r="C23" s="139"/>
      <c r="D23" s="135"/>
      <c r="E23" s="146"/>
      <c r="F23" s="146"/>
      <c r="G23" s="149"/>
      <c r="H23" s="146"/>
      <c r="I23" s="146"/>
      <c r="J23" s="146"/>
      <c r="K23" s="146"/>
      <c r="L23" s="146"/>
      <c r="M23" s="146"/>
      <c r="N23" s="146"/>
      <c r="O23" s="146"/>
      <c r="P23" s="146"/>
      <c r="Q23" s="146"/>
      <c r="R23" s="853"/>
      <c r="S23" s="39"/>
      <c r="T23" s="39"/>
      <c r="U23" s="39"/>
      <c r="V23" s="39"/>
      <c r="W23" s="39"/>
      <c r="X23" s="39"/>
      <c r="Y23" s="39"/>
      <c r="Z23" s="39"/>
      <c r="AA23"/>
      <c r="AB23"/>
      <c r="AC23"/>
      <c r="AD23"/>
      <c r="AE23"/>
    </row>
    <row r="24" spans="1:31" ht="15.6">
      <c r="B24" s="150" t="s">
        <v>435</v>
      </c>
      <c r="G24" s="151"/>
      <c r="R24" s="856"/>
      <c r="S24" s="32"/>
      <c r="T24" s="32"/>
      <c r="U24" s="32"/>
      <c r="V24" s="32"/>
      <c r="W24" s="32"/>
      <c r="X24" s="32"/>
      <c r="Y24" s="32"/>
      <c r="Z24" s="32"/>
    </row>
    <row r="25" spans="1:31" ht="15.6">
      <c r="A25" s="130" t="s">
        <v>405</v>
      </c>
      <c r="B25" s="52" t="s">
        <v>280</v>
      </c>
      <c r="C25" s="56"/>
      <c r="D25" s="56"/>
      <c r="E25" s="141">
        <v>2022</v>
      </c>
      <c r="F25" s="141">
        <f>+E25+1</f>
        <v>2023</v>
      </c>
      <c r="G25" s="142">
        <f>+F25+1</f>
        <v>2024</v>
      </c>
      <c r="H25" s="104">
        <f t="shared" ref="H25:Q25" si="15">+G25+1</f>
        <v>2025</v>
      </c>
      <c r="I25" s="104">
        <f t="shared" si="15"/>
        <v>2026</v>
      </c>
      <c r="J25" s="104">
        <f t="shared" si="15"/>
        <v>2027</v>
      </c>
      <c r="K25" s="104">
        <f>+J25+1</f>
        <v>2028</v>
      </c>
      <c r="L25" s="104">
        <f t="shared" si="15"/>
        <v>2029</v>
      </c>
      <c r="M25" s="104">
        <f t="shared" si="15"/>
        <v>2030</v>
      </c>
      <c r="N25" s="104">
        <f t="shared" si="15"/>
        <v>2031</v>
      </c>
      <c r="O25" s="104">
        <f t="shared" si="15"/>
        <v>2032</v>
      </c>
      <c r="P25" s="104">
        <f t="shared" si="15"/>
        <v>2033</v>
      </c>
      <c r="Q25" s="104">
        <f t="shared" si="15"/>
        <v>2034</v>
      </c>
      <c r="R25" s="852">
        <f t="shared" ref="R25:AA25" si="16">+Q25+1</f>
        <v>2035</v>
      </c>
      <c r="S25" s="104">
        <f t="shared" si="16"/>
        <v>2036</v>
      </c>
      <c r="T25" s="104">
        <f t="shared" si="16"/>
        <v>2037</v>
      </c>
      <c r="U25" s="104">
        <f t="shared" si="16"/>
        <v>2038</v>
      </c>
      <c r="V25" s="104">
        <f t="shared" si="16"/>
        <v>2039</v>
      </c>
      <c r="W25" s="104">
        <f t="shared" si="16"/>
        <v>2040</v>
      </c>
      <c r="X25" s="104">
        <f t="shared" si="16"/>
        <v>2041</v>
      </c>
      <c r="Y25" s="104">
        <f t="shared" si="16"/>
        <v>2042</v>
      </c>
      <c r="Z25" s="104">
        <f t="shared" si="16"/>
        <v>2043</v>
      </c>
      <c r="AA25" s="104">
        <f t="shared" si="16"/>
        <v>2044</v>
      </c>
      <c r="AB25" s="131"/>
    </row>
    <row r="26" spans="1:31" ht="3.95" customHeight="1">
      <c r="B26" s="70"/>
      <c r="C26" s="70"/>
      <c r="D26" s="70"/>
      <c r="E26" s="70"/>
      <c r="F26" s="70"/>
      <c r="G26" s="143"/>
      <c r="H26" s="70"/>
      <c r="I26" s="70"/>
      <c r="J26" s="70"/>
      <c r="K26" s="70"/>
      <c r="L26" s="70"/>
      <c r="M26" s="70"/>
      <c r="N26" s="70"/>
      <c r="O26" s="70"/>
      <c r="P26" s="70"/>
      <c r="Q26" s="70"/>
      <c r="R26" s="856"/>
    </row>
    <row r="27" spans="1:31" ht="15.6">
      <c r="B27" s="247" t="s">
        <v>436</v>
      </c>
      <c r="D27" s="301">
        <f>+_xlfn.XLOOKUP($B27,Inputs!$B:$B,Inputs!N:N)</f>
        <v>62.2</v>
      </c>
      <c r="E27" s="153">
        <f>+_xlfn.XLOOKUP($B27,Inputs!$B:$B,Inputs!O:O)</f>
        <v>211</v>
      </c>
      <c r="F27" s="153">
        <f>+_xlfn.XLOOKUP($B27,Inputs!$B:$B,Inputs!P:P)</f>
        <v>244.6</v>
      </c>
      <c r="G27" s="295">
        <f>+_xlfn.XLOOKUP($B27,Inputs!$B:$B,Inputs!Q:Q)</f>
        <v>436.2</v>
      </c>
      <c r="H27" s="154">
        <f>H19+H21</f>
        <v>466.37151779999999</v>
      </c>
      <c r="I27" s="154">
        <f t="shared" ref="I27:Q27" si="17">I19+I21</f>
        <v>498.64540570817996</v>
      </c>
      <c r="J27" s="154">
        <f t="shared" si="17"/>
        <v>533.16921432849108</v>
      </c>
      <c r="K27" s="154">
        <f t="shared" si="17"/>
        <v>570.10092153675328</v>
      </c>
      <c r="L27" s="154">
        <f t="shared" si="17"/>
        <v>609.60967420366683</v>
      </c>
      <c r="M27" s="154">
        <f t="shared" si="17"/>
        <v>651.29610959661886</v>
      </c>
      <c r="N27" s="154">
        <f t="shared" si="17"/>
        <v>701.35574761844543</v>
      </c>
      <c r="O27" s="154">
        <f t="shared" si="17"/>
        <v>755.40818508442374</v>
      </c>
      <c r="P27" s="154">
        <f t="shared" si="17"/>
        <v>813.78239019664397</v>
      </c>
      <c r="Q27" s="154">
        <f t="shared" si="17"/>
        <v>876.83516685654513</v>
      </c>
      <c r="R27" s="857">
        <f t="shared" ref="R27:AA27" si="18">R19+R21</f>
        <v>944.95355937868476</v>
      </c>
      <c r="S27" s="848">
        <f t="shared" si="18"/>
        <v>1018.5574681922028</v>
      </c>
      <c r="T27" s="848">
        <f t="shared" si="18"/>
        <v>1098.1024952507555</v>
      </c>
      <c r="U27" s="848">
        <f t="shared" si="18"/>
        <v>1184.0830395460187</v>
      </c>
      <c r="V27" s="848">
        <f t="shared" si="18"/>
        <v>1277.0356649447476</v>
      </c>
      <c r="W27" s="848">
        <f t="shared" si="18"/>
        <v>1377.5427645584432</v>
      </c>
      <c r="X27" s="848">
        <f t="shared" si="18"/>
        <v>1486.2365480227229</v>
      </c>
      <c r="Y27" s="848">
        <f t="shared" si="18"/>
        <v>1603.8033804266979</v>
      </c>
      <c r="Z27" s="848">
        <f t="shared" si="18"/>
        <v>1730.9885042086567</v>
      </c>
      <c r="AA27" s="848">
        <f t="shared" si="18"/>
        <v>1868.6011781423406</v>
      </c>
    </row>
    <row r="28" spans="1:31" s="281" customFormat="1" ht="14.45">
      <c r="B28" s="816" t="s">
        <v>433</v>
      </c>
      <c r="E28" s="283">
        <f>IFERROR((E27-D27)/D27,"")</f>
        <v>2.392282958199357</v>
      </c>
      <c r="F28" s="283">
        <f>IFERROR((F27-E27)/E27,"")</f>
        <v>0.15924170616113742</v>
      </c>
      <c r="G28" s="813">
        <f>IFERROR((G27-F27)/F27,"")</f>
        <v>0.78331970564186426</v>
      </c>
      <c r="H28" s="284">
        <f>IFERROR(H27/G27-1,"")</f>
        <v>6.9169000000000036E-2</v>
      </c>
      <c r="I28" s="284">
        <f t="shared" ref="I28:Q28" si="19">IFERROR(I27/H27-1,"")</f>
        <v>6.9202098919815214E-2</v>
      </c>
      <c r="J28" s="284">
        <f t="shared" si="19"/>
        <v>6.9235188422683169E-2</v>
      </c>
      <c r="K28" s="284">
        <f t="shared" si="19"/>
        <v>6.9268266463540007E-2</v>
      </c>
      <c r="L28" s="284">
        <f t="shared" si="19"/>
        <v>6.9301331000157784E-2</v>
      </c>
      <c r="M28" s="284">
        <f t="shared" si="19"/>
        <v>6.8382174950564867E-2</v>
      </c>
      <c r="N28" s="284">
        <f t="shared" si="19"/>
        <v>7.6861564631226065E-2</v>
      </c>
      <c r="O28" s="284">
        <f t="shared" si="19"/>
        <v>7.7068502895315527E-2</v>
      </c>
      <c r="P28" s="284">
        <f t="shared" si="19"/>
        <v>7.7275049787415728E-2</v>
      </c>
      <c r="Q28" s="284">
        <f t="shared" si="19"/>
        <v>7.7481126919771492E-2</v>
      </c>
      <c r="R28" s="858">
        <f t="shared" ref="R28:AA28" si="20">IFERROR(R27/Q27-1,"")</f>
        <v>7.7686656622525829E-2</v>
      </c>
      <c r="S28" s="284">
        <f t="shared" si="20"/>
        <v>7.7891562059317687E-2</v>
      </c>
      <c r="T28" s="284">
        <f t="shared" si="20"/>
        <v>7.8095767340191413E-2</v>
      </c>
      <c r="U28" s="284">
        <f t="shared" si="20"/>
        <v>7.8299197631482631E-2</v>
      </c>
      <c r="V28" s="284">
        <f t="shared" si="20"/>
        <v>7.8501779262345694E-2</v>
      </c>
      <c r="W28" s="284">
        <f t="shared" si="20"/>
        <v>7.870343982761363E-2</v>
      </c>
      <c r="X28" s="284">
        <f t="shared" si="20"/>
        <v>7.8904108286700136E-2</v>
      </c>
      <c r="Y28" s="284">
        <f t="shared" si="20"/>
        <v>7.9103715058269186E-2</v>
      </c>
      <c r="Z28" s="284">
        <f t="shared" si="20"/>
        <v>7.9302192110432213E-2</v>
      </c>
      <c r="AA28" s="284">
        <f t="shared" si="20"/>
        <v>7.9499473046237945E-2</v>
      </c>
    </row>
    <row r="29" spans="1:31" ht="3.75" customHeight="1">
      <c r="B29" s="274"/>
      <c r="E29" s="157"/>
      <c r="F29" s="157"/>
      <c r="G29" s="812"/>
      <c r="H29" s="156"/>
      <c r="I29" s="156"/>
      <c r="J29" s="156"/>
      <c r="K29" s="156"/>
      <c r="L29" s="156"/>
      <c r="O29" s="159"/>
      <c r="P29" s="159"/>
      <c r="Q29" s="159"/>
      <c r="R29" s="856"/>
    </row>
    <row r="30" spans="1:31" ht="15.6">
      <c r="B30" s="817" t="s">
        <v>293</v>
      </c>
      <c r="E30" s="153">
        <f>+_xlfn.XLOOKUP($B30,Inputs!$B:$B,Inputs!O:O)</f>
        <v>192</v>
      </c>
      <c r="F30" s="153">
        <f>+_xlfn.XLOOKUP($B30,Inputs!$B:$B,Inputs!P:P)</f>
        <v>193.2</v>
      </c>
      <c r="G30" s="295">
        <f>+_xlfn.XLOOKUP($B30,Inputs!$B:$B,Inputs!Q:Q)</f>
        <v>320.10000000000002</v>
      </c>
      <c r="H30" s="160">
        <f t="shared" ref="H30:Q30" si="21">H31*H$27</f>
        <v>370.67208234743998</v>
      </c>
      <c r="I30" s="160">
        <f t="shared" si="21"/>
        <v>374.44945665979594</v>
      </c>
      <c r="J30" s="160">
        <f t="shared" si="21"/>
        <v>376.98617914453177</v>
      </c>
      <c r="K30" s="160">
        <f t="shared" si="21"/>
        <v>378.09093116317484</v>
      </c>
      <c r="L30" s="160">
        <f t="shared" si="21"/>
        <v>377.55159155680445</v>
      </c>
      <c r="M30" s="160">
        <f t="shared" si="21"/>
        <v>374.79920120253445</v>
      </c>
      <c r="N30" s="160">
        <f t="shared" si="21"/>
        <v>372.84071543396578</v>
      </c>
      <c r="O30" s="160">
        <f t="shared" si="21"/>
        <v>368.43775213850984</v>
      </c>
      <c r="P30" s="160">
        <f t="shared" si="21"/>
        <v>361.21087692861727</v>
      </c>
      <c r="Q30" s="160">
        <f t="shared" si="21"/>
        <v>350.7340667426181</v>
      </c>
      <c r="R30" s="857">
        <f t="shared" ref="R30:AA30" si="22">R31*R$27</f>
        <v>415.77956612662132</v>
      </c>
      <c r="S30" s="848">
        <f t="shared" si="22"/>
        <v>488.90758473225731</v>
      </c>
      <c r="T30" s="848">
        <f t="shared" si="22"/>
        <v>571.01329753039283</v>
      </c>
      <c r="U30" s="848">
        <f t="shared" si="22"/>
        <v>663.08650214577051</v>
      </c>
      <c r="V30" s="848">
        <f t="shared" si="22"/>
        <v>766.22139896684871</v>
      </c>
      <c r="W30" s="848">
        <f t="shared" si="22"/>
        <v>881.6273693174038</v>
      </c>
      <c r="X30" s="848">
        <f t="shared" si="22"/>
        <v>1010.6408526554518</v>
      </c>
      <c r="Y30" s="848">
        <f t="shared" si="22"/>
        <v>1154.7384339072228</v>
      </c>
      <c r="Z30" s="848">
        <f t="shared" si="22"/>
        <v>1315.5512631985794</v>
      </c>
      <c r="AA30" s="848">
        <f t="shared" si="22"/>
        <v>1494.8809425138725</v>
      </c>
    </row>
    <row r="31" spans="1:31" s="281" customFormat="1" ht="14.45">
      <c r="B31" s="818" t="s">
        <v>437</v>
      </c>
      <c r="E31" s="282">
        <f>IFERROR(E30/E$27,"")</f>
        <v>0.90995260663507105</v>
      </c>
      <c r="F31" s="282">
        <f>IFERROR(F30/F$27,"")</f>
        <v>0.78986099754701555</v>
      </c>
      <c r="G31" s="293">
        <f>IFERROR(G30/G$27,"")</f>
        <v>0.73383768913342506</v>
      </c>
      <c r="H31" s="302">
        <v>0.79479999999999995</v>
      </c>
      <c r="I31" s="302">
        <f>H31-($H$31-$Q$31)/9</f>
        <v>0.75093333333333334</v>
      </c>
      <c r="J31" s="302">
        <f t="shared" ref="J31:P31" si="23">I31-($H$31-$Q$31)/9</f>
        <v>0.70706666666666673</v>
      </c>
      <c r="K31" s="302">
        <f t="shared" si="23"/>
        <v>0.66320000000000012</v>
      </c>
      <c r="L31" s="302">
        <f t="shared" si="23"/>
        <v>0.61933333333333351</v>
      </c>
      <c r="M31" s="302">
        <f t="shared" si="23"/>
        <v>0.5754666666666669</v>
      </c>
      <c r="N31" s="302">
        <f t="shared" si="23"/>
        <v>0.53160000000000029</v>
      </c>
      <c r="O31" s="302">
        <f t="shared" si="23"/>
        <v>0.48773333333333363</v>
      </c>
      <c r="P31" s="302">
        <f t="shared" si="23"/>
        <v>0.44386666666666696</v>
      </c>
      <c r="Q31" s="302">
        <v>0.4</v>
      </c>
      <c r="R31" s="859">
        <f>Q31-($Q$31-$AA$31)/10</f>
        <v>0.44</v>
      </c>
      <c r="S31" s="302">
        <f t="shared" ref="R31:Z31" si="24">R31-($Q$31-$AA$31)/10</f>
        <v>0.48</v>
      </c>
      <c r="T31" s="302">
        <f t="shared" si="24"/>
        <v>0.52</v>
      </c>
      <c r="U31" s="302">
        <f t="shared" si="24"/>
        <v>0.56000000000000005</v>
      </c>
      <c r="V31" s="302">
        <f t="shared" si="24"/>
        <v>0.60000000000000009</v>
      </c>
      <c r="W31" s="302">
        <f t="shared" si="24"/>
        <v>0.64000000000000012</v>
      </c>
      <c r="X31" s="302">
        <f t="shared" si="24"/>
        <v>0.68000000000000016</v>
      </c>
      <c r="Y31" s="302">
        <f t="shared" si="24"/>
        <v>0.7200000000000002</v>
      </c>
      <c r="Z31" s="302">
        <f t="shared" si="24"/>
        <v>0.76000000000000023</v>
      </c>
      <c r="AA31" s="302">
        <v>0.8</v>
      </c>
    </row>
    <row r="32" spans="1:31" ht="5.25" customHeight="1">
      <c r="B32" s="274"/>
      <c r="E32" s="157"/>
      <c r="F32" s="157"/>
      <c r="G32" s="812"/>
      <c r="H32" s="163"/>
      <c r="I32" s="163"/>
      <c r="J32" s="163"/>
      <c r="K32" s="163"/>
      <c r="L32" s="163"/>
      <c r="M32" s="163"/>
      <c r="N32" s="163"/>
      <c r="O32" s="163"/>
      <c r="P32" s="163"/>
      <c r="Q32" s="163"/>
      <c r="R32" s="856"/>
    </row>
    <row r="33" spans="2:44" ht="15.6">
      <c r="B33" s="247" t="s">
        <v>294</v>
      </c>
      <c r="E33" s="153">
        <f>+_xlfn.XLOOKUP($B33,Inputs!$B:$B,Inputs!O:O)</f>
        <v>19</v>
      </c>
      <c r="F33" s="153">
        <f>+_xlfn.XLOOKUP($B33,Inputs!$B:$B,Inputs!P:P)</f>
        <v>51.400000000000006</v>
      </c>
      <c r="G33" s="295">
        <f>+_xlfn.XLOOKUP($B33,Inputs!$B:$B,Inputs!Q:Q)</f>
        <v>116.09999999999997</v>
      </c>
      <c r="H33" s="160">
        <f>+H27-H30</f>
        <v>95.69943545256001</v>
      </c>
      <c r="I33" s="160">
        <f t="shared" ref="I33:Q33" si="25">+I27-I30</f>
        <v>124.19594904838402</v>
      </c>
      <c r="J33" s="160">
        <f t="shared" si="25"/>
        <v>156.1830351839593</v>
      </c>
      <c r="K33" s="160">
        <f t="shared" si="25"/>
        <v>192.00999037357843</v>
      </c>
      <c r="L33" s="160">
        <f t="shared" si="25"/>
        <v>232.05808264686237</v>
      </c>
      <c r="M33" s="160">
        <f t="shared" si="25"/>
        <v>276.49690839408441</v>
      </c>
      <c r="N33" s="160">
        <f t="shared" si="25"/>
        <v>328.51503218447965</v>
      </c>
      <c r="O33" s="160">
        <f t="shared" si="25"/>
        <v>386.9704329459139</v>
      </c>
      <c r="P33" s="160">
        <f t="shared" si="25"/>
        <v>452.57151326802671</v>
      </c>
      <c r="Q33" s="160">
        <f t="shared" si="25"/>
        <v>526.10110011392703</v>
      </c>
      <c r="R33" s="857">
        <f t="shared" ref="R33:AA33" si="26">+R27-R30</f>
        <v>529.17399325206338</v>
      </c>
      <c r="S33" s="848">
        <f t="shared" si="26"/>
        <v>529.6498834599455</v>
      </c>
      <c r="T33" s="848">
        <f t="shared" si="26"/>
        <v>527.08919772036268</v>
      </c>
      <c r="U33" s="848">
        <f t="shared" si="26"/>
        <v>520.99653740024814</v>
      </c>
      <c r="V33" s="848">
        <f t="shared" si="26"/>
        <v>510.81426597789891</v>
      </c>
      <c r="W33" s="848">
        <f t="shared" si="26"/>
        <v>495.91539524103939</v>
      </c>
      <c r="X33" s="848">
        <f t="shared" si="26"/>
        <v>475.59569536727111</v>
      </c>
      <c r="Y33" s="848">
        <f t="shared" si="26"/>
        <v>449.06494651947514</v>
      </c>
      <c r="Z33" s="848">
        <f t="shared" si="26"/>
        <v>415.43724101007729</v>
      </c>
      <c r="AA33" s="848">
        <f t="shared" si="26"/>
        <v>373.72023562846812</v>
      </c>
    </row>
    <row r="34" spans="2:44" s="281" customFormat="1" ht="14.45">
      <c r="B34" s="814" t="s">
        <v>38</v>
      </c>
      <c r="E34" s="282">
        <f t="shared" ref="E34:Q34" si="27">IFERROR(E33/E$27,"")</f>
        <v>9.004739336492891E-2</v>
      </c>
      <c r="F34" s="282">
        <f t="shared" si="27"/>
        <v>0.2101390024529845</v>
      </c>
      <c r="G34" s="293">
        <f t="shared" si="27"/>
        <v>0.26616231086657488</v>
      </c>
      <c r="H34" s="282">
        <f t="shared" si="27"/>
        <v>0.20520000000000002</v>
      </c>
      <c r="I34" s="282">
        <f t="shared" si="27"/>
        <v>0.24906666666666666</v>
      </c>
      <c r="J34" s="282">
        <f t="shared" si="27"/>
        <v>0.29293333333333332</v>
      </c>
      <c r="K34" s="282">
        <f t="shared" si="27"/>
        <v>0.33679999999999988</v>
      </c>
      <c r="L34" s="282">
        <f t="shared" si="27"/>
        <v>0.38066666666666643</v>
      </c>
      <c r="M34" s="282">
        <f t="shared" si="27"/>
        <v>0.42453333333333304</v>
      </c>
      <c r="N34" s="282">
        <f t="shared" si="27"/>
        <v>0.46839999999999971</v>
      </c>
      <c r="O34" s="282">
        <f t="shared" si="27"/>
        <v>0.51226666666666631</v>
      </c>
      <c r="P34" s="282">
        <f t="shared" si="27"/>
        <v>0.55613333333333304</v>
      </c>
      <c r="Q34" s="282">
        <f t="shared" si="27"/>
        <v>0.6</v>
      </c>
      <c r="R34" s="860">
        <f t="shared" ref="R34:AA34" si="28">IFERROR(R33/R$27,"")</f>
        <v>0.55999999999999994</v>
      </c>
      <c r="S34" s="292">
        <f t="shared" si="28"/>
        <v>0.52</v>
      </c>
      <c r="T34" s="292">
        <f t="shared" si="28"/>
        <v>0.48000000000000004</v>
      </c>
      <c r="U34" s="292">
        <f t="shared" si="28"/>
        <v>0.43999999999999995</v>
      </c>
      <c r="V34" s="292">
        <f t="shared" si="28"/>
        <v>0.39999999999999991</v>
      </c>
      <c r="W34" s="292">
        <f t="shared" si="28"/>
        <v>0.35999999999999988</v>
      </c>
      <c r="X34" s="292">
        <f t="shared" si="28"/>
        <v>0.31999999999999984</v>
      </c>
      <c r="Y34" s="292">
        <f t="shared" si="28"/>
        <v>0.2799999999999998</v>
      </c>
      <c r="Z34" s="292">
        <f t="shared" si="28"/>
        <v>0.23999999999999982</v>
      </c>
      <c r="AA34" s="292">
        <f t="shared" si="28"/>
        <v>0.2</v>
      </c>
    </row>
    <row r="35" spans="2:44" ht="3.75" customHeight="1">
      <c r="B35" s="247"/>
      <c r="G35" s="161"/>
      <c r="H35" s="135"/>
      <c r="I35" s="135"/>
      <c r="J35" s="135"/>
      <c r="K35" s="135"/>
      <c r="L35" s="135"/>
      <c r="O35" s="135"/>
      <c r="P35" s="135"/>
      <c r="Q35" s="135"/>
      <c r="R35" s="856"/>
    </row>
    <row r="36" spans="2:44" ht="14.25" customHeight="1">
      <c r="B36" s="817" t="s">
        <v>438</v>
      </c>
      <c r="E36" s="153">
        <f>+_xlfn.XLOOKUP($B36,Inputs!$B:$B,Inputs!O:O)</f>
        <v>89</v>
      </c>
      <c r="F36" s="153">
        <f>+_xlfn.XLOOKUP($B36,Inputs!$B:$B,Inputs!P:P)</f>
        <v>110.3</v>
      </c>
      <c r="G36" s="295">
        <f>+_xlfn.XLOOKUP($B36,Inputs!$B:$B,Inputs!Q:Q)</f>
        <v>123.8</v>
      </c>
      <c r="H36" s="160">
        <f t="shared" ref="H36:P36" si="29">H37*H27</f>
        <v>132.44951105519999</v>
      </c>
      <c r="I36" s="160">
        <f>I37*I27</f>
        <v>130.94428353896805</v>
      </c>
      <c r="J36" s="160">
        <f>J37*J27</f>
        <v>128.60041449603204</v>
      </c>
      <c r="K36" s="160">
        <f t="shared" si="29"/>
        <v>125.30818255377837</v>
      </c>
      <c r="L36" s="160">
        <f t="shared" si="29"/>
        <v>120.94655936200749</v>
      </c>
      <c r="M36" s="160">
        <f t="shared" si="29"/>
        <v>115.27941139860154</v>
      </c>
      <c r="N36" s="160">
        <f t="shared" si="29"/>
        <v>109.1309543294301</v>
      </c>
      <c r="O36" s="160">
        <f t="shared" si="29"/>
        <v>101.37577843832966</v>
      </c>
      <c r="P36" s="160">
        <f t="shared" si="29"/>
        <v>91.794653614181428</v>
      </c>
      <c r="Q36" s="160">
        <f t="shared" ref="Q36:AA36" si="30">Q37*Q27</f>
        <v>61.378461679958164</v>
      </c>
      <c r="R36" s="857">
        <f t="shared" si="30"/>
        <v>66.146749156507937</v>
      </c>
      <c r="S36" s="848">
        <f t="shared" si="30"/>
        <v>71.299022773454197</v>
      </c>
      <c r="T36" s="848">
        <f t="shared" si="30"/>
        <v>76.867174667552888</v>
      </c>
      <c r="U36" s="848">
        <f t="shared" si="30"/>
        <v>82.885812768221314</v>
      </c>
      <c r="V36" s="848">
        <f t="shared" si="30"/>
        <v>89.392496546132335</v>
      </c>
      <c r="W36" s="848">
        <f t="shared" si="30"/>
        <v>96.427993519091032</v>
      </c>
      <c r="X36" s="848">
        <f t="shared" si="30"/>
        <v>104.03655836159061</v>
      </c>
      <c r="Y36" s="848">
        <f t="shared" si="30"/>
        <v>112.26623662986887</v>
      </c>
      <c r="Z36" s="848">
        <f t="shared" si="30"/>
        <v>121.16919529460597</v>
      </c>
      <c r="AA36" s="848">
        <f t="shared" si="30"/>
        <v>130.80208246996386</v>
      </c>
    </row>
    <row r="37" spans="2:44" s="281" customFormat="1" ht="14.45">
      <c r="B37" s="818" t="s">
        <v>40</v>
      </c>
      <c r="E37" s="282">
        <f>IFERROR(E36/E$27,"")</f>
        <v>0.4218009478672986</v>
      </c>
      <c r="F37" s="282">
        <f>IFERROR(F36/F$27,"")</f>
        <v>0.45094031071136548</v>
      </c>
      <c r="G37" s="811">
        <f>IFERROR(G36/G$27,"")</f>
        <v>0.28381476386978449</v>
      </c>
      <c r="H37" s="302">
        <v>0.28399999999999997</v>
      </c>
      <c r="I37" s="302">
        <f>+H37-($H$37-$Q$37)/10</f>
        <v>0.2626</v>
      </c>
      <c r="J37" s="302">
        <f>+I37-($H$37-$Q$37)/10</f>
        <v>0.2412</v>
      </c>
      <c r="K37" s="302">
        <f>+J37-($H$37-$Q$37)/10</f>
        <v>0.2198</v>
      </c>
      <c r="L37" s="302">
        <f t="shared" ref="L37:P37" si="31">+K37-($H$37-$Q$37)/10</f>
        <v>0.19839999999999999</v>
      </c>
      <c r="M37" s="302">
        <f t="shared" si="31"/>
        <v>0.17699999999999999</v>
      </c>
      <c r="N37" s="302">
        <f t="shared" si="31"/>
        <v>0.15559999999999999</v>
      </c>
      <c r="O37" s="302">
        <f t="shared" si="31"/>
        <v>0.13419999999999999</v>
      </c>
      <c r="P37" s="302">
        <f t="shared" si="31"/>
        <v>0.11279999999999998</v>
      </c>
      <c r="Q37" s="302">
        <v>7.0000000000000007E-2</v>
      </c>
      <c r="R37" s="859">
        <f t="shared" ref="R37:Z37" si="32">Q37-($Q$37-$AA$37)/10</f>
        <v>7.0000000000000007E-2</v>
      </c>
      <c r="S37" s="302">
        <f t="shared" si="32"/>
        <v>7.0000000000000007E-2</v>
      </c>
      <c r="T37" s="302">
        <f t="shared" si="32"/>
        <v>7.0000000000000007E-2</v>
      </c>
      <c r="U37" s="302">
        <f t="shared" si="32"/>
        <v>7.0000000000000007E-2</v>
      </c>
      <c r="V37" s="302">
        <f t="shared" si="32"/>
        <v>7.0000000000000007E-2</v>
      </c>
      <c r="W37" s="302">
        <f t="shared" si="32"/>
        <v>7.0000000000000007E-2</v>
      </c>
      <c r="X37" s="302">
        <f t="shared" si="32"/>
        <v>7.0000000000000007E-2</v>
      </c>
      <c r="Y37" s="302">
        <f t="shared" si="32"/>
        <v>7.0000000000000007E-2</v>
      </c>
      <c r="Z37" s="302">
        <f t="shared" si="32"/>
        <v>7.0000000000000007E-2</v>
      </c>
      <c r="AA37" s="302">
        <v>7.0000000000000007E-2</v>
      </c>
    </row>
    <row r="38" spans="2:44" ht="3.75" customHeight="1">
      <c r="B38" s="274"/>
      <c r="E38" s="157"/>
      <c r="F38" s="157"/>
      <c r="G38" s="812"/>
      <c r="H38" s="156"/>
      <c r="I38" s="156"/>
      <c r="J38" s="156"/>
      <c r="K38" s="156"/>
      <c r="L38" s="156"/>
      <c r="O38" s="135"/>
      <c r="P38" s="135"/>
      <c r="Q38" s="135"/>
      <c r="R38" s="856"/>
      <c r="AR38" s="130" t="s">
        <v>439</v>
      </c>
    </row>
    <row r="39" spans="2:44" ht="15.6">
      <c r="B39" s="817" t="s">
        <v>301</v>
      </c>
      <c r="E39" s="153">
        <f>+_xlfn.XLOOKUP($B39,Inputs!$B:$B,Inputs!O:O)</f>
        <v>65.2</v>
      </c>
      <c r="F39" s="153">
        <f>+_xlfn.XLOOKUP($B39,Inputs!$B:$B,Inputs!P:P)</f>
        <v>119.1</v>
      </c>
      <c r="G39" s="295">
        <f>+_xlfn.XLOOKUP($B39,Inputs!$B:$B,Inputs!Q:Q)</f>
        <v>174.4</v>
      </c>
      <c r="H39" s="160">
        <f t="shared" ref="H39:Q39" si="33">G39*(1+H40)</f>
        <v>218</v>
      </c>
      <c r="I39" s="160">
        <f t="shared" si="33"/>
        <v>269.22999999999996</v>
      </c>
      <c r="J39" s="160">
        <f t="shared" si="33"/>
        <v>328.46059999999994</v>
      </c>
      <c r="K39" s="160">
        <f t="shared" si="33"/>
        <v>395.79502299999996</v>
      </c>
      <c r="L39" s="160">
        <f t="shared" si="33"/>
        <v>470.99607736999991</v>
      </c>
      <c r="M39" s="160">
        <f t="shared" si="33"/>
        <v>553.42039090974981</v>
      </c>
      <c r="N39" s="160">
        <f t="shared" si="33"/>
        <v>641.96765345530969</v>
      </c>
      <c r="O39" s="160">
        <f t="shared" si="33"/>
        <v>735.05296320632965</v>
      </c>
      <c r="P39" s="160">
        <f t="shared" si="33"/>
        <v>830.60984842315247</v>
      </c>
      <c r="Q39" s="160">
        <f t="shared" si="33"/>
        <v>913.67083326546776</v>
      </c>
      <c r="R39" s="857">
        <f t="shared" ref="R39:AA39" si="34">Q39*(1+R40)</f>
        <v>998.18538534252355</v>
      </c>
      <c r="S39" s="848">
        <f t="shared" si="34"/>
        <v>1083.0311430966381</v>
      </c>
      <c r="T39" s="848">
        <f t="shared" si="34"/>
        <v>1166.9660566866273</v>
      </c>
      <c r="U39" s="848">
        <f t="shared" si="34"/>
        <v>1248.6536806546912</v>
      </c>
      <c r="V39" s="848">
        <f t="shared" si="34"/>
        <v>1326.6945356956094</v>
      </c>
      <c r="W39" s="848">
        <f t="shared" si="34"/>
        <v>1399.6627351588679</v>
      </c>
      <c r="X39" s="848">
        <f t="shared" si="34"/>
        <v>1466.146715078914</v>
      </c>
      <c r="Y39" s="848">
        <f t="shared" si="34"/>
        <v>1524.7925836820707</v>
      </c>
      <c r="Z39" s="848">
        <f t="shared" si="34"/>
        <v>1574.348342651738</v>
      </c>
      <c r="AA39" s="848">
        <f t="shared" si="34"/>
        <v>1613.7070512180312</v>
      </c>
    </row>
    <row r="40" spans="2:44" s="281" customFormat="1" ht="14.45">
      <c r="B40" s="818" t="s">
        <v>433</v>
      </c>
      <c r="E40" s="292"/>
      <c r="F40" s="292">
        <f>(F39/E39)-1</f>
        <v>0.82668711656441696</v>
      </c>
      <c r="G40" s="811">
        <f>(G39/F39)-1</f>
        <v>0.46431570109151976</v>
      </c>
      <c r="H40" s="302">
        <v>0.25</v>
      </c>
      <c r="I40" s="302">
        <f>H40-($H$40-$Q$40)/10</f>
        <v>0.23499999999999999</v>
      </c>
      <c r="J40" s="302">
        <f>I40-($H$40-$Q$40)/10</f>
        <v>0.21999999999999997</v>
      </c>
      <c r="K40" s="302">
        <f t="shared" ref="K40:P40" si="35">J40-($H$40-$Q$40)/10</f>
        <v>0.20499999999999996</v>
      </c>
      <c r="L40" s="302">
        <f t="shared" si="35"/>
        <v>0.18999999999999995</v>
      </c>
      <c r="M40" s="302">
        <f t="shared" si="35"/>
        <v>0.17499999999999993</v>
      </c>
      <c r="N40" s="302">
        <f t="shared" si="35"/>
        <v>0.15999999999999992</v>
      </c>
      <c r="O40" s="302">
        <f t="shared" si="35"/>
        <v>0.14499999999999991</v>
      </c>
      <c r="P40" s="302">
        <f t="shared" si="35"/>
        <v>0.12999999999999989</v>
      </c>
      <c r="Q40" s="302">
        <v>0.1</v>
      </c>
      <c r="R40" s="859">
        <f t="shared" ref="R40:Z40" si="36">+Q40-($Q$40-$AA$40)/10</f>
        <v>9.2499999999999999E-2</v>
      </c>
      <c r="S40" s="302">
        <f t="shared" si="36"/>
        <v>8.4999999999999992E-2</v>
      </c>
      <c r="T40" s="302">
        <f t="shared" si="36"/>
        <v>7.7499999999999986E-2</v>
      </c>
      <c r="U40" s="302">
        <f t="shared" si="36"/>
        <v>6.9999999999999979E-2</v>
      </c>
      <c r="V40" s="302">
        <f t="shared" si="36"/>
        <v>6.2499999999999979E-2</v>
      </c>
      <c r="W40" s="302">
        <f t="shared" si="36"/>
        <v>5.4999999999999979E-2</v>
      </c>
      <c r="X40" s="302">
        <f t="shared" si="36"/>
        <v>4.749999999999998E-2</v>
      </c>
      <c r="Y40" s="302">
        <f t="shared" si="36"/>
        <v>3.999999999999998E-2</v>
      </c>
      <c r="Z40" s="302">
        <f t="shared" si="36"/>
        <v>3.249999999999998E-2</v>
      </c>
      <c r="AA40" s="302">
        <v>2.5000000000000001E-2</v>
      </c>
    </row>
    <row r="41" spans="2:44" s="247" customFormat="1" ht="5.25" customHeight="1">
      <c r="B41" s="274"/>
      <c r="E41" s="275"/>
      <c r="F41" s="275"/>
      <c r="G41" s="276"/>
      <c r="H41" s="277"/>
      <c r="I41" s="277"/>
      <c r="J41" s="277"/>
      <c r="K41" s="277"/>
      <c r="L41" s="277"/>
      <c r="O41" s="278"/>
      <c r="P41" s="278"/>
      <c r="Q41" s="278"/>
      <c r="R41" s="861"/>
    </row>
    <row r="42" spans="2:44" ht="15.6">
      <c r="B42" s="819" t="s">
        <v>440</v>
      </c>
      <c r="E42" s="153">
        <f>+_xlfn.XLOOKUP($B42,Inputs!$B:$B,Inputs!O:O)</f>
        <v>0</v>
      </c>
      <c r="F42" s="153">
        <f>+_xlfn.XLOOKUP($B42,Inputs!$B:$B,Inputs!P:P)</f>
        <v>0</v>
      </c>
      <c r="G42" s="295">
        <f>+_xlfn.XLOOKUP($B42,Inputs!$B:$B,Inputs!Q:Q)</f>
        <v>0</v>
      </c>
      <c r="H42" s="160">
        <f>IFERROR(AVERAGE(E42:G42)*(1+H28),"")</f>
        <v>0</v>
      </c>
      <c r="I42" s="160">
        <f t="shared" ref="I42:Q42" si="37">IFERROR(AVERAGE(F42:H42)*(1+I28),"")</f>
        <v>0</v>
      </c>
      <c r="J42" s="160">
        <f t="shared" si="37"/>
        <v>0</v>
      </c>
      <c r="K42" s="160">
        <f t="shared" si="37"/>
        <v>0</v>
      </c>
      <c r="L42" s="160">
        <f t="shared" si="37"/>
        <v>0</v>
      </c>
      <c r="M42" s="160">
        <f t="shared" si="37"/>
        <v>0</v>
      </c>
      <c r="N42" s="160">
        <f t="shared" si="37"/>
        <v>0</v>
      </c>
      <c r="O42" s="160">
        <f t="shared" si="37"/>
        <v>0</v>
      </c>
      <c r="P42" s="160">
        <f t="shared" si="37"/>
        <v>0</v>
      </c>
      <c r="Q42" s="160">
        <f t="shared" si="37"/>
        <v>0</v>
      </c>
      <c r="R42" s="856"/>
      <c r="S42" s="195"/>
      <c r="T42" s="195"/>
      <c r="U42" s="195"/>
      <c r="V42" s="195"/>
      <c r="W42" s="195"/>
      <c r="X42" s="195"/>
      <c r="Y42" s="195"/>
      <c r="Z42" s="195"/>
      <c r="AA42" s="281">
        <f>S42*1000000</f>
        <v>0</v>
      </c>
    </row>
    <row r="43" spans="2:44" ht="5.25" customHeight="1">
      <c r="B43" s="820"/>
      <c r="E43" s="153"/>
      <c r="F43" s="153"/>
      <c r="G43" s="295"/>
      <c r="H43" s="163"/>
      <c r="I43" s="163"/>
      <c r="J43" s="163"/>
      <c r="K43" s="163"/>
      <c r="L43" s="163"/>
      <c r="O43" s="162"/>
      <c r="P43" s="162"/>
      <c r="Q43" s="162"/>
      <c r="R43" s="856"/>
    </row>
    <row r="44" spans="2:44" ht="15.6">
      <c r="B44" s="820" t="s">
        <v>233</v>
      </c>
      <c r="E44" s="153">
        <f>+_xlfn.XLOOKUP($B44,Inputs!$B:$B,Inputs!O:O)</f>
        <v>-135.19999999999999</v>
      </c>
      <c r="F44" s="153">
        <f>+_xlfn.XLOOKUP($B44,Inputs!$B:$B,Inputs!P:P)</f>
        <v>-178</v>
      </c>
      <c r="G44" s="295">
        <f>+_xlfn.XLOOKUP($B44,Inputs!$B:$B,Inputs!Q:Q)</f>
        <v>-182.10000000000002</v>
      </c>
      <c r="H44" s="160">
        <f>IFERROR(H33-H36-H39-H42,"")</f>
        <v>-254.75007560263998</v>
      </c>
      <c r="I44" s="160">
        <f t="shared" ref="I44:Q44" si="38">IFERROR(I33-I36-I39-I42,"")</f>
        <v>-275.97833449058396</v>
      </c>
      <c r="J44" s="160">
        <f t="shared" si="38"/>
        <v>-300.87797931207268</v>
      </c>
      <c r="K44" s="160">
        <f t="shared" si="38"/>
        <v>-329.09321518019988</v>
      </c>
      <c r="L44" s="160">
        <f t="shared" si="38"/>
        <v>-359.88455408514506</v>
      </c>
      <c r="M44" s="160">
        <f t="shared" si="38"/>
        <v>-392.20289391426695</v>
      </c>
      <c r="N44" s="160">
        <f t="shared" si="38"/>
        <v>-422.58357560026013</v>
      </c>
      <c r="O44" s="160">
        <f t="shared" si="38"/>
        <v>-449.45830869874544</v>
      </c>
      <c r="P44" s="160">
        <f t="shared" si="38"/>
        <v>-469.83298876930718</v>
      </c>
      <c r="Q44" s="160">
        <f t="shared" si="38"/>
        <v>-448.94819483149888</v>
      </c>
      <c r="R44" s="857">
        <f t="shared" ref="R44:AA44" si="39">IFERROR(R33-R36-R39-R42,"")</f>
        <v>-535.15814124696817</v>
      </c>
      <c r="S44" s="848">
        <f t="shared" si="39"/>
        <v>-624.68028241014679</v>
      </c>
      <c r="T44" s="848">
        <f t="shared" si="39"/>
        <v>-716.74403363381748</v>
      </c>
      <c r="U44" s="848">
        <f t="shared" si="39"/>
        <v>-810.54295602266438</v>
      </c>
      <c r="V44" s="848">
        <f t="shared" si="39"/>
        <v>-905.27276626384287</v>
      </c>
      <c r="W44" s="848">
        <f t="shared" si="39"/>
        <v>-1000.1753334369196</v>
      </c>
      <c r="X44" s="848">
        <f t="shared" si="39"/>
        <v>-1094.5875780732335</v>
      </c>
      <c r="Y44" s="848">
        <f t="shared" si="39"/>
        <v>-1187.9938737924645</v>
      </c>
      <c r="Z44" s="848">
        <f t="shared" si="39"/>
        <v>-1280.0802969362667</v>
      </c>
      <c r="AA44" s="848">
        <f t="shared" si="39"/>
        <v>-1370.7888980595269</v>
      </c>
    </row>
    <row r="45" spans="2:44" s="281" customFormat="1" ht="14.45">
      <c r="B45" s="814" t="s">
        <v>36</v>
      </c>
      <c r="E45" s="282">
        <f t="shared" ref="E45:Q45" si="40">IFERROR(E44/E$27,"")</f>
        <v>-0.64075829383886251</v>
      </c>
      <c r="F45" s="282">
        <f t="shared" si="40"/>
        <v>-0.7277187244480785</v>
      </c>
      <c r="G45" s="293">
        <f t="shared" si="40"/>
        <v>-0.41746905089408537</v>
      </c>
      <c r="H45" s="282">
        <f t="shared" si="40"/>
        <v>-0.54623849416097425</v>
      </c>
      <c r="I45" s="282">
        <f t="shared" si="40"/>
        <v>-0.55345608589060891</v>
      </c>
      <c r="J45" s="282">
        <f t="shared" si="40"/>
        <v>-0.56431986548776736</v>
      </c>
      <c r="K45" s="282">
        <f t="shared" si="40"/>
        <v>-0.57725431190867471</v>
      </c>
      <c r="L45" s="282">
        <f t="shared" si="40"/>
        <v>-0.59035243257132075</v>
      </c>
      <c r="M45" s="282">
        <f t="shared" si="40"/>
        <v>-0.60218829520903838</v>
      </c>
      <c r="N45" s="282">
        <f t="shared" si="40"/>
        <v>-0.6025238647222948</v>
      </c>
      <c r="O45" s="282">
        <f t="shared" si="40"/>
        <v>-0.59498734270203124</v>
      </c>
      <c r="P45" s="282">
        <f t="shared" si="40"/>
        <v>-0.57734474772276134</v>
      </c>
      <c r="Q45" s="282">
        <f t="shared" si="40"/>
        <v>-0.51200979591292917</v>
      </c>
      <c r="R45" s="860">
        <f t="shared" ref="R45:AA45" si="41">IFERROR(R44/R$27,"")</f>
        <v>-0.5663327429538858</v>
      </c>
      <c r="S45" s="292">
        <f t="shared" si="41"/>
        <v>-0.61329900562102502</v>
      </c>
      <c r="T45" s="292">
        <f t="shared" si="41"/>
        <v>-0.6527114151308312</v>
      </c>
      <c r="U45" s="292">
        <f t="shared" si="41"/>
        <v>-0.68453218984829745</v>
      </c>
      <c r="V45" s="292">
        <f t="shared" si="41"/>
        <v>-0.70888604845896019</v>
      </c>
      <c r="W45" s="292">
        <f t="shared" si="41"/>
        <v>-0.7260575563746765</v>
      </c>
      <c r="X45" s="292">
        <f t="shared" si="41"/>
        <v>-0.73648274867783603</v>
      </c>
      <c r="Y45" s="292">
        <f t="shared" si="41"/>
        <v>-0.7407353596401538</v>
      </c>
      <c r="Z45" s="292">
        <f t="shared" si="41"/>
        <v>-0.73950826006292381</v>
      </c>
      <c r="AA45" s="292">
        <f t="shared" si="41"/>
        <v>-0.73359094176655126</v>
      </c>
    </row>
    <row r="46" spans="2:44" ht="3.75" customHeight="1">
      <c r="B46" s="274"/>
      <c r="E46" s="157"/>
      <c r="F46" s="157"/>
      <c r="G46" s="810"/>
      <c r="H46" s="157"/>
      <c r="I46" s="157"/>
      <c r="J46" s="157"/>
      <c r="K46" s="157"/>
      <c r="L46" s="157"/>
      <c r="O46" s="162"/>
      <c r="P46" s="162"/>
      <c r="Q46" s="162"/>
      <c r="R46" s="856"/>
    </row>
    <row r="47" spans="2:44" ht="13.5" customHeight="1">
      <c r="B47" s="817" t="s">
        <v>441</v>
      </c>
      <c r="E47" s="153">
        <f>+_xlfn.XLOOKUP($B47,Inputs!$B:$B,Inputs!O:O)</f>
        <v>29.43</v>
      </c>
      <c r="F47" s="153">
        <f>+_xlfn.XLOOKUP($B47,Inputs!$B:$B,Inputs!P:P)</f>
        <v>28.5</v>
      </c>
      <c r="G47" s="295">
        <f>+_xlfn.XLOOKUP($B47,Inputs!$B:$B,Inputs!Q:Q)</f>
        <v>31.87</v>
      </c>
      <c r="H47" s="177">
        <f>+IFERROR(H50+H53,"")</f>
        <v>35.227154036537357</v>
      </c>
      <c r="I47" s="177">
        <f t="shared" ref="I47:Q47" si="42">+IFERROR(I50+I53,"")</f>
        <v>37.700125437432796</v>
      </c>
      <c r="J47" s="177">
        <f t="shared" si="42"/>
        <v>42.324259106766306</v>
      </c>
      <c r="K47" s="177">
        <f t="shared" si="42"/>
        <v>46.981322438608373</v>
      </c>
      <c r="L47" s="177">
        <f t="shared" si="42"/>
        <v>51.262669285501161</v>
      </c>
      <c r="M47" s="177">
        <f t="shared" si="42"/>
        <v>56.056383667432698</v>
      </c>
      <c r="N47" s="177">
        <f t="shared" si="42"/>
        <v>60.815854105977543</v>
      </c>
      <c r="O47" s="177">
        <f t="shared" si="42"/>
        <v>65.526286339695673</v>
      </c>
      <c r="P47" s="177">
        <f t="shared" si="42"/>
        <v>70.268936962245988</v>
      </c>
      <c r="Q47" s="177">
        <f t="shared" si="42"/>
        <v>74.880636876400033</v>
      </c>
      <c r="R47" s="862">
        <f t="shared" ref="R47:AA47" si="43">+IFERROR(R50+R53,"")</f>
        <v>79.324983611316256</v>
      </c>
      <c r="S47" s="198">
        <f t="shared" si="43"/>
        <v>84.552482424885739</v>
      </c>
      <c r="T47" s="198">
        <f t="shared" si="43"/>
        <v>90.097863890899234</v>
      </c>
      <c r="U47" s="198">
        <f t="shared" si="43"/>
        <v>95.988931529559821</v>
      </c>
      <c r="V47" s="198">
        <f t="shared" si="43"/>
        <v>102.24807154412633</v>
      </c>
      <c r="W47" s="198">
        <f t="shared" si="43"/>
        <v>108.89503017861369</v>
      </c>
      <c r="X47" s="198">
        <f t="shared" si="43"/>
        <v>115.95576545838603</v>
      </c>
      <c r="Y47" s="198">
        <f t="shared" si="43"/>
        <v>123.45575259383368</v>
      </c>
      <c r="Z47" s="198">
        <f t="shared" si="43"/>
        <v>131.4219042712958</v>
      </c>
      <c r="AA47" s="198">
        <f t="shared" si="43"/>
        <v>139.88356581226847</v>
      </c>
    </row>
    <row r="48" spans="2:44" ht="13.5" customHeight="1">
      <c r="B48" s="818" t="s">
        <v>442</v>
      </c>
      <c r="E48" s="297">
        <f>IFERROR(E47/AVERAGE(Inputs!O39+Inputs!O42+Inputs!O44,Inputs!N39+Inputs!N42+Inputs!N44),"")</f>
        <v>0.16327323162274618</v>
      </c>
      <c r="F48" s="297">
        <f>IFERROR(F47/AVERAGE(Inputs!P39+Inputs!P42+Inputs!P44,Inputs!O39+Inputs!O42+Inputs!O44),"")</f>
        <v>0.11085180863477248</v>
      </c>
      <c r="G48" s="293">
        <f>IFERROR(G47/AVERAGE(Inputs!Q39+Inputs!Q42+Inputs!Q44,Inputs!P39+Inputs!P42+Inputs!P44),"")</f>
        <v>0.10203297582839764</v>
      </c>
      <c r="H48" s="157">
        <f>IFERROR(H47/(G96+G102),"")</f>
        <v>0.10953717051162115</v>
      </c>
      <c r="I48" s="157">
        <f t="shared" ref="I48:Q48" si="44">IFERROR(I47/(H96+H102),"")</f>
        <v>0.10322457553582605</v>
      </c>
      <c r="J48" s="157">
        <f t="shared" si="44"/>
        <v>0.10509786365226459</v>
      </c>
      <c r="K48" s="157">
        <f t="shared" si="44"/>
        <v>0.107213468129291</v>
      </c>
      <c r="L48" s="157">
        <f t="shared" si="44"/>
        <v>0.10814643031753102</v>
      </c>
      <c r="M48" s="157">
        <f t="shared" si="44"/>
        <v>0.11089710947872758</v>
      </c>
      <c r="N48" s="157">
        <f t="shared" si="44"/>
        <v>0.11403775187223406</v>
      </c>
      <c r="O48" s="157">
        <f t="shared" si="44"/>
        <v>0.11761829692012696</v>
      </c>
      <c r="P48" s="157">
        <f t="shared" si="44"/>
        <v>0.12217550345006092</v>
      </c>
      <c r="Q48" s="157">
        <f t="shared" si="44"/>
        <v>0.12756629076909493</v>
      </c>
      <c r="R48" s="863">
        <f t="shared" ref="R48:AA48" si="45">IFERROR(R47/(Q96+Q102),"")</f>
        <v>0.13402795652953992</v>
      </c>
      <c r="S48" s="180">
        <f t="shared" si="45"/>
        <v>0.14002234833474475</v>
      </c>
      <c r="T48" s="180">
        <f t="shared" si="45"/>
        <v>0.14636456584894508</v>
      </c>
      <c r="U48" s="180">
        <f t="shared" si="45"/>
        <v>0.15309495186710834</v>
      </c>
      <c r="V48" s="180">
        <f t="shared" si="45"/>
        <v>0.16025213703646743</v>
      </c>
      <c r="W48" s="180">
        <f t="shared" si="45"/>
        <v>0.1678540794270886</v>
      </c>
      <c r="X48" s="180">
        <f t="shared" si="45"/>
        <v>0.17593865031166178</v>
      </c>
      <c r="Y48" s="180">
        <f t="shared" si="45"/>
        <v>0.18454389067330201</v>
      </c>
      <c r="Z48" s="180">
        <f t="shared" si="45"/>
        <v>0.19370744608182064</v>
      </c>
      <c r="AA48" s="180">
        <f t="shared" si="45"/>
        <v>0.2034749162487455</v>
      </c>
    </row>
    <row r="49" spans="2:27" ht="5.25" customHeight="1">
      <c r="B49" s="274"/>
      <c r="E49" s="157"/>
      <c r="F49" s="157"/>
      <c r="G49" s="810"/>
      <c r="H49" s="157"/>
      <c r="I49" s="157"/>
      <c r="J49" s="157"/>
      <c r="K49" s="157"/>
      <c r="L49" s="157"/>
      <c r="O49" s="162"/>
      <c r="P49" s="162"/>
      <c r="Q49" s="162"/>
      <c r="R49" s="856"/>
    </row>
    <row r="50" spans="2:27" s="155" customFormat="1" ht="15.6">
      <c r="B50" s="821" t="s">
        <v>443</v>
      </c>
      <c r="E50" s="299">
        <f>+_xlfn.XLOOKUP($B50,Inputs!$B:$B,Inputs!O:O)</f>
        <v>16.2</v>
      </c>
      <c r="F50" s="299">
        <f>+_xlfn.XLOOKUP($B50,Inputs!$B:$B,Inputs!P:P)</f>
        <v>15.4</v>
      </c>
      <c r="G50" s="316">
        <f>+_xlfn.XLOOKUP($B50,Inputs!$B:$B,Inputs!Q:Q)</f>
        <v>19.8</v>
      </c>
      <c r="H50" s="300">
        <f>IFERROR(H51*(G97+G98),"")</f>
        <v>21.681000000000001</v>
      </c>
      <c r="I50" s="300">
        <f t="shared" ref="I50:Q50" si="46">IFERROR(I51*(H97+H98),"")</f>
        <v>25.991151139227576</v>
      </c>
      <c r="J50" s="300">
        <f t="shared" si="46"/>
        <v>30.180809388455689</v>
      </c>
      <c r="K50" s="300">
        <f t="shared" si="46"/>
        <v>34.515129754257309</v>
      </c>
      <c r="L50" s="300">
        <f t="shared" si="46"/>
        <v>39.156463718545531</v>
      </c>
      <c r="M50" s="300">
        <f t="shared" si="46"/>
        <v>43.817767677560262</v>
      </c>
      <c r="N50" s="300">
        <f t="shared" si="46"/>
        <v>48.545516025584497</v>
      </c>
      <c r="O50" s="300">
        <f t="shared" si="46"/>
        <v>53.321233127288636</v>
      </c>
      <c r="P50" s="300">
        <f t="shared" si="46"/>
        <v>58.030934534688477</v>
      </c>
      <c r="Q50" s="300">
        <f t="shared" si="46"/>
        <v>62.642838969614168</v>
      </c>
      <c r="R50" s="864">
        <f t="shared" ref="R50:AA50" si="47">IFERROR(R51*(Q97+Q98),"")</f>
        <v>67.098032429066123</v>
      </c>
      <c r="S50" s="847">
        <f t="shared" si="47"/>
        <v>72.318231919354574</v>
      </c>
      <c r="T50" s="847">
        <f t="shared" si="47"/>
        <v>77.864864026043506</v>
      </c>
      <c r="U50" s="847">
        <f t="shared" si="47"/>
        <v>83.757531012014141</v>
      </c>
      <c r="V50" s="847">
        <f t="shared" si="47"/>
        <v>90.015187914815471</v>
      </c>
      <c r="W50" s="847">
        <f t="shared" si="47"/>
        <v>96.662602174709605</v>
      </c>
      <c r="X50" s="847">
        <f t="shared" si="47"/>
        <v>103.72352807479915</v>
      </c>
      <c r="Y50" s="847">
        <f t="shared" si="47"/>
        <v>111.22323625489975</v>
      </c>
      <c r="Z50" s="847">
        <f t="shared" si="47"/>
        <v>119.18951036248751</v>
      </c>
      <c r="AA50" s="847">
        <f t="shared" si="47"/>
        <v>127.6511832684921</v>
      </c>
    </row>
    <row r="51" spans="2:27" s="281" customFormat="1" ht="14.45">
      <c r="B51" s="822" t="s">
        <v>444</v>
      </c>
      <c r="E51" s="297">
        <f>IFERROR(E50/AVERAGE(Inputs!O40+Inputs!O42,Inputs!N40+Inputs!N42),"")</f>
        <v>0.10629921259842519</v>
      </c>
      <c r="F51" s="297">
        <f>IFERROR(F50/AVERAGE(Inputs!P40+Inputs!P42,Inputs!O40+Inputs!O42),"")</f>
        <v>6.7292986672492908E-2</v>
      </c>
      <c r="G51" s="293">
        <f>IFERROR(G50/AVERAGE(Inputs!Q40+Inputs!Q42,Inputs!P40+Inputs!P42),"")</f>
        <v>6.6287244727150987E-2</v>
      </c>
      <c r="H51" s="302">
        <v>6.6000000000000003E-2</v>
      </c>
      <c r="I51" s="302">
        <v>6.6000000000000003E-2</v>
      </c>
      <c r="J51" s="302">
        <v>6.6000000000000003E-2</v>
      </c>
      <c r="K51" s="302">
        <v>6.6000000000000003E-2</v>
      </c>
      <c r="L51" s="302">
        <v>6.6000000000000003E-2</v>
      </c>
      <c r="M51" s="302">
        <v>6.6000000000000003E-2</v>
      </c>
      <c r="N51" s="302">
        <v>6.6000000000000003E-2</v>
      </c>
      <c r="O51" s="302">
        <v>6.6000000000000003E-2</v>
      </c>
      <c r="P51" s="302">
        <v>6.6000000000000003E-2</v>
      </c>
      <c r="Q51" s="302">
        <v>6.6000000000000003E-2</v>
      </c>
      <c r="R51" s="859">
        <v>6.6000000000000003E-2</v>
      </c>
      <c r="S51" s="302">
        <v>6.6000000000000003E-2</v>
      </c>
      <c r="T51" s="302">
        <v>6.6000000000000003E-2</v>
      </c>
      <c r="U51" s="302">
        <v>6.6000000000000003E-2</v>
      </c>
      <c r="V51" s="302">
        <v>6.6000000000000003E-2</v>
      </c>
      <c r="W51" s="302">
        <v>6.6000000000000003E-2</v>
      </c>
      <c r="X51" s="302">
        <v>6.6000000000000003E-2</v>
      </c>
      <c r="Y51" s="302">
        <v>6.6000000000000003E-2</v>
      </c>
      <c r="Z51" s="302">
        <v>6.6000000000000003E-2</v>
      </c>
      <c r="AA51" s="302">
        <v>6.6000000000000003E-2</v>
      </c>
    </row>
    <row r="52" spans="2:27" ht="3.75" customHeight="1">
      <c r="B52" s="274"/>
      <c r="E52" s="157"/>
      <c r="F52" s="157"/>
      <c r="G52" s="810"/>
      <c r="H52" s="163"/>
      <c r="I52" s="163"/>
      <c r="J52" s="163"/>
      <c r="K52" s="163"/>
      <c r="L52" s="163"/>
      <c r="M52" s="163"/>
      <c r="N52" s="163"/>
      <c r="O52" s="163"/>
      <c r="P52" s="163"/>
      <c r="Q52" s="163"/>
      <c r="R52" s="856"/>
    </row>
    <row r="53" spans="2:27" s="155" customFormat="1" ht="15.6">
      <c r="B53" s="821" t="s">
        <v>445</v>
      </c>
      <c r="E53" s="299">
        <f>+_xlfn.XLOOKUP($B53,Inputs!$B:$B,Inputs!O:O)</f>
        <v>13.23</v>
      </c>
      <c r="F53" s="299">
        <f>+_xlfn.XLOOKUP($B53,Inputs!$B:$B,Inputs!P:P)</f>
        <v>13.1</v>
      </c>
      <c r="G53" s="316">
        <f>+_xlfn.XLOOKUP($B53,Inputs!$B:$B,Inputs!Q:Q)</f>
        <v>12.07</v>
      </c>
      <c r="H53" s="177">
        <f t="shared" ref="H53:Q53" si="48">+H54*G102</f>
        <v>13.546154036537352</v>
      </c>
      <c r="I53" s="177">
        <f t="shared" si="48"/>
        <v>11.708974298205222</v>
      </c>
      <c r="J53" s="177">
        <f t="shared" si="48"/>
        <v>12.143449718310617</v>
      </c>
      <c r="K53" s="177">
        <f t="shared" si="48"/>
        <v>12.466192684351064</v>
      </c>
      <c r="L53" s="177">
        <f t="shared" si="48"/>
        <v>12.106205566955634</v>
      </c>
      <c r="M53" s="177">
        <f t="shared" si="48"/>
        <v>12.238615989872439</v>
      </c>
      <c r="N53" s="177">
        <f t="shared" si="48"/>
        <v>12.270338080393046</v>
      </c>
      <c r="O53" s="177">
        <f t="shared" si="48"/>
        <v>12.205053212407039</v>
      </c>
      <c r="P53" s="177">
        <f t="shared" si="48"/>
        <v>12.238002427557507</v>
      </c>
      <c r="Q53" s="177">
        <f t="shared" si="48"/>
        <v>12.237797906785863</v>
      </c>
      <c r="R53" s="862">
        <f t="shared" ref="R53:AA53" si="49">+R54*Q102</f>
        <v>12.226951182250136</v>
      </c>
      <c r="S53" s="198">
        <f t="shared" si="49"/>
        <v>12.234250505531168</v>
      </c>
      <c r="T53" s="198">
        <f t="shared" si="49"/>
        <v>12.232999864855723</v>
      </c>
      <c r="U53" s="198">
        <f t="shared" si="49"/>
        <v>12.231400517545676</v>
      </c>
      <c r="V53" s="198">
        <f t="shared" si="49"/>
        <v>12.232883629310855</v>
      </c>
      <c r="W53" s="198">
        <f t="shared" si="49"/>
        <v>12.232428003904085</v>
      </c>
      <c r="X53" s="198">
        <f t="shared" si="49"/>
        <v>12.232237383586872</v>
      </c>
      <c r="Y53" s="198">
        <f t="shared" si="49"/>
        <v>12.232516338933937</v>
      </c>
      <c r="Z53" s="198">
        <f t="shared" si="49"/>
        <v>12.232393908808298</v>
      </c>
      <c r="AA53" s="198">
        <f t="shared" si="49"/>
        <v>12.232382543776369</v>
      </c>
    </row>
    <row r="54" spans="2:27" s="281" customFormat="1" ht="14.45">
      <c r="B54" s="822" t="s">
        <v>446</v>
      </c>
      <c r="E54" s="282">
        <f>IFERROR(E53/AVERAGE(Inputs!N45:O45),"")</f>
        <v>0.32466257668711657</v>
      </c>
      <c r="F54" s="282">
        <f>IFERROR(F53/AVERAGE(Inputs!O45:P45),"")</f>
        <v>0.17726657645466848</v>
      </c>
      <c r="G54" s="293">
        <f>IFERROR(G53/AVERAGE(Inputs!P45:Q45),"")</f>
        <v>0.19037854889589909</v>
      </c>
      <c r="H54" s="302">
        <f t="shared" ref="H54:Q54" si="50">AVERAGE(E54:G54)</f>
        <v>0.23076923401256141</v>
      </c>
      <c r="I54" s="302">
        <f t="shared" si="50"/>
        <v>0.199471453121043</v>
      </c>
      <c r="J54" s="302">
        <f t="shared" si="50"/>
        <v>0.20687307867650118</v>
      </c>
      <c r="K54" s="302">
        <f t="shared" si="50"/>
        <v>0.2123712552700352</v>
      </c>
      <c r="L54" s="302">
        <f t="shared" si="50"/>
        <v>0.20623859568919312</v>
      </c>
      <c r="M54" s="302">
        <f t="shared" si="50"/>
        <v>0.20849430987857651</v>
      </c>
      <c r="N54" s="302">
        <f t="shared" si="50"/>
        <v>0.20903472027926828</v>
      </c>
      <c r="O54" s="302">
        <f t="shared" si="50"/>
        <v>0.20792254194901263</v>
      </c>
      <c r="P54" s="302">
        <f t="shared" si="50"/>
        <v>0.20848385736895247</v>
      </c>
      <c r="Q54" s="302">
        <f t="shared" si="50"/>
        <v>0.20848037319907778</v>
      </c>
      <c r="R54" s="859">
        <f t="shared" ref="R54:AA54" si="51">AVERAGE(O54:Q54)</f>
        <v>0.20829559083901428</v>
      </c>
      <c r="S54" s="302">
        <f t="shared" si="51"/>
        <v>0.20841994046901482</v>
      </c>
      <c r="T54" s="302">
        <f t="shared" si="51"/>
        <v>0.20839863483570228</v>
      </c>
      <c r="U54" s="302">
        <f t="shared" si="51"/>
        <v>0.20837138871457714</v>
      </c>
      <c r="V54" s="302">
        <f t="shared" si="51"/>
        <v>0.20839665467309809</v>
      </c>
      <c r="W54" s="302">
        <f t="shared" si="51"/>
        <v>0.20838889274112585</v>
      </c>
      <c r="X54" s="302">
        <f t="shared" si="51"/>
        <v>0.20838564537626703</v>
      </c>
      <c r="Y54" s="302">
        <f t="shared" si="51"/>
        <v>0.20839039759683031</v>
      </c>
      <c r="Z54" s="302">
        <f t="shared" si="51"/>
        <v>0.20838831190474105</v>
      </c>
      <c r="AA54" s="302">
        <f t="shared" si="51"/>
        <v>0.20838811829261281</v>
      </c>
    </row>
    <row r="55" spans="2:27" ht="3.95" customHeight="1">
      <c r="B55" s="247"/>
      <c r="G55" s="161"/>
      <c r="R55" s="856"/>
    </row>
    <row r="56" spans="2:27" ht="15.6">
      <c r="B56" s="247" t="s">
        <v>295</v>
      </c>
      <c r="E56" s="153">
        <f>+_xlfn.XLOOKUP($B56,Inputs!$B:$B,Inputs!O:O)</f>
        <v>-105.76999999999998</v>
      </c>
      <c r="F56" s="153">
        <f>+_xlfn.XLOOKUP($B56,Inputs!$B:$B,Inputs!P:P)</f>
        <v>-149.5</v>
      </c>
      <c r="G56" s="295">
        <f>+_xlfn.XLOOKUP($B56,Inputs!$B:$B,Inputs!Q:Q)</f>
        <v>-150.23000000000002</v>
      </c>
      <c r="H56" s="164">
        <f>+IFERROR(H44-H47,"")</f>
        <v>-289.97722963917732</v>
      </c>
      <c r="I56" s="164">
        <f t="shared" ref="I56:Q56" si="52">+IFERROR(I44-I47,"")</f>
        <v>-313.67845992801676</v>
      </c>
      <c r="J56" s="164">
        <f t="shared" si="52"/>
        <v>-343.20223841883899</v>
      </c>
      <c r="K56" s="164">
        <f t="shared" si="52"/>
        <v>-376.07453761880822</v>
      </c>
      <c r="L56" s="164">
        <f t="shared" si="52"/>
        <v>-411.1472233706462</v>
      </c>
      <c r="M56" s="164">
        <f t="shared" si="52"/>
        <v>-448.25927758169962</v>
      </c>
      <c r="N56" s="164">
        <f t="shared" si="52"/>
        <v>-483.3994297062377</v>
      </c>
      <c r="O56" s="164">
        <f t="shared" si="52"/>
        <v>-514.98459503844106</v>
      </c>
      <c r="P56" s="164">
        <f t="shared" si="52"/>
        <v>-540.10192573155314</v>
      </c>
      <c r="Q56" s="164">
        <f t="shared" si="52"/>
        <v>-523.82883170789887</v>
      </c>
      <c r="R56" s="865">
        <f t="shared" ref="R56:AA56" si="53">+IFERROR(R44-R47,"")</f>
        <v>-614.48312485828444</v>
      </c>
      <c r="S56" s="303">
        <f t="shared" si="53"/>
        <v>-709.23276483503253</v>
      </c>
      <c r="T56" s="303">
        <f t="shared" si="53"/>
        <v>-806.84189752471673</v>
      </c>
      <c r="U56" s="303">
        <f t="shared" si="53"/>
        <v>-906.53188755222425</v>
      </c>
      <c r="V56" s="303">
        <f t="shared" si="53"/>
        <v>-1007.5208378079692</v>
      </c>
      <c r="W56" s="303">
        <f t="shared" si="53"/>
        <v>-1109.0703636155333</v>
      </c>
      <c r="X56" s="303">
        <f t="shared" si="53"/>
        <v>-1210.5433435316195</v>
      </c>
      <c r="Y56" s="303">
        <f t="shared" si="53"/>
        <v>-1311.4496263862982</v>
      </c>
      <c r="Z56" s="303">
        <f t="shared" si="53"/>
        <v>-1411.5022012075624</v>
      </c>
      <c r="AA56" s="303">
        <f t="shared" si="53"/>
        <v>-1510.6724638717953</v>
      </c>
    </row>
    <row r="57" spans="2:27" s="288" customFormat="1" ht="14.45">
      <c r="B57" s="814" t="s">
        <v>243</v>
      </c>
      <c r="E57" s="282">
        <f>IFERROR(E56/E$27,"")</f>
        <v>-0.50127962085308053</v>
      </c>
      <c r="F57" s="282">
        <f>IFERROR(F56/F$27,"")</f>
        <v>-0.61120196238757152</v>
      </c>
      <c r="G57" s="293">
        <f>IFERROR(G56/G$27,"")</f>
        <v>-0.34440623567171025</v>
      </c>
      <c r="H57" s="282">
        <f t="shared" ref="H57:Q57" si="54">IFERROR(H56/H27,"")</f>
        <v>-0.62177302552067926</v>
      </c>
      <c r="I57" s="282">
        <f t="shared" si="54"/>
        <v>-0.62906116518315902</v>
      </c>
      <c r="J57" s="282">
        <f t="shared" si="54"/>
        <v>-0.64370227911806721</v>
      </c>
      <c r="K57" s="282">
        <f t="shared" si="54"/>
        <v>-0.65966309369412846</v>
      </c>
      <c r="L57" s="282">
        <f t="shared" si="54"/>
        <v>-0.6744434033264447</v>
      </c>
      <c r="M57" s="282">
        <f t="shared" si="54"/>
        <v>-0.68825726267477572</v>
      </c>
      <c r="N57" s="282">
        <f t="shared" si="54"/>
        <v>-0.68923571432570441</v>
      </c>
      <c r="O57" s="282">
        <f t="shared" si="54"/>
        <v>-0.68173022904284108</v>
      </c>
      <c r="P57" s="282">
        <f t="shared" si="54"/>
        <v>-0.66369330700439688</v>
      </c>
      <c r="Q57" s="282">
        <f t="shared" si="54"/>
        <v>-0.59740855694215111</v>
      </c>
      <c r="R57" s="860">
        <f t="shared" ref="R57:AA57" si="55">IFERROR(R56/R27,"")</f>
        <v>-0.65027864995007001</v>
      </c>
      <c r="S57" s="292">
        <f t="shared" si="55"/>
        <v>-0.6963109956808049</v>
      </c>
      <c r="T57" s="292">
        <f t="shared" si="55"/>
        <v>-0.73476009845553769</v>
      </c>
      <c r="U57" s="292">
        <f t="shared" si="55"/>
        <v>-0.76559823701198493</v>
      </c>
      <c r="V57" s="292">
        <f t="shared" si="55"/>
        <v>-0.78895277983607504</v>
      </c>
      <c r="W57" s="292">
        <f t="shared" si="55"/>
        <v>-0.80510775574436277</v>
      </c>
      <c r="X57" s="292">
        <f t="shared" si="55"/>
        <v>-0.81450247280092569</v>
      </c>
      <c r="Y57" s="292">
        <f t="shared" si="55"/>
        <v>-0.81771222232826446</v>
      </c>
      <c r="Z57" s="292">
        <f t="shared" si="55"/>
        <v>-0.81543129707429718</v>
      </c>
      <c r="AA57" s="292">
        <f t="shared" si="55"/>
        <v>-0.8084509854444285</v>
      </c>
    </row>
    <row r="58" spans="2:27" customFormat="1" ht="3.75" customHeight="1">
      <c r="B58" s="130"/>
      <c r="E58" s="282"/>
      <c r="F58" s="282"/>
      <c r="G58" s="811"/>
      <c r="H58" s="108"/>
      <c r="I58" s="108"/>
      <c r="J58" s="108"/>
      <c r="K58" s="108"/>
      <c r="L58" s="108"/>
      <c r="M58" s="108"/>
      <c r="N58" s="108"/>
      <c r="O58" s="108"/>
      <c r="P58" s="108"/>
      <c r="Q58" s="108"/>
      <c r="R58" s="866"/>
    </row>
    <row r="59" spans="2:27" customFormat="1" ht="13.5" customHeight="1">
      <c r="B59" s="280" t="s">
        <v>296</v>
      </c>
      <c r="E59" s="153">
        <f>+_xlfn.XLOOKUP($B59,Inputs!$B:$B,Inputs!O:O)</f>
        <v>7.8</v>
      </c>
      <c r="F59" s="153">
        <f>+_xlfn.XLOOKUP($B59,Inputs!$B:$B,Inputs!P:P)</f>
        <v>4.2</v>
      </c>
      <c r="G59" s="295">
        <f>+_xlfn.XLOOKUP($B59,Inputs!$B:$B,Inputs!Q:Q)</f>
        <v>4</v>
      </c>
      <c r="H59" s="164">
        <f>-H62-H65</f>
        <v>0</v>
      </c>
      <c r="I59" s="164">
        <f t="shared" ref="I59:Q59" si="56">-I62-I65</f>
        <v>0</v>
      </c>
      <c r="J59" s="164">
        <f t="shared" si="56"/>
        <v>0</v>
      </c>
      <c r="K59" s="164">
        <f t="shared" si="56"/>
        <v>0</v>
      </c>
      <c r="L59" s="164">
        <f t="shared" si="56"/>
        <v>0</v>
      </c>
      <c r="M59" s="164">
        <f t="shared" si="56"/>
        <v>0</v>
      </c>
      <c r="N59" s="164">
        <f t="shared" si="56"/>
        <v>0</v>
      </c>
      <c r="O59" s="164">
        <f t="shared" si="56"/>
        <v>0</v>
      </c>
      <c r="P59" s="164">
        <f t="shared" si="56"/>
        <v>0</v>
      </c>
      <c r="Q59" s="164">
        <f t="shared" si="56"/>
        <v>0</v>
      </c>
      <c r="R59" s="865">
        <f t="shared" ref="R59:AA59" si="57">-R62-R65</f>
        <v>0</v>
      </c>
      <c r="S59" s="303">
        <f t="shared" si="57"/>
        <v>0</v>
      </c>
      <c r="T59" s="303">
        <f t="shared" si="57"/>
        <v>0</v>
      </c>
      <c r="U59" s="303">
        <f t="shared" si="57"/>
        <v>0</v>
      </c>
      <c r="V59" s="303">
        <f t="shared" si="57"/>
        <v>0</v>
      </c>
      <c r="W59" s="303">
        <f t="shared" si="57"/>
        <v>0</v>
      </c>
      <c r="X59" s="303">
        <f t="shared" si="57"/>
        <v>0</v>
      </c>
      <c r="Y59" s="303">
        <f t="shared" si="57"/>
        <v>0</v>
      </c>
      <c r="Z59" s="303">
        <f t="shared" si="57"/>
        <v>0</v>
      </c>
      <c r="AA59" s="303">
        <f t="shared" si="57"/>
        <v>0</v>
      </c>
    </row>
    <row r="60" spans="2:27" customFormat="1" ht="13.5" customHeight="1">
      <c r="B60" s="298" t="s">
        <v>447</v>
      </c>
      <c r="E60" s="297">
        <f>IFERROR(E59/AVERAGE(Inputs!N115:O115),"")</f>
        <v>-1.7148510497966361E-2</v>
      </c>
      <c r="F60" s="297">
        <f>IFERROR(F59/AVERAGE(Inputs!O115:P115),"")</f>
        <v>-1.9060585432266849E-2</v>
      </c>
      <c r="G60" s="293">
        <f>IFERROR(G59/AVERAGE(Inputs!P115:Q115),"")</f>
        <v>-0.15122873345935725</v>
      </c>
      <c r="H60" s="297">
        <f>IFERROR(H59/AVERAGE(G113+G115,H113+H115),"")</f>
        <v>0</v>
      </c>
      <c r="I60" s="297" t="str">
        <f t="shared" ref="I60:Q60" si="58">IFERROR(I59/AVERAGE(H113+H115,I113+I115),"")</f>
        <v/>
      </c>
      <c r="J60" s="297" t="str">
        <f t="shared" si="58"/>
        <v/>
      </c>
      <c r="K60" s="297" t="str">
        <f t="shared" si="58"/>
        <v/>
      </c>
      <c r="L60" s="297" t="str">
        <f t="shared" si="58"/>
        <v/>
      </c>
      <c r="M60" s="297" t="str">
        <f t="shared" si="58"/>
        <v/>
      </c>
      <c r="N60" s="297" t="str">
        <f t="shared" si="58"/>
        <v/>
      </c>
      <c r="O60" s="297" t="str">
        <f t="shared" si="58"/>
        <v/>
      </c>
      <c r="P60" s="297" t="str">
        <f t="shared" si="58"/>
        <v/>
      </c>
      <c r="Q60" s="297" t="str">
        <f t="shared" si="58"/>
        <v/>
      </c>
      <c r="R60" s="866"/>
    </row>
    <row r="61" spans="2:27" customFormat="1" ht="3.75" customHeight="1">
      <c r="B61" s="130"/>
      <c r="E61" s="282"/>
      <c r="F61" s="282"/>
      <c r="G61" s="293"/>
      <c r="H61" s="108"/>
      <c r="I61" s="108"/>
      <c r="J61" s="108"/>
      <c r="K61" s="108"/>
      <c r="L61" s="108"/>
      <c r="M61" s="108"/>
      <c r="N61" s="108"/>
      <c r="O61" s="108"/>
      <c r="P61" s="108"/>
      <c r="Q61" s="108"/>
      <c r="R61" s="866"/>
    </row>
    <row r="62" spans="2:27" customFormat="1" ht="15.6">
      <c r="B62" s="829" t="s">
        <v>448</v>
      </c>
      <c r="E62" s="153">
        <f>+_xlfn.XLOOKUP($B62,Inputs!$B:$B,Inputs!O:O)</f>
        <v>7.8</v>
      </c>
      <c r="F62" s="153">
        <f>+_xlfn.XLOOKUP($B62,Inputs!$B:$B,Inputs!P:P)</f>
        <v>4.2</v>
      </c>
      <c r="G62" s="295">
        <f>+_xlfn.XLOOKUP($B62,Inputs!$B:$B,Inputs!Q:Q)</f>
        <v>4</v>
      </c>
      <c r="H62" s="164"/>
      <c r="I62" s="164"/>
      <c r="J62" s="164"/>
      <c r="K62" s="164"/>
      <c r="L62" s="164"/>
      <c r="M62" s="164"/>
      <c r="N62" s="164"/>
      <c r="O62" s="164"/>
      <c r="P62" s="164"/>
      <c r="Q62" s="164"/>
      <c r="R62" s="865"/>
      <c r="S62" s="303"/>
      <c r="T62" s="303"/>
      <c r="U62" s="303"/>
      <c r="V62" s="303"/>
      <c r="W62" s="303"/>
      <c r="X62" s="303"/>
      <c r="Y62" s="303"/>
      <c r="Z62" s="303"/>
      <c r="AA62" s="303"/>
    </row>
    <row r="63" spans="2:27" s="288" customFormat="1" ht="14.45">
      <c r="B63" s="822" t="s">
        <v>449</v>
      </c>
      <c r="E63" s="297">
        <f>+IFERROR(E62/AVERAGE(Inputs!N112:O112),"")</f>
        <v>6.1635717107862496E-2</v>
      </c>
      <c r="F63" s="297">
        <f>+IFERROR(F62/AVERAGE(Inputs!O112:P112),"")</f>
        <v>3.0445813700616164E-2</v>
      </c>
      <c r="G63" s="293">
        <f>+IFERROR(G62/AVERAGE(Inputs!P112:Q112),"")</f>
        <v>1.3097576948264572E-2</v>
      </c>
      <c r="H63" s="304"/>
      <c r="I63" s="304">
        <f>+IFERROR(I62/AVERAGE(Inputs!R112:S112),"")</f>
        <v>0</v>
      </c>
      <c r="J63" s="304" t="str">
        <f>+IFERROR(J62/AVERAGE(Inputs!S112:T112),"")</f>
        <v/>
      </c>
      <c r="K63" s="304" t="str">
        <f>+IFERROR(K62/AVERAGE(Inputs!T112:U112),"")</f>
        <v/>
      </c>
      <c r="L63" s="304" t="str">
        <f>+IFERROR(L62/AVERAGE(Inputs!U112:V112),"")</f>
        <v/>
      </c>
      <c r="M63" s="304" t="str">
        <f>+IFERROR(M62/AVERAGE(Inputs!V112:W112),"")</f>
        <v/>
      </c>
      <c r="N63" s="304" t="str">
        <f>+IFERROR(N62/AVERAGE(Inputs!W112:X112),"")</f>
        <v/>
      </c>
      <c r="O63" s="304" t="str">
        <f>+IFERROR(O62/AVERAGE(Inputs!X112:Y112),"")</f>
        <v/>
      </c>
      <c r="P63" s="304" t="str">
        <f>+IFERROR(P62/AVERAGE(Inputs!Y112:Z112),"")</f>
        <v/>
      </c>
      <c r="Q63" s="304" t="str">
        <f>+IFERROR(Q62/AVERAGE(Inputs!Z112:AA112),"")</f>
        <v/>
      </c>
      <c r="R63" s="867" t="str">
        <f>+IFERROR(R62/AVERAGE(Inputs!AA112:AB112),"")</f>
        <v/>
      </c>
      <c r="S63" s="304" t="str">
        <f>+IFERROR(S62/AVERAGE(Inputs!AB112:AC112),"")</f>
        <v/>
      </c>
      <c r="T63" s="304" t="str">
        <f>+IFERROR(T62/AVERAGE(Inputs!AC112:AD112),"")</f>
        <v/>
      </c>
      <c r="U63" s="304" t="str">
        <f>+IFERROR(U62/AVERAGE(Inputs!AD112:AE112),"")</f>
        <v/>
      </c>
      <c r="V63" s="304" t="str">
        <f>+IFERROR(V62/AVERAGE(Inputs!AE112:AF112),"")</f>
        <v/>
      </c>
      <c r="W63" s="304" t="str">
        <f>+IFERROR(W62/AVERAGE(Inputs!AF112:AG112),"")</f>
        <v/>
      </c>
      <c r="X63" s="304" t="str">
        <f>+IFERROR(X62/AVERAGE(Inputs!AG112:AH112),"")</f>
        <v/>
      </c>
      <c r="Y63" s="304" t="str">
        <f>+IFERROR(Y62/AVERAGE(Inputs!AH112:AI112),"")</f>
        <v/>
      </c>
      <c r="Z63" s="304" t="str">
        <f>+IFERROR(Z62/AVERAGE(Inputs!AI112:AJ112),"")</f>
        <v/>
      </c>
      <c r="AA63" s="304" t="str">
        <f>+IFERROR(AA62/AVERAGE(Inputs!AJ112:AK112),"")</f>
        <v/>
      </c>
    </row>
    <row r="64" spans="2:27" customFormat="1" ht="3.75" customHeight="1">
      <c r="B64" s="830"/>
      <c r="E64" s="282"/>
      <c r="F64" s="282"/>
      <c r="G64" s="811"/>
      <c r="H64" s="108"/>
      <c r="I64" s="108"/>
      <c r="J64" s="108"/>
      <c r="K64" s="108"/>
      <c r="L64" s="108"/>
      <c r="M64" s="108"/>
      <c r="N64" s="108"/>
      <c r="O64" s="108"/>
      <c r="P64" s="108"/>
      <c r="Q64" s="108"/>
      <c r="R64" s="866"/>
    </row>
    <row r="65" spans="2:27" customFormat="1" ht="15.6">
      <c r="B65" s="829" t="s">
        <v>450</v>
      </c>
      <c r="E65" s="153">
        <f>+_xlfn.XLOOKUP($B65,Inputs!$B:$B,Inputs!O:O)</f>
        <v>0</v>
      </c>
      <c r="F65" s="153">
        <f>+_xlfn.XLOOKUP($B65,Inputs!$B:$B,Inputs!P:P)</f>
        <v>0</v>
      </c>
      <c r="G65" s="295">
        <f>+_xlfn.XLOOKUP($B65,Inputs!$B:$B,Inputs!Q:Q)</f>
        <v>0</v>
      </c>
      <c r="H65" s="164"/>
      <c r="I65" s="164"/>
      <c r="J65" s="164"/>
      <c r="K65" s="164"/>
      <c r="L65" s="164"/>
      <c r="M65" s="164"/>
      <c r="N65" s="164"/>
      <c r="O65" s="164"/>
      <c r="P65" s="164"/>
      <c r="Q65" s="164"/>
      <c r="R65" s="865"/>
      <c r="S65" s="303"/>
      <c r="T65" s="303"/>
      <c r="U65" s="303"/>
      <c r="V65" s="303"/>
      <c r="W65" s="303"/>
      <c r="X65" s="303"/>
      <c r="Y65" s="303"/>
      <c r="Z65" s="303"/>
      <c r="AA65" s="303"/>
    </row>
    <row r="66" spans="2:27" s="288" customFormat="1" ht="14.45">
      <c r="B66" s="822" t="s">
        <v>451</v>
      </c>
      <c r="E66" s="282">
        <f>IFERROR(E65/+AVERAGE(Inputs!N32:O32),"")</f>
        <v>0</v>
      </c>
      <c r="F66" s="282">
        <f>IFERROR(F65/+AVERAGE(Inputs!O32:P32),"")</f>
        <v>0</v>
      </c>
      <c r="G66" s="293">
        <f>IFERROR(G65/+AVERAGE(Inputs!P32:Q32),"")</f>
        <v>0</v>
      </c>
      <c r="H66" s="304"/>
      <c r="I66" s="304"/>
      <c r="J66" s="304"/>
      <c r="K66" s="304"/>
      <c r="L66" s="304"/>
      <c r="M66" s="304"/>
      <c r="N66" s="304"/>
      <c r="O66" s="304"/>
      <c r="P66" s="304"/>
      <c r="Q66" s="304"/>
      <c r="R66" s="867"/>
      <c r="S66" s="304"/>
      <c r="T66" s="304"/>
      <c r="U66" s="304"/>
      <c r="V66" s="304"/>
      <c r="W66" s="304"/>
      <c r="X66" s="304"/>
      <c r="Y66" s="304"/>
      <c r="Z66" s="304"/>
      <c r="AA66" s="304"/>
    </row>
    <row r="67" spans="2:27" s="288" customFormat="1" ht="3.75" customHeight="1">
      <c r="B67" s="287"/>
      <c r="E67" s="282"/>
      <c r="F67" s="282"/>
      <c r="G67" s="293"/>
      <c r="H67" s="286"/>
      <c r="I67" s="286"/>
      <c r="J67" s="286"/>
      <c r="K67" s="286"/>
      <c r="L67" s="286"/>
      <c r="M67" s="286"/>
      <c r="N67" s="286"/>
      <c r="O67" s="286"/>
      <c r="P67" s="286"/>
      <c r="Q67" s="286"/>
      <c r="R67" s="868"/>
    </row>
    <row r="68" spans="2:27" s="288" customFormat="1" ht="15.6">
      <c r="B68" s="280" t="s">
        <v>452</v>
      </c>
      <c r="E68" s="294">
        <f>+_xlfn.XLOOKUP($B68,Inputs!$B:$B,Inputs!O:O)</f>
        <v>4.4000000000000004</v>
      </c>
      <c r="F68" s="294">
        <f>+_xlfn.XLOOKUP($B68,Inputs!$B:$B,Inputs!P:P)</f>
        <v>0.5</v>
      </c>
      <c r="G68" s="295">
        <f>+_xlfn.XLOOKUP($B68,Inputs!$B:$B,Inputs!Q:Q)</f>
        <v>0.1</v>
      </c>
      <c r="H68" s="164">
        <f>+H69*H$17</f>
        <v>0</v>
      </c>
      <c r="I68" s="164">
        <f t="shared" ref="I68:Q68" si="59">+I69*I$17</f>
        <v>0</v>
      </c>
      <c r="J68" s="164">
        <f t="shared" si="59"/>
        <v>0</v>
      </c>
      <c r="K68" s="164">
        <f t="shared" si="59"/>
        <v>0</v>
      </c>
      <c r="L68" s="164">
        <f t="shared" si="59"/>
        <v>0</v>
      </c>
      <c r="M68" s="164">
        <f t="shared" si="59"/>
        <v>0</v>
      </c>
      <c r="N68" s="164">
        <f t="shared" si="59"/>
        <v>0</v>
      </c>
      <c r="O68" s="164">
        <f t="shared" si="59"/>
        <v>0</v>
      </c>
      <c r="P68" s="164">
        <f t="shared" si="59"/>
        <v>0</v>
      </c>
      <c r="Q68" s="164">
        <f t="shared" si="59"/>
        <v>0</v>
      </c>
      <c r="R68" s="865">
        <f t="shared" ref="R68:AA68" si="60">+R69*R$17</f>
        <v>0</v>
      </c>
      <c r="S68" s="303">
        <f t="shared" si="60"/>
        <v>0</v>
      </c>
      <c r="T68" s="303">
        <f t="shared" si="60"/>
        <v>0</v>
      </c>
      <c r="U68" s="303">
        <f t="shared" si="60"/>
        <v>0</v>
      </c>
      <c r="V68" s="303">
        <f t="shared" si="60"/>
        <v>0</v>
      </c>
      <c r="W68" s="303">
        <f t="shared" si="60"/>
        <v>0</v>
      </c>
      <c r="X68" s="303">
        <f t="shared" si="60"/>
        <v>0</v>
      </c>
      <c r="Y68" s="303">
        <f t="shared" si="60"/>
        <v>0</v>
      </c>
      <c r="Z68" s="303">
        <f t="shared" si="60"/>
        <v>0</v>
      </c>
      <c r="AA68" s="303">
        <f t="shared" si="60"/>
        <v>0</v>
      </c>
    </row>
    <row r="69" spans="2:27" s="288" customFormat="1" ht="14.45">
      <c r="B69" s="298" t="s">
        <v>437</v>
      </c>
      <c r="E69" s="282"/>
      <c r="F69" s="282"/>
      <c r="G69" s="293"/>
      <c r="H69" s="304"/>
      <c r="I69" s="304"/>
      <c r="J69" s="304"/>
      <c r="K69" s="304"/>
      <c r="L69" s="304"/>
      <c r="M69" s="304"/>
      <c r="N69" s="304"/>
      <c r="O69" s="304"/>
      <c r="P69" s="304"/>
      <c r="Q69" s="304"/>
      <c r="R69" s="867"/>
      <c r="S69" s="304"/>
      <c r="T69" s="304"/>
      <c r="U69" s="304"/>
      <c r="V69" s="304"/>
      <c r="W69" s="304"/>
      <c r="X69" s="304"/>
      <c r="Y69" s="304"/>
      <c r="Z69" s="304"/>
      <c r="AA69" s="304"/>
    </row>
    <row r="70" spans="2:27" s="288" customFormat="1" ht="5.25" customHeight="1">
      <c r="B70" s="298"/>
      <c r="E70" s="282"/>
      <c r="F70" s="282"/>
      <c r="G70" s="293"/>
      <c r="H70" s="286"/>
      <c r="I70" s="286"/>
      <c r="J70" s="286"/>
      <c r="K70" s="286"/>
      <c r="L70" s="286"/>
      <c r="M70" s="286"/>
      <c r="N70" s="286"/>
      <c r="O70" s="286"/>
      <c r="P70" s="286"/>
      <c r="Q70" s="286"/>
      <c r="R70" s="868"/>
    </row>
    <row r="71" spans="2:27" s="288" customFormat="1" ht="15.6">
      <c r="B71" s="280" t="s">
        <v>453</v>
      </c>
      <c r="E71" s="294">
        <f>+_xlfn.XLOOKUP($B71,Inputs!$B:$B,Inputs!O:O)</f>
        <v>-14.5</v>
      </c>
      <c r="F71" s="294">
        <f>+_xlfn.XLOOKUP($B71,Inputs!$B:$B,Inputs!P:P)</f>
        <v>-3.7</v>
      </c>
      <c r="G71" s="295">
        <f>+_xlfn.XLOOKUP($B71,Inputs!$B:$B,Inputs!Q:Q)</f>
        <v>-4.4000000000000004</v>
      </c>
      <c r="H71" s="303">
        <f>IFERROR(AVERAGE(E71:G71)*(1+H28),"")</f>
        <v>-8.0544064666666682</v>
      </c>
      <c r="I71" s="303">
        <f t="shared" ref="I71:Q71" si="61">IFERROR(AVERAGE(F71:H71)*(1+I28),"")</f>
        <v>-5.757441766987947</v>
      </c>
      <c r="J71" s="303">
        <f t="shared" si="61"/>
        <v>-6.4909163258790006</v>
      </c>
      <c r="K71" s="303">
        <f t="shared" si="61"/>
        <v>-7.2363672883299683</v>
      </c>
      <c r="L71" s="303">
        <f t="shared" si="61"/>
        <v>-6.9450142614288062</v>
      </c>
      <c r="M71" s="303">
        <f t="shared" si="61"/>
        <v>-7.3619715218666091</v>
      </c>
      <c r="N71" s="303">
        <f t="shared" si="61"/>
        <v>-7.7330696320378127</v>
      </c>
      <c r="O71" s="303">
        <f t="shared" si="61"/>
        <v>-7.9128831633075842</v>
      </c>
      <c r="P71" s="303">
        <f t="shared" si="61"/>
        <v>-8.2619542714432193</v>
      </c>
      <c r="Q71" s="303">
        <f t="shared" si="61"/>
        <v>-8.5867728828721894</v>
      </c>
      <c r="R71" s="865">
        <f t="shared" ref="R71:AA71" si="62">IFERROR(AVERAGE(O71:Q71)*(1+R28),"")</f>
        <v>-8.8950856785963204</v>
      </c>
      <c r="S71" s="303">
        <f t="shared" si="62"/>
        <v>-9.2496795426099769</v>
      </c>
      <c r="T71" s="303">
        <f t="shared" si="62"/>
        <v>-9.6063860281666873</v>
      </c>
      <c r="U71" s="303">
        <f t="shared" si="62"/>
        <v>-9.9746813751829375</v>
      </c>
      <c r="V71" s="303">
        <f t="shared" si="62"/>
        <v>-10.364670626226625</v>
      </c>
      <c r="W71" s="303">
        <f t="shared" si="62"/>
        <v>-10.767523540226827</v>
      </c>
      <c r="X71" s="303">
        <f t="shared" si="62"/>
        <v>-11.187111939278191</v>
      </c>
      <c r="Y71" s="303">
        <f t="shared" si="62"/>
        <v>-11.625294428933472</v>
      </c>
      <c r="Z71" s="303">
        <f t="shared" si="62"/>
        <v>-12.080963987030774</v>
      </c>
      <c r="AA71" s="303">
        <f t="shared" si="62"/>
        <v>-12.555791637097144</v>
      </c>
    </row>
    <row r="72" spans="2:27" ht="3.75" customHeight="1">
      <c r="B72" s="155"/>
      <c r="G72" s="151"/>
      <c r="H72" s="135"/>
      <c r="I72" s="135"/>
      <c r="J72" s="135"/>
      <c r="K72" s="135"/>
      <c r="L72" s="135"/>
      <c r="O72" s="135"/>
      <c r="P72" s="135"/>
      <c r="Q72" s="135"/>
      <c r="R72" s="856"/>
    </row>
    <row r="73" spans="2:27" ht="13.5" customHeight="1">
      <c r="B73" s="201" t="s">
        <v>297</v>
      </c>
      <c r="E73" s="294">
        <f>+_xlfn.XLOOKUP($B73,Inputs!$B:$B,Inputs!O:O)</f>
        <v>-103.46999999999998</v>
      </c>
      <c r="F73" s="294">
        <f>+_xlfn.XLOOKUP($B73,Inputs!$B:$B,Inputs!P:P)</f>
        <v>-150.5</v>
      </c>
      <c r="G73" s="295">
        <f>+_xlfn.XLOOKUP($B73,Inputs!$B:$B,Inputs!Q:Q)</f>
        <v>-149.93</v>
      </c>
      <c r="H73" s="160">
        <f>IFERROR(+H56-H59-H68-H71,"")</f>
        <v>-281.92282317251068</v>
      </c>
      <c r="I73" s="160">
        <f t="shared" ref="I73:Q73" si="63">IFERROR(+I56-I59-I68-I71,"")</f>
        <v>-307.92101816102883</v>
      </c>
      <c r="J73" s="160">
        <f t="shared" si="63"/>
        <v>-336.71132209295996</v>
      </c>
      <c r="K73" s="160">
        <f t="shared" si="63"/>
        <v>-368.83817033047825</v>
      </c>
      <c r="L73" s="160">
        <f t="shared" si="63"/>
        <v>-404.20220910921739</v>
      </c>
      <c r="M73" s="160">
        <f t="shared" si="63"/>
        <v>-440.897306059833</v>
      </c>
      <c r="N73" s="160">
        <f t="shared" si="63"/>
        <v>-475.66636007419987</v>
      </c>
      <c r="O73" s="160">
        <f t="shared" si="63"/>
        <v>-507.07171187513347</v>
      </c>
      <c r="P73" s="160">
        <f t="shared" si="63"/>
        <v>-531.83997146010995</v>
      </c>
      <c r="Q73" s="160">
        <f t="shared" si="63"/>
        <v>-515.24205882502667</v>
      </c>
      <c r="R73" s="857">
        <f t="shared" ref="R73:AA73" si="64">IFERROR(+R56-R59-R68-R71,"")</f>
        <v>-605.58803917968817</v>
      </c>
      <c r="S73" s="848">
        <f t="shared" si="64"/>
        <v>-699.98308529242252</v>
      </c>
      <c r="T73" s="848">
        <f t="shared" si="64"/>
        <v>-797.23551149655009</v>
      </c>
      <c r="U73" s="848">
        <f t="shared" si="64"/>
        <v>-896.55720617704128</v>
      </c>
      <c r="V73" s="848">
        <f t="shared" si="64"/>
        <v>-997.1561671817426</v>
      </c>
      <c r="W73" s="848">
        <f t="shared" si="64"/>
        <v>-1098.3028400753064</v>
      </c>
      <c r="X73" s="848">
        <f t="shared" si="64"/>
        <v>-1199.3562315923414</v>
      </c>
      <c r="Y73" s="848">
        <f t="shared" si="64"/>
        <v>-1299.8243319573646</v>
      </c>
      <c r="Z73" s="848">
        <f t="shared" si="64"/>
        <v>-1399.4212372205316</v>
      </c>
      <c r="AA73" s="848">
        <f t="shared" si="64"/>
        <v>-1498.1166722346982</v>
      </c>
    </row>
    <row r="74" spans="2:27" ht="5.25" customHeight="1">
      <c r="G74" s="151"/>
      <c r="H74" s="135"/>
      <c r="I74" s="135"/>
      <c r="J74" s="135"/>
      <c r="K74" s="135"/>
      <c r="L74" s="135"/>
      <c r="O74" s="135"/>
      <c r="P74" s="135"/>
      <c r="Q74" s="135"/>
      <c r="R74" s="856"/>
    </row>
    <row r="75" spans="2:27" ht="15.6">
      <c r="B75" s="130" t="s">
        <v>298</v>
      </c>
      <c r="E75" s="153">
        <f>+_xlfn.XLOOKUP($B75,Inputs!$B:$B,Inputs!O:O)</f>
        <v>3</v>
      </c>
      <c r="F75" s="153">
        <f>+_xlfn.XLOOKUP($B75,Inputs!$B:$B,Inputs!P:P)</f>
        <v>3.7</v>
      </c>
      <c r="G75" s="295">
        <f>+_xlfn.XLOOKUP($B75,Inputs!$B:$B,Inputs!Q:Q)</f>
        <v>0.8</v>
      </c>
      <c r="H75" s="160">
        <f t="shared" ref="H75:Q75" si="65">IFERROR(H76*H$56,"")</f>
        <v>5.69461655173696</v>
      </c>
      <c r="I75" s="160">
        <f t="shared" si="65"/>
        <v>5.1818313679756205</v>
      </c>
      <c r="J75" s="160">
        <f t="shared" si="65"/>
        <v>4.7468917137602871</v>
      </c>
      <c r="K75" s="160">
        <f t="shared" si="65"/>
        <v>6.2665167356180875</v>
      </c>
      <c r="L75" s="160">
        <f t="shared" si="65"/>
        <v>6.4431851605399073</v>
      </c>
      <c r="M75" s="160">
        <f t="shared" si="65"/>
        <v>6.8980199640727005</v>
      </c>
      <c r="N75" s="160">
        <f t="shared" si="65"/>
        <v>7.6897023156650812</v>
      </c>
      <c r="O75" s="160">
        <f t="shared" si="65"/>
        <v>8.0624699944194127</v>
      </c>
      <c r="P75" s="160">
        <f t="shared" si="65"/>
        <v>8.4529126100139713</v>
      </c>
      <c r="Q75" s="160">
        <f t="shared" si="65"/>
        <v>8.2439991558780097</v>
      </c>
      <c r="R75" s="857">
        <f t="shared" ref="R75:AA75" si="66">IFERROR(R76*R$56,"")</f>
        <v>9.6359764395778509</v>
      </c>
      <c r="S75" s="848">
        <f t="shared" si="66"/>
        <v>11.127858611491963</v>
      </c>
      <c r="T75" s="848">
        <f t="shared" si="66"/>
        <v>12.669943915154708</v>
      </c>
      <c r="U75" s="848">
        <f t="shared" si="66"/>
        <v>14.224863177994798</v>
      </c>
      <c r="V75" s="848">
        <f t="shared" si="66"/>
        <v>15.812920633295246</v>
      </c>
      <c r="W75" s="848">
        <f t="shared" si="66"/>
        <v>17.408535079884803</v>
      </c>
      <c r="X75" s="848">
        <f t="shared" si="66"/>
        <v>18.998635571179445</v>
      </c>
      <c r="Y75" s="848">
        <f t="shared" si="66"/>
        <v>20.583506654812318</v>
      </c>
      <c r="Z75" s="848">
        <f t="shared" si="66"/>
        <v>22.154019940369345</v>
      </c>
      <c r="AA75" s="848">
        <f t="shared" si="66"/>
        <v>23.709946845681383</v>
      </c>
    </row>
    <row r="76" spans="2:27" s="281" customFormat="1" ht="14.45">
      <c r="B76" s="281" t="s">
        <v>454</v>
      </c>
      <c r="E76" s="282">
        <f>IFERROR(E75/E73,"")</f>
        <v>-2.899391127863149E-2</v>
      </c>
      <c r="F76" s="282">
        <f t="shared" ref="F76" si="67">IFERROR(F75/F73,"")</f>
        <v>-2.4584717607973424E-2</v>
      </c>
      <c r="G76" s="293">
        <f>IFERROR(G75/G73,"")</f>
        <v>-5.3358233842459813E-3</v>
      </c>
      <c r="H76" s="302">
        <f>IFERROR(AVERAGE(E76:G76),"")</f>
        <v>-1.9638150756950298E-2</v>
      </c>
      <c r="I76" s="302">
        <f t="shared" ref="I76:Q76" si="68">IFERROR(AVERAGE(F76:H76),"")</f>
        <v>-1.6519563916389899E-2</v>
      </c>
      <c r="J76" s="302">
        <f t="shared" si="68"/>
        <v>-1.3831179352528727E-2</v>
      </c>
      <c r="K76" s="302">
        <f t="shared" si="68"/>
        <v>-1.6662964675289643E-2</v>
      </c>
      <c r="L76" s="302">
        <f t="shared" si="68"/>
        <v>-1.5671235981402756E-2</v>
      </c>
      <c r="M76" s="302">
        <f t="shared" si="68"/>
        <v>-1.5388460003073709E-2</v>
      </c>
      <c r="N76" s="302">
        <f t="shared" si="68"/>
        <v>-1.590755355325537E-2</v>
      </c>
      <c r="O76" s="302">
        <f t="shared" si="68"/>
        <v>-1.5655749845910612E-2</v>
      </c>
      <c r="P76" s="302">
        <f t="shared" si="68"/>
        <v>-1.5650587800746563E-2</v>
      </c>
      <c r="Q76" s="302">
        <f t="shared" si="68"/>
        <v>-1.5737963733304178E-2</v>
      </c>
      <c r="R76" s="859">
        <f t="shared" ref="R76:AA76" si="69">IFERROR(AVERAGE(O76:Q76),"")</f>
        <v>-1.5681433793320449E-2</v>
      </c>
      <c r="S76" s="302">
        <f t="shared" si="69"/>
        <v>-1.5689995109123733E-2</v>
      </c>
      <c r="T76" s="302">
        <f t="shared" si="69"/>
        <v>-1.5703130878582786E-2</v>
      </c>
      <c r="U76" s="302">
        <f t="shared" si="69"/>
        <v>-1.5691519927008988E-2</v>
      </c>
      <c r="V76" s="302">
        <f t="shared" si="69"/>
        <v>-1.5694881971571834E-2</v>
      </c>
      <c r="W76" s="302">
        <f t="shared" si="69"/>
        <v>-1.5696510925721201E-2</v>
      </c>
      <c r="X76" s="302">
        <f t="shared" si="69"/>
        <v>-1.569430427476734E-2</v>
      </c>
      <c r="Y76" s="302">
        <f t="shared" si="69"/>
        <v>-1.5695232390686792E-2</v>
      </c>
      <c r="Z76" s="302">
        <f t="shared" si="69"/>
        <v>-1.5695349197058447E-2</v>
      </c>
      <c r="AA76" s="302">
        <f t="shared" si="69"/>
        <v>-1.5694961954170861E-2</v>
      </c>
    </row>
    <row r="77" spans="2:27" s="281" customFormat="1" ht="3.75" customHeight="1">
      <c r="E77" s="282"/>
      <c r="F77" s="282"/>
      <c r="G77" s="293"/>
      <c r="H77" s="297"/>
      <c r="I77" s="297"/>
      <c r="J77" s="297"/>
      <c r="K77" s="297"/>
      <c r="L77" s="297"/>
      <c r="M77" s="297"/>
      <c r="N77" s="297"/>
      <c r="O77" s="297"/>
      <c r="P77" s="297"/>
      <c r="Q77" s="297"/>
      <c r="R77" s="869"/>
    </row>
    <row r="78" spans="2:27" s="281" customFormat="1" ht="15.6">
      <c r="B78" s="130" t="s">
        <v>299</v>
      </c>
      <c r="E78" s="153">
        <f>+_xlfn.XLOOKUP($B78,Inputs!$B:$B,Inputs!O:O)</f>
        <v>-106.46999999999998</v>
      </c>
      <c r="F78" s="153">
        <f>+_xlfn.XLOOKUP($B78,Inputs!$B:$B,Inputs!P:P)</f>
        <v>-154.19999999999999</v>
      </c>
      <c r="G78" s="295">
        <f>+_xlfn.XLOOKUP($B78,Inputs!$B:$B,Inputs!Q:Q)</f>
        <v>-150.73000000000002</v>
      </c>
      <c r="H78" s="160">
        <f>IFERROR(+H73-H75,"")</f>
        <v>-287.61743972424762</v>
      </c>
      <c r="I78" s="160">
        <f t="shared" ref="I78:Q78" si="70">IFERROR(+I73-I75,"")</f>
        <v>-313.10284952900446</v>
      </c>
      <c r="J78" s="160">
        <f t="shared" si="70"/>
        <v>-341.45821380672027</v>
      </c>
      <c r="K78" s="160">
        <f t="shared" si="70"/>
        <v>-375.10468706609635</v>
      </c>
      <c r="L78" s="160">
        <f t="shared" si="70"/>
        <v>-410.64539426975728</v>
      </c>
      <c r="M78" s="160">
        <f t="shared" si="70"/>
        <v>-447.79532602390572</v>
      </c>
      <c r="N78" s="160">
        <f t="shared" si="70"/>
        <v>-483.35606238986497</v>
      </c>
      <c r="O78" s="160">
        <f t="shared" si="70"/>
        <v>-515.13418186955289</v>
      </c>
      <c r="P78" s="160">
        <f t="shared" si="70"/>
        <v>-540.29288407012393</v>
      </c>
      <c r="Q78" s="160">
        <f t="shared" si="70"/>
        <v>-523.48605798090466</v>
      </c>
      <c r="R78" s="857">
        <f t="shared" ref="R78:AA78" si="71">IFERROR(+R73-R75,"")</f>
        <v>-615.22401561926597</v>
      </c>
      <c r="S78" s="848">
        <f t="shared" si="71"/>
        <v>-711.11094390391452</v>
      </c>
      <c r="T78" s="848">
        <f t="shared" si="71"/>
        <v>-809.90545541170479</v>
      </c>
      <c r="U78" s="848">
        <f t="shared" si="71"/>
        <v>-910.78206935503613</v>
      </c>
      <c r="V78" s="848">
        <f t="shared" si="71"/>
        <v>-1012.9690878150378</v>
      </c>
      <c r="W78" s="848">
        <f t="shared" si="71"/>
        <v>-1115.7113751551913</v>
      </c>
      <c r="X78" s="848">
        <f t="shared" si="71"/>
        <v>-1218.3548671635208</v>
      </c>
      <c r="Y78" s="848">
        <f t="shared" si="71"/>
        <v>-1320.4078386121769</v>
      </c>
      <c r="Z78" s="848">
        <f t="shared" si="71"/>
        <v>-1421.5752571609009</v>
      </c>
      <c r="AA78" s="848">
        <f t="shared" si="71"/>
        <v>-1521.8266190803795</v>
      </c>
    </row>
    <row r="79" spans="2:27" s="281" customFormat="1" ht="14.45">
      <c r="B79" s="281" t="s">
        <v>42</v>
      </c>
      <c r="E79" s="282">
        <f t="shared" ref="E79:Q79" si="72">IFERROR(E78/E$27,"")</f>
        <v>-0.50459715639810421</v>
      </c>
      <c r="F79" s="282">
        <f t="shared" si="72"/>
        <v>-0.63041700735895334</v>
      </c>
      <c r="G79" s="293">
        <f t="shared" si="72"/>
        <v>-0.34555249885373684</v>
      </c>
      <c r="H79" s="282">
        <f t="shared" si="72"/>
        <v>-0.61671313265659211</v>
      </c>
      <c r="I79" s="282">
        <f t="shared" si="72"/>
        <v>-0.62790681703831885</v>
      </c>
      <c r="J79" s="282">
        <f t="shared" si="72"/>
        <v>-0.64043122639174799</v>
      </c>
      <c r="K79" s="282">
        <f t="shared" si="72"/>
        <v>-0.65796190270131683</v>
      </c>
      <c r="L79" s="282">
        <f t="shared" si="72"/>
        <v>-0.67362020592304972</v>
      </c>
      <c r="M79" s="282">
        <f t="shared" si="72"/>
        <v>-0.68754491148618768</v>
      </c>
      <c r="N79" s="282">
        <f t="shared" si="72"/>
        <v>-0.6891738807747283</v>
      </c>
      <c r="O79" s="282">
        <f t="shared" si="72"/>
        <v>-0.68192825023729653</v>
      </c>
      <c r="P79" s="282">
        <f t="shared" si="72"/>
        <v>-0.66392796228923867</v>
      </c>
      <c r="Q79" s="282">
        <f t="shared" si="72"/>
        <v>-0.59701763543266939</v>
      </c>
      <c r="R79" s="860">
        <f t="shared" ref="R79:AA79" si="73">IFERROR(R78/R$27,"")</f>
        <v>-0.65106269986832066</v>
      </c>
      <c r="S79" s="292">
        <f t="shared" si="73"/>
        <v>-0.69815495552355733</v>
      </c>
      <c r="T79" s="292">
        <f t="shared" si="73"/>
        <v>-0.73754996360950809</v>
      </c>
      <c r="U79" s="292">
        <f t="shared" si="73"/>
        <v>-0.7691876658449841</v>
      </c>
      <c r="V79" s="292">
        <f t="shared" si="73"/>
        <v>-0.79321910548118091</v>
      </c>
      <c r="W79" s="292">
        <f t="shared" si="73"/>
        <v>-0.80992866708774791</v>
      </c>
      <c r="X79" s="292">
        <f t="shared" si="73"/>
        <v>-0.81975838152036451</v>
      </c>
      <c r="Y79" s="292">
        <f t="shared" si="73"/>
        <v>-0.82329782735641666</v>
      </c>
      <c r="Z79" s="292">
        <f t="shared" si="73"/>
        <v>-0.82125054770990069</v>
      </c>
      <c r="AA79" s="292">
        <f t="shared" si="73"/>
        <v>-0.81442023952553366</v>
      </c>
    </row>
    <row r="80" spans="2:27" ht="3.75" customHeight="1">
      <c r="B80" s="155"/>
      <c r="G80" s="151"/>
      <c r="R80" s="856"/>
    </row>
    <row r="81" spans="1:27" ht="15.6">
      <c r="A81" s="130" t="s">
        <v>405</v>
      </c>
      <c r="B81" s="52" t="s">
        <v>302</v>
      </c>
      <c r="C81" s="56"/>
      <c r="D81" s="56"/>
      <c r="E81" s="141">
        <f t="shared" ref="E81:Q81" si="74">E25</f>
        <v>2022</v>
      </c>
      <c r="F81" s="141">
        <f t="shared" si="74"/>
        <v>2023</v>
      </c>
      <c r="G81" s="142">
        <f>G25</f>
        <v>2024</v>
      </c>
      <c r="H81" s="104">
        <f t="shared" si="74"/>
        <v>2025</v>
      </c>
      <c r="I81" s="104">
        <f t="shared" si="74"/>
        <v>2026</v>
      </c>
      <c r="J81" s="104">
        <f t="shared" si="74"/>
        <v>2027</v>
      </c>
      <c r="K81" s="104">
        <f t="shared" si="74"/>
        <v>2028</v>
      </c>
      <c r="L81" s="104">
        <f t="shared" si="74"/>
        <v>2029</v>
      </c>
      <c r="M81" s="104">
        <f t="shared" si="74"/>
        <v>2030</v>
      </c>
      <c r="N81" s="104">
        <f t="shared" si="74"/>
        <v>2031</v>
      </c>
      <c r="O81" s="104">
        <f t="shared" si="74"/>
        <v>2032</v>
      </c>
      <c r="P81" s="104">
        <f t="shared" si="74"/>
        <v>2033</v>
      </c>
      <c r="Q81" s="104">
        <f t="shared" si="74"/>
        <v>2034</v>
      </c>
      <c r="R81" s="852">
        <f t="shared" ref="R81:AA81" si="75">+Q81+1</f>
        <v>2035</v>
      </c>
      <c r="S81" s="104">
        <f t="shared" si="75"/>
        <v>2036</v>
      </c>
      <c r="T81" s="104">
        <f t="shared" si="75"/>
        <v>2037</v>
      </c>
      <c r="U81" s="104">
        <f t="shared" si="75"/>
        <v>2038</v>
      </c>
      <c r="V81" s="104">
        <f t="shared" si="75"/>
        <v>2039</v>
      </c>
      <c r="W81" s="104">
        <f t="shared" si="75"/>
        <v>2040</v>
      </c>
      <c r="X81" s="104">
        <f t="shared" si="75"/>
        <v>2041</v>
      </c>
      <c r="Y81" s="104">
        <f t="shared" si="75"/>
        <v>2042</v>
      </c>
      <c r="Z81" s="104">
        <f t="shared" si="75"/>
        <v>2043</v>
      </c>
      <c r="AA81" s="104">
        <f t="shared" si="75"/>
        <v>2044</v>
      </c>
    </row>
    <row r="82" spans="1:27" ht="3.95" customHeight="1">
      <c r="B82" s="167"/>
      <c r="C82" s="53"/>
      <c r="D82" s="53"/>
      <c r="E82" s="53"/>
      <c r="F82" s="53"/>
      <c r="G82" s="168"/>
      <c r="H82" s="53"/>
      <c r="I82" s="53"/>
      <c r="J82" s="53"/>
      <c r="K82" s="53"/>
      <c r="L82" s="53"/>
      <c r="M82" s="53"/>
      <c r="N82" s="53"/>
      <c r="O82" s="53"/>
      <c r="P82" s="53"/>
      <c r="Q82" s="53"/>
      <c r="R82" s="856"/>
    </row>
    <row r="83" spans="1:27" ht="13.5" customHeight="1">
      <c r="B83" s="152" t="s">
        <v>455</v>
      </c>
      <c r="G83" s="161"/>
      <c r="R83" s="856"/>
    </row>
    <row r="84" spans="1:27" ht="5.25" customHeight="1">
      <c r="B84" s="155"/>
      <c r="G84" s="161"/>
      <c r="R84" s="856"/>
    </row>
    <row r="85" spans="1:27" ht="13.5" customHeight="1">
      <c r="B85" s="130" t="s">
        <v>456</v>
      </c>
      <c r="E85" s="153">
        <f>+_xlfn.XLOOKUP($B85,Inputs!$B:$B,Inputs!O:O)</f>
        <v>471.8</v>
      </c>
      <c r="F85" s="153">
        <f>+_xlfn.XLOOKUP($B85,Inputs!$B:$B,Inputs!P:P)</f>
        <v>244.8</v>
      </c>
      <c r="G85" s="295">
        <f>+_xlfn.XLOOKUP($B85,Inputs!$B:$B,Inputs!Q:Q)</f>
        <v>418.9</v>
      </c>
      <c r="H85" s="171">
        <f>IFERROR(G85+H163,"")</f>
        <v>-348.54246775526201</v>
      </c>
      <c r="I85" s="171">
        <f t="shared" ref="I85:Q85" si="76">IFERROR(H85+I163,"")</f>
        <v>-819.64739434101875</v>
      </c>
      <c r="J85" s="171">
        <f t="shared" si="76"/>
        <v>-1760.1540541119439</v>
      </c>
      <c r="K85" s="171">
        <f t="shared" si="76"/>
        <v>-2377.7710168141193</v>
      </c>
      <c r="L85" s="171">
        <f t="shared" si="76"/>
        <v>-3317.3210088125288</v>
      </c>
      <c r="M85" s="171">
        <f t="shared" si="76"/>
        <v>-4048.5419421924285</v>
      </c>
      <c r="N85" s="171">
        <f t="shared" si="76"/>
        <v>-5074.5710444768174</v>
      </c>
      <c r="O85" s="171">
        <f t="shared" si="76"/>
        <v>-5873.8796951882505</v>
      </c>
      <c r="P85" s="171">
        <f t="shared" si="76"/>
        <v>-6981.4985081102832</v>
      </c>
      <c r="Q85" s="171">
        <f t="shared" si="76"/>
        <v>-7814.9872017100679</v>
      </c>
      <c r="R85" s="870">
        <f t="shared" ref="R85:AA85" si="77">IFERROR(Q85+R163,"")</f>
        <v>-9085.1983149387997</v>
      </c>
      <c r="S85" s="171">
        <f t="shared" si="77"/>
        <v>-10073.994938823416</v>
      </c>
      <c r="T85" s="171">
        <f t="shared" si="77"/>
        <v>-11502.844075744726</v>
      </c>
      <c r="U85" s="171">
        <f t="shared" si="77"/>
        <v>-12655.046329626119</v>
      </c>
      <c r="V85" s="171">
        <f t="shared" si="77"/>
        <v>-14251.920811685226</v>
      </c>
      <c r="W85" s="171">
        <f t="shared" si="77"/>
        <v>-15575.05160234349</v>
      </c>
      <c r="X85" s="171">
        <f t="shared" si="77"/>
        <v>-17345.798629686822</v>
      </c>
      <c r="Y85" s="171">
        <f t="shared" si="77"/>
        <v>-18845.388907748751</v>
      </c>
      <c r="Z85" s="171">
        <f t="shared" si="77"/>
        <v>-20794.841852844915</v>
      </c>
      <c r="AA85" s="171">
        <f t="shared" si="77"/>
        <v>-22475.640184994543</v>
      </c>
    </row>
    <row r="86" spans="1:27" ht="3.75" customHeight="1">
      <c r="E86" s="153"/>
      <c r="F86" s="153"/>
      <c r="G86" s="295"/>
      <c r="R86" s="856"/>
    </row>
    <row r="87" spans="1:27" ht="15.6">
      <c r="B87" s="130" t="s">
        <v>304</v>
      </c>
      <c r="E87" s="153">
        <f>+_xlfn.XLOOKUP($B87,Inputs!$B:$B,Inputs!O:O)</f>
        <v>36.6</v>
      </c>
      <c r="F87" s="153">
        <f>+_xlfn.XLOOKUP($B87,Inputs!$B:$B,Inputs!P:P)</f>
        <v>35.200000000000003</v>
      </c>
      <c r="G87" s="295">
        <f>+_xlfn.XLOOKUP($B87,Inputs!$B:$B,Inputs!Q:Q)</f>
        <v>36.4</v>
      </c>
      <c r="H87" s="171">
        <f>IFERROR(H88*H27/365,"")</f>
        <v>39.024375576986301</v>
      </c>
      <c r="I87" s="171">
        <f t="shared" ref="I87:Q87" si="78">IFERROR(I88*I27/365,"")</f>
        <v>41.724944275948928</v>
      </c>
      <c r="J87" s="171">
        <f t="shared" si="78"/>
        <v>44.613778654820209</v>
      </c>
      <c r="K87" s="171">
        <f t="shared" si="78"/>
        <v>47.70409776262769</v>
      </c>
      <c r="L87" s="171">
        <f t="shared" si="78"/>
        <v>51.010055231739436</v>
      </c>
      <c r="M87" s="171">
        <f t="shared" si="78"/>
        <v>54.498233752834224</v>
      </c>
      <c r="N87" s="171">
        <f t="shared" si="78"/>
        <v>58.687053268715353</v>
      </c>
      <c r="O87" s="171">
        <f t="shared" si="78"/>
        <v>63.209976603472867</v>
      </c>
      <c r="P87" s="171">
        <f t="shared" si="78"/>
        <v>68.094530692567631</v>
      </c>
      <c r="Q87" s="171">
        <f t="shared" si="78"/>
        <v>73.37057166770073</v>
      </c>
      <c r="R87" s="870">
        <f t="shared" ref="R87:AA87" si="79">IFERROR(R88*R27/365,"")</f>
        <v>79.070486075047825</v>
      </c>
      <c r="S87" s="171">
        <f t="shared" si="79"/>
        <v>85.229409748222835</v>
      </c>
      <c r="T87" s="171">
        <f t="shared" si="79"/>
        <v>91.885465902461888</v>
      </c>
      <c r="U87" s="171">
        <f t="shared" si="79"/>
        <v>99.080024156619615</v>
      </c>
      <c r="V87" s="171">
        <f t="shared" si="79"/>
        <v>106.85798234227046</v>
      </c>
      <c r="W87" s="171">
        <f t="shared" si="79"/>
        <v>115.26807312564553</v>
      </c>
      <c r="X87" s="171">
        <f t="shared" si="79"/>
        <v>124.36319764955076</v>
      </c>
      <c r="Y87" s="171">
        <f t="shared" si="79"/>
        <v>134.20078860015602</v>
      </c>
      <c r="Z87" s="171">
        <f t="shared" si="79"/>
        <v>144.84320531909711</v>
      </c>
      <c r="AA87" s="171">
        <f t="shared" si="79"/>
        <v>156.3581638162934</v>
      </c>
    </row>
    <row r="88" spans="1:27" ht="15.6">
      <c r="B88" s="130" t="s">
        <v>457</v>
      </c>
      <c r="E88" s="308">
        <f>IFERROR(E87/E27*365,"")</f>
        <v>63.312796208530813</v>
      </c>
      <c r="F88" s="308">
        <f>IFERROR(F87/F27*365,"")</f>
        <v>52.526573998364682</v>
      </c>
      <c r="G88" s="309">
        <f>IFERROR(G87/G27*366,"")</f>
        <v>30.541953232462173</v>
      </c>
      <c r="H88" s="310">
        <f t="shared" ref="H88:Q88" si="80">G88</f>
        <v>30.541953232462173</v>
      </c>
      <c r="I88" s="310">
        <f t="shared" si="80"/>
        <v>30.541953232462173</v>
      </c>
      <c r="J88" s="310">
        <f t="shared" si="80"/>
        <v>30.541953232462173</v>
      </c>
      <c r="K88" s="310">
        <f t="shared" si="80"/>
        <v>30.541953232462173</v>
      </c>
      <c r="L88" s="310">
        <f t="shared" si="80"/>
        <v>30.541953232462173</v>
      </c>
      <c r="M88" s="310">
        <f t="shared" si="80"/>
        <v>30.541953232462173</v>
      </c>
      <c r="N88" s="310">
        <f t="shared" si="80"/>
        <v>30.541953232462173</v>
      </c>
      <c r="O88" s="310">
        <f t="shared" si="80"/>
        <v>30.541953232462173</v>
      </c>
      <c r="P88" s="310">
        <f t="shared" si="80"/>
        <v>30.541953232462173</v>
      </c>
      <c r="Q88" s="310">
        <f t="shared" si="80"/>
        <v>30.541953232462173</v>
      </c>
      <c r="R88" s="871">
        <f t="shared" ref="R88:AA88" si="81">Q88</f>
        <v>30.541953232462173</v>
      </c>
      <c r="S88" s="310">
        <f t="shared" si="81"/>
        <v>30.541953232462173</v>
      </c>
      <c r="T88" s="310">
        <f t="shared" si="81"/>
        <v>30.541953232462173</v>
      </c>
      <c r="U88" s="310">
        <f t="shared" si="81"/>
        <v>30.541953232462173</v>
      </c>
      <c r="V88" s="310">
        <f t="shared" si="81"/>
        <v>30.541953232462173</v>
      </c>
      <c r="W88" s="310">
        <f t="shared" si="81"/>
        <v>30.541953232462173</v>
      </c>
      <c r="X88" s="310">
        <f t="shared" si="81"/>
        <v>30.541953232462173</v>
      </c>
      <c r="Y88" s="310">
        <f t="shared" si="81"/>
        <v>30.541953232462173</v>
      </c>
      <c r="Z88" s="310">
        <f t="shared" si="81"/>
        <v>30.541953232462173</v>
      </c>
      <c r="AA88" s="310">
        <f t="shared" si="81"/>
        <v>30.541953232462173</v>
      </c>
    </row>
    <row r="89" spans="1:27" ht="3.75" customHeight="1">
      <c r="E89" s="172"/>
      <c r="F89" s="172"/>
      <c r="G89" s="173"/>
      <c r="H89" s="171"/>
      <c r="I89" s="171"/>
      <c r="J89" s="171"/>
      <c r="K89" s="171"/>
      <c r="L89" s="171"/>
      <c r="O89" s="171"/>
      <c r="P89" s="171"/>
      <c r="Q89" s="171"/>
      <c r="R89" s="856"/>
    </row>
    <row r="90" spans="1:27" ht="15.6">
      <c r="B90" s="130" t="s">
        <v>458</v>
      </c>
      <c r="E90" s="153">
        <f>+_xlfn.XLOOKUP($B90,Inputs!$B:$B,Inputs!O:O)</f>
        <v>92.3</v>
      </c>
      <c r="F90" s="153">
        <f>+_xlfn.XLOOKUP($B90,Inputs!$B:$B,Inputs!P:P)</f>
        <v>107.9</v>
      </c>
      <c r="G90" s="295">
        <f>+_xlfn.XLOOKUP($B90,Inputs!$B:$B,Inputs!Q:Q)</f>
        <v>119.1</v>
      </c>
      <c r="H90" s="171">
        <f>+IFERROR(H91*H30/365,"")</f>
        <v>137.91641676844768</v>
      </c>
      <c r="I90" s="171">
        <f t="shared" ref="I90:Q90" si="82">+IFERROR(I91*I30/365,"")</f>
        <v>139.32186906648451</v>
      </c>
      <c r="J90" s="171">
        <f t="shared" si="82"/>
        <v>140.26571051581922</v>
      </c>
      <c r="K90" s="171">
        <f t="shared" si="82"/>
        <v>140.67675695574547</v>
      </c>
      <c r="L90" s="171">
        <f t="shared" si="82"/>
        <v>140.47608420623371</v>
      </c>
      <c r="M90" s="171">
        <f t="shared" si="82"/>
        <v>139.45199894789707</v>
      </c>
      <c r="N90" s="171">
        <f t="shared" si="82"/>
        <v>138.72330274347178</v>
      </c>
      <c r="O90" s="171">
        <f t="shared" si="82"/>
        <v>137.0850867844315</v>
      </c>
      <c r="P90" s="171">
        <f t="shared" si="82"/>
        <v>134.39617445235336</v>
      </c>
      <c r="Q90" s="171">
        <f t="shared" si="82"/>
        <v>130.49805482363578</v>
      </c>
      <c r="R90" s="870">
        <f t="shared" ref="R90:AA90" si="83">+IFERROR(R91*R30/365,"")</f>
        <v>154.69961363848984</v>
      </c>
      <c r="S90" s="171">
        <f t="shared" si="83"/>
        <v>181.90844530337969</v>
      </c>
      <c r="T90" s="171">
        <f t="shared" si="83"/>
        <v>212.45761866875907</v>
      </c>
      <c r="U90" s="171">
        <f t="shared" si="83"/>
        <v>246.71540895208142</v>
      </c>
      <c r="V90" s="171">
        <f t="shared" si="83"/>
        <v>285.08893663527545</v>
      </c>
      <c r="W90" s="171">
        <f t="shared" si="83"/>
        <v>328.02817771228615</v>
      </c>
      <c r="X90" s="171">
        <f t="shared" si="83"/>
        <v>376.03038285305934</v>
      </c>
      <c r="Y90" s="171">
        <f t="shared" si="83"/>
        <v>429.64494682396196</v>
      </c>
      <c r="Z90" s="171">
        <f t="shared" si="83"/>
        <v>489.47877365495407</v>
      </c>
      <c r="AA90" s="171">
        <f t="shared" si="83"/>
        <v>556.20218760825423</v>
      </c>
    </row>
    <row r="91" spans="1:27" ht="15.6">
      <c r="B91" s="130" t="s">
        <v>459</v>
      </c>
      <c r="E91" s="308">
        <f>IFERROR(E90/E30*365,"")</f>
        <v>175.46614583333331</v>
      </c>
      <c r="F91" s="308">
        <f>IFERROR(F90/F30*365,"")</f>
        <v>203.84834368530025</v>
      </c>
      <c r="G91" s="309">
        <f>IFERROR(G90/G30*365,"")</f>
        <v>135.80599812558575</v>
      </c>
      <c r="H91" s="310">
        <f t="shared" ref="H91:Q91" si="84">G91</f>
        <v>135.80599812558575</v>
      </c>
      <c r="I91" s="310">
        <f t="shared" si="84"/>
        <v>135.80599812558575</v>
      </c>
      <c r="J91" s="310">
        <f t="shared" si="84"/>
        <v>135.80599812558575</v>
      </c>
      <c r="K91" s="310">
        <f t="shared" si="84"/>
        <v>135.80599812558575</v>
      </c>
      <c r="L91" s="310">
        <f t="shared" si="84"/>
        <v>135.80599812558575</v>
      </c>
      <c r="M91" s="310">
        <f t="shared" si="84"/>
        <v>135.80599812558575</v>
      </c>
      <c r="N91" s="310">
        <f t="shared" si="84"/>
        <v>135.80599812558575</v>
      </c>
      <c r="O91" s="310">
        <f t="shared" si="84"/>
        <v>135.80599812558575</v>
      </c>
      <c r="P91" s="310">
        <f t="shared" si="84"/>
        <v>135.80599812558575</v>
      </c>
      <c r="Q91" s="310">
        <f t="shared" si="84"/>
        <v>135.80599812558575</v>
      </c>
      <c r="R91" s="871">
        <f t="shared" ref="R91:AA91" si="85">Q91</f>
        <v>135.80599812558575</v>
      </c>
      <c r="S91" s="310">
        <f t="shared" si="85"/>
        <v>135.80599812558575</v>
      </c>
      <c r="T91" s="310">
        <f t="shared" si="85"/>
        <v>135.80599812558575</v>
      </c>
      <c r="U91" s="310">
        <f t="shared" si="85"/>
        <v>135.80599812558575</v>
      </c>
      <c r="V91" s="310">
        <f t="shared" si="85"/>
        <v>135.80599812558575</v>
      </c>
      <c r="W91" s="310">
        <f t="shared" si="85"/>
        <v>135.80599812558575</v>
      </c>
      <c r="X91" s="310">
        <f t="shared" si="85"/>
        <v>135.80599812558575</v>
      </c>
      <c r="Y91" s="310">
        <f t="shared" si="85"/>
        <v>135.80599812558575</v>
      </c>
      <c r="Z91" s="310">
        <f t="shared" si="85"/>
        <v>135.80599812558575</v>
      </c>
      <c r="AA91" s="310">
        <f t="shared" si="85"/>
        <v>135.80599812558575</v>
      </c>
    </row>
    <row r="92" spans="1:27" ht="3.95" customHeight="1">
      <c r="G92" s="161"/>
      <c r="R92" s="856"/>
    </row>
    <row r="93" spans="1:27" ht="15.6">
      <c r="B93" s="130" t="s">
        <v>460</v>
      </c>
      <c r="E93" s="153">
        <f>+_xlfn.XLOOKUP($B93,Inputs!$B:$B,Inputs!O:O)</f>
        <v>61.599999999999952</v>
      </c>
      <c r="F93" s="153">
        <f>+_xlfn.XLOOKUP($B93,Inputs!$B:$B,Inputs!P:P)</f>
        <v>88.799999999999983</v>
      </c>
      <c r="G93" s="273">
        <f>+_xlfn.XLOOKUP($B93,Inputs!$B:$B,Inputs!Q:Q)</f>
        <v>118.20000000000005</v>
      </c>
      <c r="H93" s="171">
        <f>IFERROR(AVERAGE(E93:G93)*(1+H28),"")</f>
        <v>95.726264466666649</v>
      </c>
      <c r="I93" s="171">
        <f t="shared" ref="I93:Q93" si="86">IFERROR(AVERAGE(F93:H93)*(1+I28),"")</f>
        <v>107.89185245530504</v>
      </c>
      <c r="J93" s="171">
        <f t="shared" si="86"/>
        <v>114.69975162829918</v>
      </c>
      <c r="K93" s="171">
        <f t="shared" si="86"/>
        <v>113.45573182970571</v>
      </c>
      <c r="L93" s="171">
        <f>IFERROR(AVERAGE(I93:K93)*(1+L28),"")</f>
        <v>119.77862119038649</v>
      </c>
      <c r="M93" s="171">
        <f t="shared" si="86"/>
        <v>123.90886515457528</v>
      </c>
      <c r="N93" s="171">
        <f t="shared" si="86"/>
        <v>128.19793490700124</v>
      </c>
      <c r="O93" s="171">
        <f t="shared" si="86"/>
        <v>133.51535797214851</v>
      </c>
      <c r="P93" s="171">
        <f t="shared" si="86"/>
        <v>138.47370983163725</v>
      </c>
      <c r="Q93" s="171">
        <f t="shared" si="86"/>
        <v>143.73131421982151</v>
      </c>
      <c r="R93" s="870">
        <f t="shared" ref="R93:AA93" si="87">IFERROR(AVERAGE(O93:Q93)*(1+R28),"")</f>
        <v>149.3387695309535</v>
      </c>
      <c r="S93" s="171">
        <f t="shared" si="87"/>
        <v>155.05247125385006</v>
      </c>
      <c r="T93" s="171">
        <f t="shared" si="87"/>
        <v>161.03967660005279</v>
      </c>
      <c r="U93" s="171">
        <f t="shared" si="87"/>
        <v>167.29126158965849</v>
      </c>
      <c r="V93" s="171">
        <f t="shared" si="87"/>
        <v>173.77662238359326</v>
      </c>
      <c r="W93" s="171">
        <f t="shared" si="87"/>
        <v>180.54171758462519</v>
      </c>
      <c r="X93" s="171">
        <f t="shared" si="87"/>
        <v>187.58891401419402</v>
      </c>
      <c r="Y93" s="171">
        <f t="shared" si="87"/>
        <v>194.92471032981541</v>
      </c>
      <c r="Z93" s="171">
        <f t="shared" si="87"/>
        <v>202.56895494102139</v>
      </c>
      <c r="AA93" s="171">
        <f t="shared" si="87"/>
        <v>210.53211200890814</v>
      </c>
    </row>
    <row r="94" spans="1:27" s="281" customFormat="1" ht="15.6">
      <c r="B94" s="814" t="s">
        <v>437</v>
      </c>
      <c r="E94" s="306">
        <f>IFERROR(E93/E$27,"")</f>
        <v>0.2919431279620851</v>
      </c>
      <c r="F94" s="306">
        <f>IFERROR(F93/F$27,"")</f>
        <v>0.36304170073589526</v>
      </c>
      <c r="G94" s="307">
        <f>IFERROR(G93/G$27,"")</f>
        <v>0.27097661623108676</v>
      </c>
      <c r="H94" s="147">
        <f>H93/H27</f>
        <v>0.20525752712822862</v>
      </c>
      <c r="I94" s="147">
        <f t="shared" ref="I94:Q94" si="88">I93/I27</f>
        <v>0.21636989175118584</v>
      </c>
      <c r="J94" s="147">
        <f t="shared" si="88"/>
        <v>0.21512823423752947</v>
      </c>
      <c r="K94" s="147">
        <f t="shared" si="88"/>
        <v>0.19900990779645925</v>
      </c>
      <c r="L94" s="147">
        <f t="shared" si="88"/>
        <v>0.19648412133034684</v>
      </c>
      <c r="M94" s="147">
        <f t="shared" si="88"/>
        <v>0.19024966267849874</v>
      </c>
      <c r="N94" s="147">
        <f t="shared" si="88"/>
        <v>0.18278589053032759</v>
      </c>
      <c r="O94" s="147">
        <f t="shared" si="88"/>
        <v>0.17674597735160488</v>
      </c>
      <c r="P94" s="147">
        <f t="shared" si="88"/>
        <v>0.17016061234524402</v>
      </c>
      <c r="Q94" s="147">
        <f t="shared" si="88"/>
        <v>0.16392056301197225</v>
      </c>
      <c r="R94" s="872">
        <f t="shared" ref="R94:AA94" si="89">R93/R27</f>
        <v>0.15803821050120712</v>
      </c>
      <c r="S94" s="147">
        <f t="shared" si="89"/>
        <v>0.1522275140047292</v>
      </c>
      <c r="T94" s="147">
        <f t="shared" si="89"/>
        <v>0.14665268251055091</v>
      </c>
      <c r="U94" s="147">
        <f t="shared" si="89"/>
        <v>0.14128338638631166</v>
      </c>
      <c r="V94" s="147">
        <f t="shared" si="89"/>
        <v>0.13607812777187542</v>
      </c>
      <c r="W94" s="147">
        <f t="shared" si="89"/>
        <v>0.13106069897038436</v>
      </c>
      <c r="X94" s="147">
        <f t="shared" si="89"/>
        <v>0.12621740076555163</v>
      </c>
      <c r="Y94" s="147">
        <f t="shared" si="89"/>
        <v>0.12153903197158429</v>
      </c>
      <c r="Z94" s="147">
        <f t="shared" si="89"/>
        <v>0.11702501457895491</v>
      </c>
      <c r="AA94" s="147">
        <f t="shared" si="89"/>
        <v>0.11266829672996753</v>
      </c>
    </row>
    <row r="95" spans="1:27" ht="3.75" customHeight="1">
      <c r="B95" s="247"/>
      <c r="E95" s="172"/>
      <c r="F95" s="172"/>
      <c r="G95" s="173"/>
      <c r="H95" s="171"/>
      <c r="I95" s="171"/>
      <c r="J95" s="171"/>
      <c r="K95" s="171"/>
      <c r="L95" s="171"/>
      <c r="O95" s="171"/>
      <c r="P95" s="171"/>
      <c r="Q95" s="171"/>
      <c r="R95" s="856"/>
    </row>
    <row r="96" spans="1:27" ht="15.6">
      <c r="B96" s="130" t="s">
        <v>461</v>
      </c>
      <c r="E96" s="153">
        <f>+E97+E98-E100</f>
        <v>152.4</v>
      </c>
      <c r="F96" s="153">
        <f t="shared" ref="F96:G96" si="90">+F97+F98-F100</f>
        <v>219.79999999999998</v>
      </c>
      <c r="G96" s="273">
        <f t="shared" si="90"/>
        <v>262.89999999999998</v>
      </c>
      <c r="H96" s="171">
        <f>IFERROR(H97+H98-H100,"")</f>
        <v>306.52432029132689</v>
      </c>
      <c r="I96" s="171">
        <f t="shared" ref="I96:Q96" si="91">IFERROR(I97+I98-I100,"")</f>
        <v>344.01283959494953</v>
      </c>
      <c r="J96" s="171">
        <f t="shared" si="91"/>
        <v>379.50355090045775</v>
      </c>
      <c r="K96" s="171">
        <f t="shared" si="91"/>
        <v>415.31166302935526</v>
      </c>
      <c r="L96" s="171">
        <f t="shared" si="91"/>
        <v>446.78101687163905</v>
      </c>
      <c r="M96" s="171">
        <f t="shared" si="91"/>
        <v>474.59579992171871</v>
      </c>
      <c r="N96" s="171">
        <f t="shared" si="91"/>
        <v>498.40963392195448</v>
      </c>
      <c r="O96" s="171">
        <f t="shared" si="91"/>
        <v>516.44751302799682</v>
      </c>
      <c r="P96" s="171">
        <f t="shared" si="91"/>
        <v>528.29391841642473</v>
      </c>
      <c r="Q96" s="171">
        <f t="shared" si="91"/>
        <v>533.15401065062815</v>
      </c>
      <c r="R96" s="870">
        <f t="shared" ref="R96:AA96" si="92">IFERROR(R97+R98-R100,"")</f>
        <v>545.14990989259911</v>
      </c>
      <c r="S96" s="171">
        <f t="shared" si="92"/>
        <v>556.87155837762225</v>
      </c>
      <c r="T96" s="171">
        <f t="shared" si="92"/>
        <v>568.28952747234598</v>
      </c>
      <c r="U96" s="171">
        <f t="shared" si="92"/>
        <v>579.34497983610959</v>
      </c>
      <c r="V96" s="171">
        <f t="shared" si="92"/>
        <v>590.04818979847801</v>
      </c>
      <c r="W96" s="171">
        <f t="shared" si="92"/>
        <v>600.36931338270085</v>
      </c>
      <c r="X96" s="171">
        <f t="shared" si="92"/>
        <v>610.27772743063792</v>
      </c>
      <c r="Y96" s="171">
        <f t="shared" si="92"/>
        <v>619.755614017977</v>
      </c>
      <c r="Z96" s="171">
        <f t="shared" si="92"/>
        <v>628.77326889798337</v>
      </c>
      <c r="AA96" s="171">
        <f t="shared" si="92"/>
        <v>637.30116432917498</v>
      </c>
    </row>
    <row r="97" spans="2:27" ht="15.6">
      <c r="B97" s="130" t="s">
        <v>462</v>
      </c>
      <c r="E97" s="312">
        <f>+_xlfn.XLOOKUP("Gross PP&amp;E (Property, Plant and Equipment)",Inputs!$B:$B,Inputs!O:O)</f>
        <v>188.8</v>
      </c>
      <c r="F97" s="312">
        <f>+_xlfn.XLOOKUP("Gross PP&amp;E (Property, Plant and Equipment)",Inputs!$B:$B,Inputs!P:P)</f>
        <v>268.89999999999998</v>
      </c>
      <c r="G97" s="319">
        <f>+_xlfn.XLOOKUP("Gross PP&amp;E (Property, Plant and Equipment)",Inputs!$B:$B,Inputs!Q:Q)</f>
        <v>328.5</v>
      </c>
      <c r="H97" s="317">
        <f>+IFERROR(G97-H131,"")</f>
        <v>393.80532029132689</v>
      </c>
      <c r="I97" s="317">
        <f t="shared" ref="I97:Q97" si="93">+IFERROR(H97-I131,"")</f>
        <v>457.28499073417709</v>
      </c>
      <c r="J97" s="317">
        <f t="shared" si="93"/>
        <v>522.95651142814097</v>
      </c>
      <c r="K97" s="317">
        <f t="shared" si="93"/>
        <v>593.27975331129585</v>
      </c>
      <c r="L97" s="317">
        <f t="shared" si="93"/>
        <v>663.90557087212517</v>
      </c>
      <c r="M97" s="317">
        <f t="shared" si="93"/>
        <v>735.53812159976508</v>
      </c>
      <c r="N97" s="317">
        <f t="shared" si="93"/>
        <v>807.89747162558535</v>
      </c>
      <c r="O97" s="317">
        <f t="shared" si="93"/>
        <v>879.25658385891631</v>
      </c>
      <c r="P97" s="317">
        <f t="shared" si="93"/>
        <v>949.13392378203275</v>
      </c>
      <c r="Q97" s="317">
        <f t="shared" si="93"/>
        <v>1016.6368549858503</v>
      </c>
      <c r="R97" s="873">
        <f t="shared" ref="R97:AA97" si="94">+IFERROR(Q97-R131,"")</f>
        <v>1095.7307866568874</v>
      </c>
      <c r="S97" s="317">
        <f t="shared" si="94"/>
        <v>1179.7706670612652</v>
      </c>
      <c r="T97" s="317">
        <f t="shared" si="94"/>
        <v>1269.0535001820324</v>
      </c>
      <c r="U97" s="317">
        <f t="shared" si="94"/>
        <v>1363.8664835578102</v>
      </c>
      <c r="V97" s="317">
        <f t="shared" si="94"/>
        <v>1464.584881434994</v>
      </c>
      <c r="W97" s="317">
        <f t="shared" si="94"/>
        <v>1571.5686071939265</v>
      </c>
      <c r="X97" s="317">
        <f t="shared" si="94"/>
        <v>1685.2005493166628</v>
      </c>
      <c r="Y97" s="317">
        <f t="shared" si="94"/>
        <v>1805.9016721589016</v>
      </c>
      <c r="Z97" s="317">
        <f t="shared" si="94"/>
        <v>1934.1088374013955</v>
      </c>
      <c r="AA97" s="317">
        <f t="shared" si="94"/>
        <v>2070.2879161010792</v>
      </c>
    </row>
    <row r="98" spans="2:27" ht="15.6">
      <c r="B98" s="130" t="s">
        <v>463</v>
      </c>
      <c r="C98" s="155"/>
      <c r="D98" s="155"/>
      <c r="E98" s="312">
        <f>+_xlfn.XLOOKUP("Right-of-Use Assets",Inputs!$B:$B,Inputs!O:O)</f>
        <v>0</v>
      </c>
      <c r="F98" s="312">
        <f>+_xlfn.XLOOKUP("Right-of-Use Assets",Inputs!$B:$B,Inputs!P:P)</f>
        <v>0</v>
      </c>
      <c r="G98" s="319">
        <f>+_xlfn.XLOOKUP("Right-of-Use Assets",Inputs!$B:$B,Inputs!Q:Q)</f>
        <v>0</v>
      </c>
      <c r="H98" s="317">
        <f t="shared" ref="H98:Q98" si="95">IFERROR(H99*H$27,"")</f>
        <v>0</v>
      </c>
      <c r="I98" s="317">
        <f t="shared" si="95"/>
        <v>0</v>
      </c>
      <c r="J98" s="317">
        <f t="shared" si="95"/>
        <v>0</v>
      </c>
      <c r="K98" s="317">
        <f t="shared" si="95"/>
        <v>0</v>
      </c>
      <c r="L98" s="317">
        <f t="shared" si="95"/>
        <v>0</v>
      </c>
      <c r="M98" s="317">
        <f t="shared" si="95"/>
        <v>0</v>
      </c>
      <c r="N98" s="317">
        <f t="shared" si="95"/>
        <v>0</v>
      </c>
      <c r="O98" s="317">
        <f t="shared" si="95"/>
        <v>0</v>
      </c>
      <c r="P98" s="317">
        <f t="shared" si="95"/>
        <v>0</v>
      </c>
      <c r="Q98" s="317">
        <f t="shared" si="95"/>
        <v>0</v>
      </c>
      <c r="R98" s="873">
        <f t="shared" ref="R98:AA98" si="96">IFERROR(R99*R$27,"")</f>
        <v>0</v>
      </c>
      <c r="S98" s="317">
        <f t="shared" si="96"/>
        <v>0</v>
      </c>
      <c r="T98" s="317">
        <f t="shared" si="96"/>
        <v>0</v>
      </c>
      <c r="U98" s="317">
        <f t="shared" si="96"/>
        <v>0</v>
      </c>
      <c r="V98" s="317">
        <f t="shared" si="96"/>
        <v>0</v>
      </c>
      <c r="W98" s="317">
        <f t="shared" si="96"/>
        <v>0</v>
      </c>
      <c r="X98" s="317">
        <f t="shared" si="96"/>
        <v>0</v>
      </c>
      <c r="Y98" s="317">
        <f t="shared" si="96"/>
        <v>0</v>
      </c>
      <c r="Z98" s="317">
        <f t="shared" si="96"/>
        <v>0</v>
      </c>
      <c r="AA98" s="317">
        <f t="shared" si="96"/>
        <v>0</v>
      </c>
    </row>
    <row r="99" spans="2:27" ht="15.6">
      <c r="B99" s="814" t="s">
        <v>437</v>
      </c>
      <c r="E99" s="306">
        <f>IFERROR(E98/E$27,"")</f>
        <v>0</v>
      </c>
      <c r="F99" s="306">
        <f>IFERROR(F98/F$27,"")</f>
        <v>0</v>
      </c>
      <c r="G99" s="307">
        <f>IFERROR(G98/G$27,"")</f>
        <v>0</v>
      </c>
      <c r="H99" s="305">
        <f t="shared" ref="H99:Q99" si="97">IFERROR(AVERAGE(E99:G99),"")</f>
        <v>0</v>
      </c>
      <c r="I99" s="305">
        <f t="shared" si="97"/>
        <v>0</v>
      </c>
      <c r="J99" s="305">
        <f t="shared" si="97"/>
        <v>0</v>
      </c>
      <c r="K99" s="305">
        <f t="shared" si="97"/>
        <v>0</v>
      </c>
      <c r="L99" s="305">
        <f t="shared" si="97"/>
        <v>0</v>
      </c>
      <c r="M99" s="305">
        <f t="shared" si="97"/>
        <v>0</v>
      </c>
      <c r="N99" s="305">
        <f t="shared" si="97"/>
        <v>0</v>
      </c>
      <c r="O99" s="305">
        <f t="shared" si="97"/>
        <v>0</v>
      </c>
      <c r="P99" s="305">
        <f t="shared" si="97"/>
        <v>0</v>
      </c>
      <c r="Q99" s="305">
        <f t="shared" si="97"/>
        <v>0</v>
      </c>
      <c r="R99" s="874">
        <f t="shared" ref="R99:AA99" si="98">IFERROR(AVERAGE(O99:Q99),"")</f>
        <v>0</v>
      </c>
      <c r="S99" s="305">
        <f t="shared" si="98"/>
        <v>0</v>
      </c>
      <c r="T99" s="305">
        <f t="shared" si="98"/>
        <v>0</v>
      </c>
      <c r="U99" s="305">
        <f t="shared" si="98"/>
        <v>0</v>
      </c>
      <c r="V99" s="305">
        <f t="shared" si="98"/>
        <v>0</v>
      </c>
      <c r="W99" s="305">
        <f t="shared" si="98"/>
        <v>0</v>
      </c>
      <c r="X99" s="305">
        <f t="shared" si="98"/>
        <v>0</v>
      </c>
      <c r="Y99" s="305">
        <f t="shared" si="98"/>
        <v>0</v>
      </c>
      <c r="Z99" s="305">
        <f t="shared" si="98"/>
        <v>0</v>
      </c>
      <c r="AA99" s="305">
        <f t="shared" si="98"/>
        <v>0</v>
      </c>
    </row>
    <row r="100" spans="2:27" ht="15.6">
      <c r="B100" s="130" t="s">
        <v>464</v>
      </c>
      <c r="E100" s="312">
        <f>+_xlfn.XLOOKUP($B100,Inputs!$B:$B,Inputs!O:O)</f>
        <v>36.4</v>
      </c>
      <c r="F100" s="312">
        <f>+_xlfn.XLOOKUP($B100,Inputs!$B:$B,Inputs!P:P)</f>
        <v>49.1</v>
      </c>
      <c r="G100" s="313">
        <f>+_xlfn.XLOOKUP($B100,Inputs!$B:$B,Inputs!Q:Q)</f>
        <v>65.599999999999994</v>
      </c>
      <c r="H100" s="314">
        <f>+IFERROR(G100+H50,"")</f>
        <v>87.280999999999992</v>
      </c>
      <c r="I100" s="314">
        <f t="shared" ref="I100:Q100" si="99">+IFERROR(H100+I50,"")</f>
        <v>113.27215113922756</v>
      </c>
      <c r="J100" s="314">
        <f t="shared" si="99"/>
        <v>143.45296052768325</v>
      </c>
      <c r="K100" s="314">
        <f t="shared" si="99"/>
        <v>177.96809028194056</v>
      </c>
      <c r="L100" s="314">
        <f t="shared" si="99"/>
        <v>217.12455400048609</v>
      </c>
      <c r="M100" s="314">
        <f t="shared" si="99"/>
        <v>260.94232167804637</v>
      </c>
      <c r="N100" s="314">
        <f t="shared" si="99"/>
        <v>309.48783770363087</v>
      </c>
      <c r="O100" s="314">
        <f t="shared" si="99"/>
        <v>362.8090708309195</v>
      </c>
      <c r="P100" s="314">
        <f t="shared" si="99"/>
        <v>420.84000536560796</v>
      </c>
      <c r="Q100" s="314">
        <f t="shared" si="99"/>
        <v>483.48284433522213</v>
      </c>
      <c r="R100" s="875">
        <f t="shared" ref="R100:AA100" si="100">+IFERROR(Q100+R50,"")</f>
        <v>550.58087676428829</v>
      </c>
      <c r="S100" s="314">
        <f t="shared" si="100"/>
        <v>622.89910868364291</v>
      </c>
      <c r="T100" s="314">
        <f t="shared" si="100"/>
        <v>700.76397270968641</v>
      </c>
      <c r="U100" s="314">
        <f t="shared" si="100"/>
        <v>784.52150372170058</v>
      </c>
      <c r="V100" s="314">
        <f t="shared" si="100"/>
        <v>874.53669163651603</v>
      </c>
      <c r="W100" s="314">
        <f t="shared" si="100"/>
        <v>971.19929381122563</v>
      </c>
      <c r="X100" s="314">
        <f t="shared" si="100"/>
        <v>1074.9228218860248</v>
      </c>
      <c r="Y100" s="314">
        <f t="shared" si="100"/>
        <v>1186.1460581409247</v>
      </c>
      <c r="Z100" s="314">
        <f t="shared" si="100"/>
        <v>1305.3355685034121</v>
      </c>
      <c r="AA100" s="314">
        <f t="shared" si="100"/>
        <v>1432.9867517719042</v>
      </c>
    </row>
    <row r="101" spans="2:27" ht="5.25" customHeight="1">
      <c r="B101" s="247"/>
      <c r="E101" s="169"/>
      <c r="F101" s="169"/>
      <c r="G101" s="170"/>
      <c r="H101" s="171"/>
      <c r="I101" s="171"/>
      <c r="J101" s="171"/>
      <c r="K101" s="171"/>
      <c r="L101" s="171"/>
      <c r="M101" s="171"/>
      <c r="N101" s="171"/>
      <c r="O101" s="171"/>
      <c r="P101" s="171"/>
      <c r="Q101" s="171"/>
      <c r="R101" s="856"/>
    </row>
    <row r="102" spans="2:27" ht="15.6">
      <c r="B102" s="247" t="s">
        <v>465</v>
      </c>
      <c r="E102" s="153">
        <f>+_xlfn.XLOOKUP($B102,Inputs!$B:$B,Inputs!O:O)</f>
        <v>79.699999999999989</v>
      </c>
      <c r="F102" s="153">
        <f>+_xlfn.XLOOKUP($B102,Inputs!$B:$B,Inputs!P:P)</f>
        <v>68.099999999999994</v>
      </c>
      <c r="G102" s="273">
        <f>+_xlfn.XLOOKUP($B102,Inputs!$B:$B,Inputs!Q:Q)</f>
        <v>58.699999999999989</v>
      </c>
      <c r="H102" s="171">
        <f t="shared" ref="H102:Q102" si="101">+G102+H103*H39</f>
        <v>58.699999999999989</v>
      </c>
      <c r="I102" s="171">
        <f t="shared" si="101"/>
        <v>58.699999999999989</v>
      </c>
      <c r="J102" s="171">
        <f t="shared" si="101"/>
        <v>58.699999999999989</v>
      </c>
      <c r="K102" s="171">
        <f t="shared" si="101"/>
        <v>58.699999999999989</v>
      </c>
      <c r="L102" s="171">
        <f t="shared" si="101"/>
        <v>58.699999999999989</v>
      </c>
      <c r="M102" s="171">
        <f t="shared" si="101"/>
        <v>58.699999999999989</v>
      </c>
      <c r="N102" s="171">
        <f t="shared" si="101"/>
        <v>58.699999999999989</v>
      </c>
      <c r="O102" s="171">
        <f t="shared" si="101"/>
        <v>58.699999999999989</v>
      </c>
      <c r="P102" s="171">
        <f t="shared" si="101"/>
        <v>58.699999999999989</v>
      </c>
      <c r="Q102" s="171">
        <f t="shared" si="101"/>
        <v>58.699999999999989</v>
      </c>
      <c r="R102" s="870">
        <f t="shared" ref="R102:AA102" si="102">+Q102+R103*R39</f>
        <v>58.699999999999989</v>
      </c>
      <c r="S102" s="171">
        <f t="shared" si="102"/>
        <v>58.699999999999989</v>
      </c>
      <c r="T102" s="171">
        <f t="shared" si="102"/>
        <v>58.699999999999989</v>
      </c>
      <c r="U102" s="171">
        <f t="shared" si="102"/>
        <v>58.699999999999989</v>
      </c>
      <c r="V102" s="171">
        <f t="shared" si="102"/>
        <v>58.699999999999989</v>
      </c>
      <c r="W102" s="171">
        <f t="shared" si="102"/>
        <v>58.699999999999989</v>
      </c>
      <c r="X102" s="171">
        <f t="shared" si="102"/>
        <v>58.699999999999989</v>
      </c>
      <c r="Y102" s="171">
        <f t="shared" si="102"/>
        <v>58.699999999999989</v>
      </c>
      <c r="Z102" s="171">
        <f t="shared" si="102"/>
        <v>58.699999999999989</v>
      </c>
      <c r="AA102" s="171">
        <f t="shared" si="102"/>
        <v>58.699999999999989</v>
      </c>
    </row>
    <row r="103" spans="2:27" s="89" customFormat="1" ht="14.45">
      <c r="B103" s="828" t="s">
        <v>466</v>
      </c>
      <c r="E103" s="363">
        <f>IFERROR((E102-Inputs!N45)/E39,"")</f>
        <v>1.1947852760736193</v>
      </c>
      <c r="F103" s="363">
        <f>IFERROR((F102-E102)/F39,"")</f>
        <v>-9.7397145256087281E-2</v>
      </c>
      <c r="G103" s="364">
        <f>IFERROR((G102-F102)/G39,"")</f>
        <v>-5.389908256880737E-2</v>
      </c>
      <c r="H103" s="305"/>
      <c r="I103" s="305"/>
      <c r="J103" s="305"/>
      <c r="K103" s="305"/>
      <c r="L103" s="305"/>
      <c r="M103" s="305"/>
      <c r="N103" s="305"/>
      <c r="O103" s="305"/>
      <c r="P103" s="305"/>
      <c r="Q103" s="305"/>
      <c r="R103" s="874"/>
      <c r="S103" s="305"/>
      <c r="T103" s="305"/>
      <c r="U103" s="305"/>
      <c r="V103" s="305"/>
      <c r="W103" s="305"/>
      <c r="X103" s="305"/>
      <c r="Y103" s="305"/>
      <c r="Z103" s="305"/>
      <c r="AA103" s="305"/>
    </row>
    <row r="104" spans="2:27" s="89" customFormat="1" ht="3.75" customHeight="1">
      <c r="E104" s="365"/>
      <c r="F104" s="365"/>
      <c r="G104" s="366"/>
      <c r="H104" s="328"/>
      <c r="I104" s="328"/>
      <c r="J104" s="328"/>
      <c r="K104" s="328"/>
      <c r="L104" s="328"/>
      <c r="M104" s="328"/>
      <c r="N104" s="328"/>
      <c r="O104" s="328"/>
      <c r="P104" s="328"/>
      <c r="Q104" s="328"/>
      <c r="R104" s="876"/>
    </row>
    <row r="105" spans="2:27" ht="13.5" customHeight="1">
      <c r="B105" s="152" t="s">
        <v>467</v>
      </c>
      <c r="E105" s="291"/>
      <c r="F105" s="291"/>
      <c r="G105" s="290"/>
      <c r="H105" s="171"/>
      <c r="I105" s="171"/>
      <c r="J105" s="171"/>
      <c r="K105" s="171"/>
      <c r="L105" s="171"/>
      <c r="M105" s="171"/>
      <c r="N105" s="171"/>
      <c r="O105" s="171"/>
      <c r="P105" s="171"/>
      <c r="Q105" s="171"/>
      <c r="R105" s="856"/>
    </row>
    <row r="106" spans="2:27" ht="5.25" customHeight="1">
      <c r="E106" s="291"/>
      <c r="F106" s="291"/>
      <c r="G106" s="290"/>
      <c r="H106" s="171"/>
      <c r="I106" s="171"/>
      <c r="J106" s="171"/>
      <c r="K106" s="171"/>
      <c r="L106" s="171"/>
      <c r="M106" s="171"/>
      <c r="N106" s="171"/>
      <c r="O106" s="171"/>
      <c r="P106" s="171"/>
      <c r="Q106" s="171"/>
      <c r="R106" s="856"/>
    </row>
    <row r="107" spans="2:27" ht="15.6">
      <c r="B107" s="130" t="s">
        <v>310</v>
      </c>
      <c r="E107" s="153">
        <f>+_xlfn.XLOOKUP($B107,Inputs!$B:$B,Inputs!O:O)</f>
        <v>20.8</v>
      </c>
      <c r="F107" s="153">
        <f>+_xlfn.XLOOKUP($B107,Inputs!$B:$B,Inputs!P:P)</f>
        <v>34.9</v>
      </c>
      <c r="G107" s="273">
        <f>+_xlfn.XLOOKUP($B107,Inputs!$B:$B,Inputs!Q:Q)</f>
        <v>72.5</v>
      </c>
      <c r="H107" s="171">
        <f>+IFERROR(H108*H30/365,"")</f>
        <v>84.18416937420514</v>
      </c>
      <c r="I107" s="171">
        <f t="shared" ref="I107:Q107" si="103">+IFERROR(I108*I30/365,"")</f>
        <v>85.042057340537283</v>
      </c>
      <c r="J107" s="171">
        <f t="shared" si="103"/>
        <v>85.61817808304896</v>
      </c>
      <c r="K107" s="171">
        <f t="shared" si="103"/>
        <v>85.869080795940008</v>
      </c>
      <c r="L107" s="171">
        <f t="shared" si="103"/>
        <v>85.746590166256311</v>
      </c>
      <c r="M107" s="171">
        <f t="shared" si="103"/>
        <v>85.121488609375064</v>
      </c>
      <c r="N107" s="171">
        <f t="shared" si="103"/>
        <v>84.676692506539311</v>
      </c>
      <c r="O107" s="171">
        <f t="shared" si="103"/>
        <v>83.676725620806494</v>
      </c>
      <c r="P107" s="171">
        <f t="shared" si="103"/>
        <v>82.035413755982574</v>
      </c>
      <c r="Q107" s="171">
        <f t="shared" si="103"/>
        <v>79.656001857427867</v>
      </c>
      <c r="R107" s="870">
        <f t="shared" ref="R107:AA107" si="104">+IFERROR(R108*R30/365,"")</f>
        <v>94.428631353814055</v>
      </c>
      <c r="S107" s="171">
        <f t="shared" si="104"/>
        <v>111.03689994882119</v>
      </c>
      <c r="T107" s="171">
        <f t="shared" si="104"/>
        <v>129.6841128411838</v>
      </c>
      <c r="U107" s="171">
        <f t="shared" si="104"/>
        <v>150.5950651931376</v>
      </c>
      <c r="V107" s="171">
        <f t="shared" si="104"/>
        <v>174.01826331313697</v>
      </c>
      <c r="W107" s="171">
        <f t="shared" si="104"/>
        <v>200.22837251062219</v>
      </c>
      <c r="X107" s="171">
        <f t="shared" si="104"/>
        <v>229.52891455334941</v>
      </c>
      <c r="Y107" s="171">
        <f t="shared" si="104"/>
        <v>262.25523996121206</v>
      </c>
      <c r="Z107" s="171">
        <f t="shared" si="104"/>
        <v>298.77780290383828</v>
      </c>
      <c r="AA107" s="171">
        <f t="shared" si="104"/>
        <v>339.50576925537484</v>
      </c>
    </row>
    <row r="108" spans="2:27" ht="15.6">
      <c r="B108" s="155" t="s">
        <v>468</v>
      </c>
      <c r="E108" s="308">
        <f>IFERROR(E107/E$30*365,"")</f>
        <v>39.541666666666671</v>
      </c>
      <c r="F108" s="308">
        <f>IFERROR(F107/F$30*365,"")</f>
        <v>65.934265010351979</v>
      </c>
      <c r="G108" s="309">
        <f>IFERROR(G107/G$30*366,"")</f>
        <v>82.895970009372064</v>
      </c>
      <c r="H108" s="310">
        <f t="shared" ref="H108:Q108" si="105">G108</f>
        <v>82.895970009372064</v>
      </c>
      <c r="I108" s="310">
        <f t="shared" si="105"/>
        <v>82.895970009372064</v>
      </c>
      <c r="J108" s="310">
        <f t="shared" si="105"/>
        <v>82.895970009372064</v>
      </c>
      <c r="K108" s="310">
        <f t="shared" si="105"/>
        <v>82.895970009372064</v>
      </c>
      <c r="L108" s="310">
        <f t="shared" si="105"/>
        <v>82.895970009372064</v>
      </c>
      <c r="M108" s="310">
        <f t="shared" si="105"/>
        <v>82.895970009372064</v>
      </c>
      <c r="N108" s="310">
        <f t="shared" si="105"/>
        <v>82.895970009372064</v>
      </c>
      <c r="O108" s="310">
        <f t="shared" si="105"/>
        <v>82.895970009372064</v>
      </c>
      <c r="P108" s="310">
        <f t="shared" si="105"/>
        <v>82.895970009372064</v>
      </c>
      <c r="Q108" s="310">
        <f t="shared" si="105"/>
        <v>82.895970009372064</v>
      </c>
      <c r="R108" s="871">
        <f t="shared" ref="R108:AA108" si="106">Q108</f>
        <v>82.895970009372064</v>
      </c>
      <c r="S108" s="310">
        <f t="shared" si="106"/>
        <v>82.895970009372064</v>
      </c>
      <c r="T108" s="310">
        <f t="shared" si="106"/>
        <v>82.895970009372064</v>
      </c>
      <c r="U108" s="310">
        <f t="shared" si="106"/>
        <v>82.895970009372064</v>
      </c>
      <c r="V108" s="310">
        <f t="shared" si="106"/>
        <v>82.895970009372064</v>
      </c>
      <c r="W108" s="310">
        <f t="shared" si="106"/>
        <v>82.895970009372064</v>
      </c>
      <c r="X108" s="310">
        <f t="shared" si="106"/>
        <v>82.895970009372064</v>
      </c>
      <c r="Y108" s="310">
        <f t="shared" si="106"/>
        <v>82.895970009372064</v>
      </c>
      <c r="Z108" s="310">
        <f t="shared" si="106"/>
        <v>82.895970009372064</v>
      </c>
      <c r="AA108" s="310">
        <f t="shared" si="106"/>
        <v>82.895970009372064</v>
      </c>
    </row>
    <row r="109" spans="2:27" ht="3.75" customHeight="1">
      <c r="E109" s="172"/>
      <c r="F109" s="172"/>
      <c r="G109" s="173"/>
      <c r="H109" s="171"/>
      <c r="I109" s="171"/>
      <c r="J109" s="171"/>
      <c r="K109" s="171"/>
      <c r="L109" s="171"/>
      <c r="O109" s="171"/>
      <c r="P109" s="171"/>
      <c r="Q109" s="171"/>
      <c r="R109" s="856"/>
    </row>
    <row r="110" spans="2:27" ht="15.6">
      <c r="B110" s="130" t="s">
        <v>469</v>
      </c>
      <c r="E110" s="153">
        <f>+_xlfn.XLOOKUP($B110,Inputs!$B:$B,Inputs!O:O)</f>
        <v>139.19999999999999</v>
      </c>
      <c r="F110" s="153">
        <f>+_xlfn.XLOOKUP($B110,Inputs!$B:$B,Inputs!P:P)</f>
        <v>170.7</v>
      </c>
      <c r="G110" s="273">
        <f>+_xlfn.XLOOKUP($B110,Inputs!$B:$B,Inputs!Q:Q)</f>
        <v>248.8</v>
      </c>
      <c r="H110" s="171">
        <f>IFERROR(AVERAGE(E110:G110)*(1+H28),"")</f>
        <v>199.11490676666668</v>
      </c>
      <c r="I110" s="171">
        <f t="shared" ref="I110:Q110" si="107">IFERROR(AVERAGE(F110:H110)*(1+I28),"")</f>
        <v>220.47478557933525</v>
      </c>
      <c r="J110" s="171">
        <f t="shared" si="107"/>
        <v>238.22192621178556</v>
      </c>
      <c r="K110" s="171">
        <f t="shared" si="107"/>
        <v>234.45902967828692</v>
      </c>
      <c r="L110" s="171">
        <f t="shared" si="107"/>
        <v>247.064118981213</v>
      </c>
      <c r="M110" s="171">
        <f t="shared" si="107"/>
        <v>256.3209361669804</v>
      </c>
      <c r="N110" s="171">
        <f t="shared" si="107"/>
        <v>264.85197854671293</v>
      </c>
      <c r="O110" s="171">
        <f t="shared" si="107"/>
        <v>275.81463725017028</v>
      </c>
      <c r="P110" s="171">
        <f t="shared" si="107"/>
        <v>286.19160157394055</v>
      </c>
      <c r="Q110" s="171">
        <f t="shared" si="107"/>
        <v>296.97470795186285</v>
      </c>
      <c r="R110" s="870">
        <f t="shared" ref="R110:AA110" si="108">IFERROR(AVERAGE(O110:Q110)*(1+R28),"")</f>
        <v>308.57076821115027</v>
      </c>
      <c r="S110" s="171">
        <f t="shared" si="108"/>
        <v>320.39862388936541</v>
      </c>
      <c r="T110" s="171">
        <f t="shared" si="108"/>
        <v>332.75213835336393</v>
      </c>
      <c r="U110" s="171">
        <f t="shared" si="108"/>
        <v>345.67451821111337</v>
      </c>
      <c r="V110" s="171">
        <f t="shared" si="108"/>
        <v>359.07828071389361</v>
      </c>
      <c r="W110" s="171">
        <f t="shared" si="108"/>
        <v>373.05338156010379</v>
      </c>
      <c r="X110" s="171">
        <f t="shared" si="108"/>
        <v>387.61650535406091</v>
      </c>
      <c r="Y110" s="171">
        <f t="shared" si="108"/>
        <v>402.77480253904235</v>
      </c>
      <c r="Z110" s="171">
        <f t="shared" si="108"/>
        <v>418.5694679086958</v>
      </c>
      <c r="AA110" s="171">
        <f t="shared" si="108"/>
        <v>435.02417347053768</v>
      </c>
    </row>
    <row r="111" spans="2:27" s="324" customFormat="1" ht="15.6">
      <c r="B111" s="814" t="s">
        <v>470</v>
      </c>
      <c r="E111" s="306">
        <f t="shared" ref="E111:Q111" si="109">IFERROR(E110/E$27,"")</f>
        <v>0.65971563981042647</v>
      </c>
      <c r="F111" s="306">
        <f t="shared" si="109"/>
        <v>0.69787408013082586</v>
      </c>
      <c r="G111" s="307">
        <f t="shared" si="109"/>
        <v>0.57038055937643284</v>
      </c>
      <c r="H111" s="306">
        <f t="shared" si="109"/>
        <v>0.42694482653217181</v>
      </c>
      <c r="I111" s="306">
        <f t="shared" si="109"/>
        <v>0.44214743193355066</v>
      </c>
      <c r="J111" s="306">
        <f t="shared" si="109"/>
        <v>0.44680360345227016</v>
      </c>
      <c r="K111" s="306">
        <f t="shared" si="109"/>
        <v>0.41125881545022519</v>
      </c>
      <c r="L111" s="306">
        <f t="shared" si="109"/>
        <v>0.40528247735561757</v>
      </c>
      <c r="M111" s="306">
        <f t="shared" si="109"/>
        <v>0.3935551470217335</v>
      </c>
      <c r="N111" s="306">
        <f t="shared" si="109"/>
        <v>0.37762858498851121</v>
      </c>
      <c r="O111" s="306">
        <f t="shared" si="109"/>
        <v>0.36512000094272939</v>
      </c>
      <c r="P111" s="306">
        <f t="shared" si="109"/>
        <v>0.3516807503106385</v>
      </c>
      <c r="Q111" s="306">
        <f t="shared" si="109"/>
        <v>0.33868932175304678</v>
      </c>
      <c r="R111" s="877">
        <f t="shared" ref="R111:AA111" si="110">IFERROR(R110/R$27,"")</f>
        <v>0.32654596106716421</v>
      </c>
      <c r="S111" s="306">
        <f t="shared" si="110"/>
        <v>0.31456116507400234</v>
      </c>
      <c r="T111" s="306">
        <f t="shared" si="110"/>
        <v>0.30302466280925699</v>
      </c>
      <c r="U111" s="306">
        <f t="shared" si="110"/>
        <v>0.29193435482670721</v>
      </c>
      <c r="V111" s="306">
        <f t="shared" si="110"/>
        <v>0.2811810903726244</v>
      </c>
      <c r="W111" s="306">
        <f t="shared" si="110"/>
        <v>0.27081074443426234</v>
      </c>
      <c r="X111" s="306">
        <f t="shared" si="110"/>
        <v>0.26080404621306263</v>
      </c>
      <c r="Y111" s="306">
        <f t="shared" si="110"/>
        <v>0.25113726997625019</v>
      </c>
      <c r="Z111" s="306">
        <f t="shared" si="110"/>
        <v>0.24180950184880062</v>
      </c>
      <c r="AA111" s="306">
        <f t="shared" si="110"/>
        <v>0.23280739547805193</v>
      </c>
    </row>
    <row r="112" spans="2:27" s="247" customFormat="1" ht="5.25" customHeight="1">
      <c r="B112" s="274"/>
      <c r="E112" s="320"/>
      <c r="F112" s="320"/>
      <c r="G112" s="321"/>
      <c r="H112" s="322"/>
      <c r="I112" s="322"/>
      <c r="J112" s="322"/>
      <c r="K112" s="322"/>
      <c r="L112" s="322"/>
      <c r="M112" s="322"/>
      <c r="N112" s="322"/>
      <c r="O112" s="322"/>
      <c r="P112" s="322"/>
      <c r="Q112" s="322"/>
      <c r="R112" s="861"/>
    </row>
    <row r="113" spans="1:27" ht="15.6">
      <c r="B113" s="130" t="s">
        <v>471</v>
      </c>
      <c r="E113" s="294">
        <f>+_xlfn.XLOOKUP($B113,Inputs!$B:$B,Inputs!O:O)</f>
        <v>87</v>
      </c>
      <c r="F113" s="294">
        <f>+_xlfn.XLOOKUP($B113,Inputs!$B:$B,Inputs!P:P)</f>
        <v>89.8</v>
      </c>
      <c r="G113" s="295">
        <f>+_xlfn.XLOOKUP($B113,Inputs!$B:$B,Inputs!Q:Q)</f>
        <v>401.2</v>
      </c>
      <c r="H113" s="171"/>
      <c r="I113" s="171"/>
      <c r="J113" s="171"/>
      <c r="K113" s="171"/>
      <c r="L113" s="171"/>
      <c r="M113" s="171"/>
      <c r="N113" s="171"/>
      <c r="O113" s="171"/>
      <c r="P113" s="171"/>
      <c r="Q113" s="171"/>
      <c r="R113" s="856"/>
    </row>
    <row r="114" spans="1:27" ht="3.75" customHeight="1">
      <c r="B114" s="155"/>
      <c r="E114" s="174"/>
      <c r="F114" s="174"/>
      <c r="G114" s="323"/>
      <c r="H114" s="296"/>
      <c r="I114" s="296"/>
      <c r="J114" s="296"/>
      <c r="K114" s="296"/>
      <c r="L114" s="296"/>
      <c r="M114" s="296"/>
      <c r="N114" s="296"/>
      <c r="O114" s="296"/>
      <c r="P114" s="296"/>
      <c r="Q114" s="296"/>
      <c r="R114" s="856"/>
    </row>
    <row r="115" spans="1:27" ht="15.6">
      <c r="B115" s="130" t="s">
        <v>472</v>
      </c>
      <c r="E115" s="294">
        <f>+_xlfn.XLOOKUP($B115,Inputs!$B:$B,Inputs!O:O)</f>
        <v>37.700000000000003</v>
      </c>
      <c r="F115" s="294">
        <f>+_xlfn.XLOOKUP($B115,Inputs!$B:$B,Inputs!P:P)</f>
        <v>61.4</v>
      </c>
      <c r="G115" s="295">
        <f>+_xlfn.XLOOKUP($B115,Inputs!$B:$B,Inputs!Q:Q)</f>
        <v>58.4</v>
      </c>
      <c r="H115" s="171"/>
      <c r="I115" s="171"/>
      <c r="J115" s="171"/>
      <c r="K115" s="171"/>
      <c r="L115" s="171"/>
      <c r="M115" s="171"/>
      <c r="N115" s="171"/>
      <c r="O115" s="171"/>
      <c r="P115" s="171"/>
      <c r="Q115" s="171"/>
      <c r="R115" s="856"/>
    </row>
    <row r="116" spans="1:27" ht="15.6">
      <c r="B116" s="155" t="s">
        <v>473</v>
      </c>
      <c r="E116" s="292">
        <f>IFERROR(E115/E$27,"")</f>
        <v>0.17867298578199053</v>
      </c>
      <c r="F116" s="292">
        <f>IFERROR(F115/F$27,"")</f>
        <v>0.25102207686017991</v>
      </c>
      <c r="G116" s="293">
        <f>IFERROR(G115/G$27,"")</f>
        <v>0.1338835396607061</v>
      </c>
      <c r="H116" s="147"/>
      <c r="I116" s="147"/>
      <c r="J116" s="147"/>
      <c r="K116" s="147"/>
      <c r="L116" s="147"/>
      <c r="M116" s="147"/>
      <c r="N116" s="147"/>
      <c r="O116" s="147"/>
      <c r="P116" s="147"/>
      <c r="Q116" s="147"/>
      <c r="R116" s="872"/>
      <c r="S116" s="147"/>
      <c r="T116" s="147"/>
      <c r="U116" s="147"/>
      <c r="V116" s="147"/>
      <c r="W116" s="147"/>
      <c r="X116" s="147"/>
      <c r="Y116" s="147"/>
      <c r="Z116" s="147"/>
      <c r="AA116" s="147"/>
    </row>
    <row r="117" spans="1:27" ht="3.75" customHeight="1">
      <c r="G117" s="161"/>
      <c r="R117" s="856"/>
    </row>
    <row r="118" spans="1:27" ht="15.6">
      <c r="A118" s="130" t="s">
        <v>405</v>
      </c>
      <c r="B118" s="52" t="s">
        <v>260</v>
      </c>
      <c r="C118" s="52"/>
      <c r="D118" s="52"/>
      <c r="E118" s="141">
        <f t="shared" ref="E118:Q118" si="111">E25</f>
        <v>2022</v>
      </c>
      <c r="F118" s="141">
        <f t="shared" si="111"/>
        <v>2023</v>
      </c>
      <c r="G118" s="166">
        <f t="shared" si="111"/>
        <v>2024</v>
      </c>
      <c r="H118" s="104">
        <f t="shared" si="111"/>
        <v>2025</v>
      </c>
      <c r="I118" s="104">
        <f t="shared" si="111"/>
        <v>2026</v>
      </c>
      <c r="J118" s="104">
        <f t="shared" si="111"/>
        <v>2027</v>
      </c>
      <c r="K118" s="104">
        <f t="shared" si="111"/>
        <v>2028</v>
      </c>
      <c r="L118" s="104">
        <f t="shared" si="111"/>
        <v>2029</v>
      </c>
      <c r="M118" s="104">
        <f t="shared" si="111"/>
        <v>2030</v>
      </c>
      <c r="N118" s="104">
        <f t="shared" si="111"/>
        <v>2031</v>
      </c>
      <c r="O118" s="104">
        <f t="shared" si="111"/>
        <v>2032</v>
      </c>
      <c r="P118" s="104">
        <f t="shared" si="111"/>
        <v>2033</v>
      </c>
      <c r="Q118" s="104">
        <f t="shared" si="111"/>
        <v>2034</v>
      </c>
      <c r="R118" s="852">
        <f t="shared" ref="R118:AA118" si="112">+Q118+1</f>
        <v>2035</v>
      </c>
      <c r="S118" s="104">
        <f t="shared" si="112"/>
        <v>2036</v>
      </c>
      <c r="T118" s="104">
        <f t="shared" si="112"/>
        <v>2037</v>
      </c>
      <c r="U118" s="104">
        <f t="shared" si="112"/>
        <v>2038</v>
      </c>
      <c r="V118" s="104">
        <f t="shared" si="112"/>
        <v>2039</v>
      </c>
      <c r="W118" s="104">
        <f t="shared" si="112"/>
        <v>2040</v>
      </c>
      <c r="X118" s="104">
        <f t="shared" si="112"/>
        <v>2041</v>
      </c>
      <c r="Y118" s="104">
        <f t="shared" si="112"/>
        <v>2042</v>
      </c>
      <c r="Z118" s="104">
        <f t="shared" si="112"/>
        <v>2043</v>
      </c>
      <c r="AA118" s="104">
        <f t="shared" si="112"/>
        <v>2044</v>
      </c>
    </row>
    <row r="119" spans="1:27" ht="3.95" customHeight="1">
      <c r="B119" s="53"/>
      <c r="C119" s="53"/>
      <c r="D119" s="53"/>
      <c r="E119" s="175"/>
      <c r="F119" s="175"/>
      <c r="G119" s="176"/>
      <c r="H119" s="53"/>
      <c r="I119" s="53"/>
      <c r="J119" s="53"/>
      <c r="K119" s="53"/>
      <c r="L119" s="53"/>
      <c r="M119" s="53"/>
      <c r="N119" s="53"/>
      <c r="O119" s="53"/>
      <c r="P119" s="53"/>
      <c r="Q119" s="53"/>
      <c r="R119" s="856"/>
    </row>
    <row r="120" spans="1:27" ht="15.6">
      <c r="B120" s="247" t="s">
        <v>441</v>
      </c>
      <c r="E120" s="169">
        <f>+E47</f>
        <v>29.43</v>
      </c>
      <c r="F120" s="169">
        <f t="shared" ref="F120:Q120" si="113">+F47</f>
        <v>28.5</v>
      </c>
      <c r="G120" s="170">
        <f t="shared" si="113"/>
        <v>31.87</v>
      </c>
      <c r="H120" s="171">
        <f t="shared" si="113"/>
        <v>35.227154036537357</v>
      </c>
      <c r="I120" s="171">
        <f t="shared" si="113"/>
        <v>37.700125437432796</v>
      </c>
      <c r="J120" s="171">
        <f t="shared" si="113"/>
        <v>42.324259106766306</v>
      </c>
      <c r="K120" s="171">
        <f t="shared" si="113"/>
        <v>46.981322438608373</v>
      </c>
      <c r="L120" s="171">
        <f t="shared" si="113"/>
        <v>51.262669285501161</v>
      </c>
      <c r="M120" s="171">
        <f t="shared" si="113"/>
        <v>56.056383667432698</v>
      </c>
      <c r="N120" s="171">
        <f t="shared" si="113"/>
        <v>60.815854105977543</v>
      </c>
      <c r="O120" s="171">
        <f t="shared" si="113"/>
        <v>65.526286339695673</v>
      </c>
      <c r="P120" s="171">
        <f t="shared" si="113"/>
        <v>70.268936962245988</v>
      </c>
      <c r="Q120" s="171">
        <f t="shared" si="113"/>
        <v>74.880636876400033</v>
      </c>
      <c r="R120" s="870">
        <f t="shared" ref="R120:AA120" si="114">+R47</f>
        <v>79.324983611316256</v>
      </c>
      <c r="S120" s="171">
        <f t="shared" si="114"/>
        <v>84.552482424885739</v>
      </c>
      <c r="T120" s="171">
        <f t="shared" si="114"/>
        <v>90.097863890899234</v>
      </c>
      <c r="U120" s="171">
        <f t="shared" si="114"/>
        <v>95.988931529559821</v>
      </c>
      <c r="V120" s="171">
        <f t="shared" si="114"/>
        <v>102.24807154412633</v>
      </c>
      <c r="W120" s="171">
        <f t="shared" si="114"/>
        <v>108.89503017861369</v>
      </c>
      <c r="X120" s="171">
        <f t="shared" si="114"/>
        <v>115.95576545838603</v>
      </c>
      <c r="Y120" s="171">
        <f t="shared" si="114"/>
        <v>123.45575259383368</v>
      </c>
      <c r="Z120" s="171">
        <f t="shared" si="114"/>
        <v>131.4219042712958</v>
      </c>
      <c r="AA120" s="171">
        <f t="shared" si="114"/>
        <v>139.88356581226847</v>
      </c>
    </row>
    <row r="121" spans="1:27" ht="3.95" customHeight="1">
      <c r="B121" s="247"/>
      <c r="G121" s="151"/>
      <c r="R121" s="856"/>
    </row>
    <row r="122" spans="1:27" ht="13.5" customHeight="1">
      <c r="B122" s="247" t="s">
        <v>474</v>
      </c>
      <c r="E122" s="294">
        <f>+_xlfn.XLOOKUP($B122,Inputs!$B:$B,Inputs!O:O)</f>
        <v>55.6</v>
      </c>
      <c r="F122" s="294">
        <f>+_xlfn.XLOOKUP($B122,Inputs!$B:$B,Inputs!P:P)</f>
        <v>53.5</v>
      </c>
      <c r="G122" s="295">
        <f>+_xlfn.XLOOKUP($B122,Inputs!$B:$B,Inputs!Q:Q)</f>
        <v>56.8</v>
      </c>
      <c r="H122" s="171">
        <f>IFERROR(H123*H36,"")</f>
        <v>56.016086428337324</v>
      </c>
      <c r="I122" s="171">
        <f t="shared" ref="I122:Q122" si="115">IFERROR(I123*I36,"")</f>
        <v>50.681149354226115</v>
      </c>
      <c r="J122" s="171">
        <f t="shared" si="115"/>
        <v>45.159728754446661</v>
      </c>
      <c r="K122" s="171">
        <f t="shared" si="115"/>
        <v>39.507503888845534</v>
      </c>
      <c r="L122" s="171">
        <f t="shared" si="115"/>
        <v>33.792742232082709</v>
      </c>
      <c r="M122" s="171">
        <f t="shared" si="115"/>
        <v>28.073050846890464</v>
      </c>
      <c r="N122" s="171">
        <f t="shared" si="115"/>
        <v>22.660099450665026</v>
      </c>
      <c r="O122" s="171">
        <f t="shared" si="115"/>
        <v>17.412395417711164</v>
      </c>
      <c r="P122" s="171">
        <f t="shared" si="115"/>
        <v>12.473099055716965</v>
      </c>
      <c r="Q122" s="171">
        <f t="shared" si="115"/>
        <v>6.1378461679958169</v>
      </c>
      <c r="R122" s="870">
        <f t="shared" ref="R122:AA122" si="116">IFERROR(R123*R36,"")</f>
        <v>6.6146749156507942</v>
      </c>
      <c r="S122" s="171">
        <f t="shared" si="116"/>
        <v>7.1299022773454199</v>
      </c>
      <c r="T122" s="171">
        <f t="shared" si="116"/>
        <v>7.6867174667552893</v>
      </c>
      <c r="U122" s="171">
        <f t="shared" si="116"/>
        <v>8.2885812768221321</v>
      </c>
      <c r="V122" s="171">
        <f t="shared" si="116"/>
        <v>8.9392496546132332</v>
      </c>
      <c r="W122" s="171">
        <f t="shared" si="116"/>
        <v>9.6427993519091046</v>
      </c>
      <c r="X122" s="171">
        <f t="shared" si="116"/>
        <v>10.403655836159061</v>
      </c>
      <c r="Y122" s="171">
        <f t="shared" si="116"/>
        <v>11.226623662986889</v>
      </c>
      <c r="Z122" s="171">
        <f t="shared" si="116"/>
        <v>12.116919529460597</v>
      </c>
      <c r="AA122" s="171">
        <f t="shared" si="116"/>
        <v>13.080208246996387</v>
      </c>
    </row>
    <row r="123" spans="1:27" ht="13.5" customHeight="1">
      <c r="B123" s="814" t="s">
        <v>475</v>
      </c>
      <c r="E123" s="292">
        <f>+IFERROR(E122/E36,"")</f>
        <v>0.62471910112359552</v>
      </c>
      <c r="F123" s="292">
        <f t="shared" ref="F123:G123" si="117">+IFERROR(F122/F36,"")</f>
        <v>0.48504079782411608</v>
      </c>
      <c r="G123" s="293">
        <f t="shared" si="117"/>
        <v>0.45880452342487882</v>
      </c>
      <c r="H123" s="147">
        <f t="shared" ref="H123:P123" si="118">G123-($G$123-$Q$123)/10</f>
        <v>0.42292407108239094</v>
      </c>
      <c r="I123" s="147">
        <f t="shared" si="118"/>
        <v>0.38704361873990306</v>
      </c>
      <c r="J123" s="147">
        <f t="shared" si="118"/>
        <v>0.35116316639741518</v>
      </c>
      <c r="K123" s="147">
        <f t="shared" si="118"/>
        <v>0.3152827140549273</v>
      </c>
      <c r="L123" s="147">
        <f t="shared" si="118"/>
        <v>0.27940226171243943</v>
      </c>
      <c r="M123" s="147">
        <f t="shared" si="118"/>
        <v>0.24352180936995155</v>
      </c>
      <c r="N123" s="147">
        <f t="shared" si="118"/>
        <v>0.20764135702746367</v>
      </c>
      <c r="O123" s="147">
        <f t="shared" si="118"/>
        <v>0.17176090468497579</v>
      </c>
      <c r="P123" s="147">
        <f t="shared" si="118"/>
        <v>0.13588045234248791</v>
      </c>
      <c r="Q123" s="147">
        <v>0.1</v>
      </c>
      <c r="R123" s="872">
        <v>0.1</v>
      </c>
      <c r="S123" s="147">
        <v>0.1</v>
      </c>
      <c r="T123" s="147">
        <v>0.1</v>
      </c>
      <c r="U123" s="147">
        <v>0.1</v>
      </c>
      <c r="V123" s="147">
        <v>0.1</v>
      </c>
      <c r="W123" s="147">
        <v>0.1</v>
      </c>
      <c r="X123" s="147">
        <v>0.1</v>
      </c>
      <c r="Y123" s="147">
        <v>0.1</v>
      </c>
      <c r="Z123" s="147">
        <v>0.1</v>
      </c>
      <c r="AA123" s="147">
        <v>0.1</v>
      </c>
    </row>
    <row r="124" spans="1:27" ht="3.75" customHeight="1">
      <c r="B124" s="814"/>
      <c r="E124" s="292"/>
      <c r="F124" s="292"/>
      <c r="G124" s="293"/>
      <c r="H124" s="147"/>
      <c r="I124" s="147"/>
      <c r="J124" s="147"/>
      <c r="K124" s="147"/>
      <c r="L124" s="147"/>
      <c r="M124" s="147"/>
      <c r="N124" s="147"/>
      <c r="O124" s="147"/>
      <c r="P124" s="147"/>
      <c r="Q124" s="147"/>
      <c r="R124" s="856"/>
    </row>
    <row r="125" spans="1:27" ht="13.5" customHeight="1">
      <c r="B125" s="247" t="s">
        <v>476</v>
      </c>
      <c r="E125" s="294">
        <f>+_xlfn.XLOOKUP($B125,Inputs!$B:$B,Inputs!O:O)</f>
        <v>-35.5</v>
      </c>
      <c r="F125" s="294">
        <f>+_xlfn.XLOOKUP($B125,Inputs!$B:$B,Inputs!P:P)</f>
        <v>-6.5</v>
      </c>
      <c r="G125" s="295">
        <f>+_xlfn.XLOOKUP($B125,Inputs!$B:$B,Inputs!Q:Q)</f>
        <v>38.099999999999994</v>
      </c>
      <c r="H125" s="177">
        <f>IFERROR(-((H87+H90+H93-H107-H110)-(G87+G90+G93-G107-G110)),"")</f>
        <v>-36.967980671228759</v>
      </c>
      <c r="I125" s="177">
        <f t="shared" ref="I125:Q125" si="119">IFERROR(-((I87+I90+I93-I107-I110)-(H87+H90+H93-H107-H110)),"")</f>
        <v>5.9461577933628007</v>
      </c>
      <c r="J125" s="177">
        <f t="shared" si="119"/>
        <v>7.6826863737619249</v>
      </c>
      <c r="K125" s="177">
        <f t="shared" si="119"/>
        <v>-5.7693395697478991</v>
      </c>
      <c r="L125" s="177">
        <f t="shared" si="119"/>
        <v>3.0544245929616523</v>
      </c>
      <c r="M125" s="177">
        <f t="shared" si="119"/>
        <v>2.0373784019392076</v>
      </c>
      <c r="N125" s="177">
        <f t="shared" si="119"/>
        <v>0.33705321301502522</v>
      </c>
      <c r="O125" s="177">
        <f t="shared" si="119"/>
        <v>1.7605613768600392</v>
      </c>
      <c r="P125" s="177">
        <f t="shared" si="119"/>
        <v>1.5816588424409019</v>
      </c>
      <c r="Q125" s="177">
        <f t="shared" si="119"/>
        <v>1.76816874476782</v>
      </c>
      <c r="R125" s="862">
        <f t="shared" ref="R125:AA125" si="120">IFERROR(-((R87+R90+R93-R107-R110)-(Q87+Q90+Q93-Q107-Q110)),"")</f>
        <v>-9.1402387776595333</v>
      </c>
      <c r="S125" s="198">
        <f t="shared" si="120"/>
        <v>-10.645332787739108</v>
      </c>
      <c r="T125" s="198">
        <f t="shared" si="120"/>
        <v>-12.191707509460002</v>
      </c>
      <c r="U125" s="198">
        <f t="shared" si="120"/>
        <v>-13.870601317382636</v>
      </c>
      <c r="V125" s="198">
        <f t="shared" si="120"/>
        <v>-15.809886039999981</v>
      </c>
      <c r="W125" s="198">
        <f t="shared" si="120"/>
        <v>-17.929217017722294</v>
      </c>
      <c r="X125" s="198">
        <f t="shared" si="120"/>
        <v>-20.280860257562892</v>
      </c>
      <c r="Y125" s="198">
        <f t="shared" si="120"/>
        <v>-22.903328644285182</v>
      </c>
      <c r="Z125" s="198">
        <f t="shared" si="120"/>
        <v>-25.803259848859511</v>
      </c>
      <c r="AA125" s="198">
        <f t="shared" si="120"/>
        <v>-29.018857605004825</v>
      </c>
    </row>
    <row r="126" spans="1:27" ht="3.75" customHeight="1">
      <c r="B126" s="247"/>
      <c r="G126" s="151"/>
      <c r="R126" s="856"/>
    </row>
    <row r="127" spans="1:27" ht="13.5" customHeight="1">
      <c r="B127" s="815" t="s">
        <v>477</v>
      </c>
      <c r="C127" s="378"/>
      <c r="D127" s="378"/>
      <c r="E127" s="379">
        <f>+_xlfn.XLOOKUP($B127,Inputs!$B:$B,Inputs!O:O)</f>
        <v>-49.560000000000016</v>
      </c>
      <c r="F127" s="379">
        <f>+_xlfn.XLOOKUP($B127,Inputs!$B:$B,Inputs!P:P)</f>
        <v>-20.200000000000017</v>
      </c>
      <c r="G127" s="380">
        <f>+_xlfn.XLOOKUP($B127,Inputs!$B:$B,Inputs!Q:Q)</f>
        <v>-24.939999999999984</v>
      </c>
      <c r="H127" s="381">
        <f>IFERROR(AVERAGE(E127:G127)*(1+H28),"")</f>
        <v>-33.750101433333342</v>
      </c>
      <c r="I127" s="381">
        <f t="shared" ref="I127:P127" si="121">IFERROR(AVERAGE(F127:H127)*(1+I28),"")</f>
        <v>-28.11648734550571</v>
      </c>
      <c r="J127" s="381">
        <f t="shared" si="121"/>
        <v>-30.938886436424106</v>
      </c>
      <c r="K127" s="381">
        <f t="shared" si="121"/>
        <v>-33.077983200583155</v>
      </c>
      <c r="L127" s="381">
        <f t="shared" si="121"/>
        <v>-32.839440416971264</v>
      </c>
      <c r="M127" s="381">
        <f t="shared" si="121"/>
        <v>-34.49318506438528</v>
      </c>
      <c r="N127" s="381">
        <f t="shared" si="121"/>
        <v>-36.042775056935781</v>
      </c>
      <c r="O127" s="381">
        <f t="shared" si="121"/>
        <v>-37.11412929799404</v>
      </c>
      <c r="P127" s="381">
        <f t="shared" si="121"/>
        <v>-38.656251812937477</v>
      </c>
      <c r="Q127" s="381">
        <f t="shared" ref="Q127:AA127" si="122">IFERROR(AVERAGE(N127:P127)*(1+Q28),"")</f>
        <v>-40.158855170736693</v>
      </c>
      <c r="R127" s="870">
        <f t="shared" si="122"/>
        <v>-41.645130351064616</v>
      </c>
      <c r="S127" s="381">
        <f t="shared" si="122"/>
        <v>-43.281024462259246</v>
      </c>
      <c r="T127" s="381">
        <f t="shared" si="122"/>
        <v>-44.951206607173759</v>
      </c>
      <c r="U127" s="381">
        <f t="shared" si="122"/>
        <v>-46.682218203405547</v>
      </c>
      <c r="V127" s="381">
        <f t="shared" si="122"/>
        <v>-48.501824529651948</v>
      </c>
      <c r="W127" s="381">
        <f t="shared" si="122"/>
        <v>-50.388125168135922</v>
      </c>
      <c r="X127" s="381">
        <f t="shared" si="122"/>
        <v>-52.352803333599624</v>
      </c>
      <c r="Y127" s="381">
        <f t="shared" si="122"/>
        <v>-54.402205557270186</v>
      </c>
      <c r="Z127" s="381">
        <f t="shared" si="122"/>
        <v>-56.534976354996125</v>
      </c>
      <c r="AA127" s="381">
        <f t="shared" si="122"/>
        <v>-58.757151008880086</v>
      </c>
    </row>
    <row r="128" spans="1:27" ht="5.25" customHeight="1">
      <c r="E128" s="318"/>
      <c r="F128" s="318"/>
      <c r="G128" s="295"/>
      <c r="H128" s="171"/>
      <c r="I128" s="171"/>
      <c r="J128" s="171"/>
      <c r="K128" s="171"/>
      <c r="L128" s="171"/>
      <c r="M128" s="171"/>
      <c r="N128" s="171"/>
      <c r="O128" s="171"/>
      <c r="P128" s="171"/>
      <c r="Q128" s="171"/>
      <c r="R128" s="856"/>
    </row>
    <row r="129" spans="2:27" ht="13.5" customHeight="1">
      <c r="B129" s="396" t="s">
        <v>316</v>
      </c>
      <c r="C129" s="152"/>
      <c r="D129" s="152"/>
      <c r="E129" s="340">
        <f>+_xlfn.XLOOKUP($B129,Inputs!$B:$B,Inputs!O:O)</f>
        <v>-106.5</v>
      </c>
      <c r="F129" s="340">
        <f>+_xlfn.XLOOKUP($B129,Inputs!$B:$B,Inputs!P:P)</f>
        <v>-98.9</v>
      </c>
      <c r="G129" s="341">
        <f>+_xlfn.XLOOKUP($B129,Inputs!$B:$B,Inputs!Q:Q)</f>
        <v>-48.9</v>
      </c>
      <c r="H129" s="487">
        <f>IFERROR(H78+H120+H122+H125+H127,"")</f>
        <v>-267.09228136393506</v>
      </c>
      <c r="I129" s="487">
        <f t="shared" ref="I129:Q129" si="123">IFERROR(I78+I120+I122+I125+I127,"")</f>
        <v>-246.89190428948845</v>
      </c>
      <c r="J129" s="487">
        <f t="shared" si="123"/>
        <v>-277.2304260081695</v>
      </c>
      <c r="K129" s="487">
        <f t="shared" si="123"/>
        <v>-327.46318350897349</v>
      </c>
      <c r="L129" s="487">
        <f t="shared" si="123"/>
        <v>-355.37499857618303</v>
      </c>
      <c r="M129" s="487">
        <f t="shared" si="123"/>
        <v>-396.12169817202863</v>
      </c>
      <c r="N129" s="487">
        <f t="shared" si="123"/>
        <v>-435.58583067714318</v>
      </c>
      <c r="O129" s="487">
        <f t="shared" si="123"/>
        <v>-467.54906803328009</v>
      </c>
      <c r="P129" s="487">
        <f t="shared" si="123"/>
        <v>-494.62544102265753</v>
      </c>
      <c r="Q129" s="487">
        <f t="shared" si="123"/>
        <v>-480.85826136247766</v>
      </c>
      <c r="R129" s="878">
        <f t="shared" ref="R129:AA129" si="124">IFERROR(R78+R120+R122+R125+R127,"")</f>
        <v>-580.06972622102307</v>
      </c>
      <c r="S129" s="846">
        <f t="shared" si="124"/>
        <v>-673.35491645168167</v>
      </c>
      <c r="T129" s="846">
        <f t="shared" si="124"/>
        <v>-769.26378817068394</v>
      </c>
      <c r="U129" s="846">
        <f t="shared" si="124"/>
        <v>-867.05737606944228</v>
      </c>
      <c r="V129" s="846">
        <f t="shared" si="124"/>
        <v>-966.09347718595018</v>
      </c>
      <c r="W129" s="846">
        <f t="shared" si="124"/>
        <v>-1065.4908878105266</v>
      </c>
      <c r="X129" s="846">
        <f t="shared" si="124"/>
        <v>-1164.6291094601384</v>
      </c>
      <c r="Y129" s="846">
        <f t="shared" si="124"/>
        <v>-1263.0309965569118</v>
      </c>
      <c r="Z129" s="846">
        <f t="shared" si="124"/>
        <v>-1360.3746695640002</v>
      </c>
      <c r="AA129" s="846">
        <f t="shared" si="124"/>
        <v>-1456.6388536349996</v>
      </c>
    </row>
    <row r="130" spans="2:27" ht="3.75" customHeight="1">
      <c r="G130" s="151"/>
      <c r="R130" s="856"/>
    </row>
    <row r="131" spans="2:27" ht="13.5" customHeight="1">
      <c r="B131" s="826" t="s">
        <v>478</v>
      </c>
      <c r="C131" s="336"/>
      <c r="D131" s="336"/>
      <c r="E131" s="337">
        <f>+_xlfn.XLOOKUP($B131,Inputs!$B:$B,Inputs!O:O)</f>
        <v>-108.2</v>
      </c>
      <c r="F131" s="337">
        <f>+_xlfn.XLOOKUP($B131,Inputs!$B:$B,Inputs!P:P)</f>
        <v>-70</v>
      </c>
      <c r="G131" s="338">
        <f>+_xlfn.XLOOKUP($B131,Inputs!$B:$B,Inputs!Q:Q)</f>
        <v>-54.599999999999994</v>
      </c>
      <c r="H131" s="339">
        <f t="shared" ref="H131:Q131" si="125">IFERROR(H133+H136,"")</f>
        <v>-65.305320291326893</v>
      </c>
      <c r="I131" s="339">
        <f t="shared" si="125"/>
        <v>-63.4796704428502</v>
      </c>
      <c r="J131" s="339">
        <f t="shared" si="125"/>
        <v>-65.671520693963913</v>
      </c>
      <c r="K131" s="339">
        <f t="shared" si="125"/>
        <v>-70.323241883154907</v>
      </c>
      <c r="L131" s="339">
        <f t="shared" si="125"/>
        <v>-70.625817560829304</v>
      </c>
      <c r="M131" s="339">
        <f t="shared" si="125"/>
        <v>-71.632550727639909</v>
      </c>
      <c r="N131" s="339">
        <f t="shared" si="125"/>
        <v>-72.359350025820319</v>
      </c>
      <c r="O131" s="339">
        <f t="shared" si="125"/>
        <v>-71.359112233330976</v>
      </c>
      <c r="P131" s="339">
        <f t="shared" si="125"/>
        <v>-69.877339923116466</v>
      </c>
      <c r="Q131" s="339">
        <f t="shared" si="125"/>
        <v>-67.502931203817511</v>
      </c>
      <c r="R131" s="870">
        <f t="shared" ref="R131:AA131" si="126">IFERROR(R133+R136,"")</f>
        <v>-79.093931671037069</v>
      </c>
      <c r="S131" s="339">
        <f t="shared" si="126"/>
        <v>-84.039880404377698</v>
      </c>
      <c r="T131" s="339">
        <f t="shared" si="126"/>
        <v>-89.282833120767208</v>
      </c>
      <c r="U131" s="339">
        <f t="shared" si="126"/>
        <v>-94.812983375777677</v>
      </c>
      <c r="V131" s="339">
        <f t="shared" si="126"/>
        <v>-100.71839787718395</v>
      </c>
      <c r="W131" s="339">
        <f t="shared" si="126"/>
        <v>-106.98372575893241</v>
      </c>
      <c r="X131" s="339">
        <f t="shared" si="126"/>
        <v>-113.63194212273639</v>
      </c>
      <c r="Y131" s="339">
        <f t="shared" si="126"/>
        <v>-120.70112284223887</v>
      </c>
      <c r="Z131" s="339">
        <f t="shared" si="126"/>
        <v>-128.20716524249389</v>
      </c>
      <c r="AA131" s="339">
        <f t="shared" si="126"/>
        <v>-136.17907869968352</v>
      </c>
    </row>
    <row r="132" spans="2:27" ht="3.75" customHeight="1">
      <c r="B132" s="274"/>
      <c r="E132" s="157"/>
      <c r="F132" s="157"/>
      <c r="G132" s="158"/>
      <c r="H132" s="157"/>
      <c r="I132" s="157"/>
      <c r="J132" s="157"/>
      <c r="K132" s="157"/>
      <c r="L132" s="157"/>
      <c r="M132" s="157"/>
      <c r="N132" s="157"/>
      <c r="O132" s="157"/>
      <c r="P132" s="157"/>
      <c r="Q132" s="157"/>
      <c r="R132" s="856"/>
    </row>
    <row r="133" spans="2:27" s="155" customFormat="1" ht="15.6">
      <c r="B133" s="817" t="s">
        <v>479</v>
      </c>
      <c r="E133" s="315">
        <f>+_xlfn.XLOOKUP($B133,Inputs!$B:$B,Inputs!O:O)</f>
        <v>-108.2</v>
      </c>
      <c r="F133" s="315">
        <f>+_xlfn.XLOOKUP($B133,Inputs!$B:$B,Inputs!P:P)</f>
        <v>-73.7</v>
      </c>
      <c r="G133" s="316">
        <f>+_xlfn.XLOOKUP($B133,Inputs!$B:$B,Inputs!Q:Q)</f>
        <v>-67.099999999999994</v>
      </c>
      <c r="H133" s="317">
        <f t="shared" ref="H133:Q133" si="127">H120*H134</f>
        <v>-70.97868089626057</v>
      </c>
      <c r="I133" s="317">
        <f t="shared" si="127"/>
        <v>-72.547958987362037</v>
      </c>
      <c r="J133" s="317">
        <f t="shared" si="127"/>
        <v>-77.614218381818759</v>
      </c>
      <c r="K133" s="317">
        <f t="shared" si="127"/>
        <v>-81.900518340609594</v>
      </c>
      <c r="L133" s="317">
        <f t="shared" si="127"/>
        <v>-84.722538958453598</v>
      </c>
      <c r="M133" s="317">
        <f t="shared" si="127"/>
        <v>-87.569674923761212</v>
      </c>
      <c r="N133" s="317">
        <f t="shared" si="127"/>
        <v>-89.498343591265453</v>
      </c>
      <c r="O133" s="317">
        <f t="shared" si="127"/>
        <v>-90.497414449293103</v>
      </c>
      <c r="P133" s="317">
        <f t="shared" si="127"/>
        <v>-90.685072785766877</v>
      </c>
      <c r="Q133" s="317">
        <f t="shared" si="127"/>
        <v>-89.856764251680033</v>
      </c>
      <c r="R133" s="873">
        <f t="shared" ref="R133:AA133" si="128">R120*R134</f>
        <v>-103.12247869471113</v>
      </c>
      <c r="S133" s="317">
        <f t="shared" si="128"/>
        <v>-109.91822715235146</v>
      </c>
      <c r="T133" s="317">
        <f t="shared" si="128"/>
        <v>-117.12722305816901</v>
      </c>
      <c r="U133" s="317">
        <f t="shared" si="128"/>
        <v>-124.78561098842778</v>
      </c>
      <c r="V133" s="317">
        <f t="shared" si="128"/>
        <v>-132.92249300736424</v>
      </c>
      <c r="W133" s="317">
        <f t="shared" si="128"/>
        <v>-141.5635392321978</v>
      </c>
      <c r="X133" s="317">
        <f t="shared" si="128"/>
        <v>-150.74249509590183</v>
      </c>
      <c r="Y133" s="317">
        <f t="shared" si="128"/>
        <v>-160.49247837198379</v>
      </c>
      <c r="Z133" s="317">
        <f t="shared" si="128"/>
        <v>-170.84847555268456</v>
      </c>
      <c r="AA133" s="317">
        <f t="shared" si="128"/>
        <v>-181.84863555594902</v>
      </c>
    </row>
    <row r="134" spans="2:27" s="155" customFormat="1" ht="15.6">
      <c r="B134" s="817"/>
      <c r="E134" s="827">
        <f>E133/E120</f>
        <v>-3.6765205572545026</v>
      </c>
      <c r="F134" s="827">
        <f>F133/F120</f>
        <v>-2.5859649122807018</v>
      </c>
      <c r="G134" s="293">
        <f>G133/G120</f>
        <v>-2.1054283024788201</v>
      </c>
      <c r="H134" s="147">
        <f t="shared" ref="H134:P134" si="129">G134-($G$134-$Q$134)/10</f>
        <v>-2.0148854722309379</v>
      </c>
      <c r="I134" s="147">
        <f t="shared" si="129"/>
        <v>-1.9243426419830558</v>
      </c>
      <c r="J134" s="147">
        <f t="shared" si="129"/>
        <v>-1.8337998117351737</v>
      </c>
      <c r="K134" s="147">
        <f t="shared" si="129"/>
        <v>-1.7432569814872916</v>
      </c>
      <c r="L134" s="147">
        <f t="shared" si="129"/>
        <v>-1.6527141512394095</v>
      </c>
      <c r="M134" s="147">
        <f t="shared" si="129"/>
        <v>-1.5621713209915273</v>
      </c>
      <c r="N134" s="147">
        <f t="shared" si="129"/>
        <v>-1.4716284907436452</v>
      </c>
      <c r="O134" s="147">
        <f t="shared" si="129"/>
        <v>-1.3810856604957631</v>
      </c>
      <c r="P134" s="147">
        <f t="shared" si="129"/>
        <v>-1.290542830247881</v>
      </c>
      <c r="Q134" s="147">
        <v>-1.2</v>
      </c>
      <c r="R134" s="872">
        <v>-1.3</v>
      </c>
      <c r="S134" s="147">
        <v>-1.3</v>
      </c>
      <c r="T134" s="147">
        <v>-1.3</v>
      </c>
      <c r="U134" s="147">
        <v>-1.3</v>
      </c>
      <c r="V134" s="147">
        <v>-1.3</v>
      </c>
      <c r="W134" s="147">
        <v>-1.3</v>
      </c>
      <c r="X134" s="147">
        <v>-1.3</v>
      </c>
      <c r="Y134" s="147">
        <v>-1.3</v>
      </c>
      <c r="Z134" s="147">
        <v>-1.3</v>
      </c>
      <c r="AA134" s="147">
        <v>-1.3</v>
      </c>
    </row>
    <row r="135" spans="2:27" ht="3.75" customHeight="1">
      <c r="B135" s="817"/>
      <c r="E135" s="157"/>
      <c r="F135" s="157"/>
      <c r="G135" s="158"/>
      <c r="H135" s="157"/>
      <c r="I135" s="157"/>
      <c r="J135" s="157"/>
      <c r="K135" s="157"/>
      <c r="L135" s="157"/>
      <c r="M135" s="157"/>
      <c r="N135" s="157"/>
      <c r="O135" s="157"/>
      <c r="P135" s="157"/>
      <c r="Q135" s="157"/>
      <c r="R135" s="856"/>
    </row>
    <row r="136" spans="2:27" s="155" customFormat="1" ht="15.6">
      <c r="B136" s="817" t="s">
        <v>480</v>
      </c>
      <c r="E136" s="315">
        <f>+_xlfn.XLOOKUP($B136,Inputs!$B:$B,Inputs!O:O)</f>
        <v>0</v>
      </c>
      <c r="F136" s="315">
        <f>+_xlfn.XLOOKUP($B136,Inputs!$B:$B,Inputs!P:P)</f>
        <v>3.7</v>
      </c>
      <c r="G136" s="316">
        <f>+_xlfn.XLOOKUP($B136,Inputs!$B:$B,Inputs!Q:Q)</f>
        <v>12.5</v>
      </c>
      <c r="H136" s="317">
        <f t="shared" ref="H136:Q136" si="130">IFERROR(H137*G97,"")</f>
        <v>5.6733606049336798</v>
      </c>
      <c r="I136" s="317">
        <f t="shared" si="130"/>
        <v>9.0682885445118373</v>
      </c>
      <c r="J136" s="317">
        <f t="shared" si="130"/>
        <v>11.942697687854842</v>
      </c>
      <c r="K136" s="317">
        <f t="shared" si="130"/>
        <v>11.577276457454683</v>
      </c>
      <c r="L136" s="317">
        <f t="shared" si="130"/>
        <v>14.096721397624293</v>
      </c>
      <c r="M136" s="317">
        <f t="shared" si="130"/>
        <v>15.937124196121298</v>
      </c>
      <c r="N136" s="317">
        <f t="shared" si="130"/>
        <v>17.138993565445137</v>
      </c>
      <c r="O136" s="317">
        <f t="shared" si="130"/>
        <v>19.138302215962124</v>
      </c>
      <c r="P136" s="317">
        <f t="shared" si="130"/>
        <v>20.807732862650415</v>
      </c>
      <c r="Q136" s="317">
        <f t="shared" si="130"/>
        <v>22.353833047862519</v>
      </c>
      <c r="R136" s="873">
        <f t="shared" ref="R136:AA136" si="131">IFERROR(R137*Q97,"")</f>
        <v>24.028547023674065</v>
      </c>
      <c r="S136" s="317">
        <f t="shared" si="131"/>
        <v>25.878346747973772</v>
      </c>
      <c r="T136" s="317">
        <f t="shared" si="131"/>
        <v>27.8443899374018</v>
      </c>
      <c r="U136" s="317">
        <f t="shared" si="131"/>
        <v>29.972627612650101</v>
      </c>
      <c r="V136" s="317">
        <f t="shared" si="131"/>
        <v>32.204095130180292</v>
      </c>
      <c r="W136" s="317">
        <f t="shared" si="131"/>
        <v>34.579813473265389</v>
      </c>
      <c r="X136" s="317">
        <f t="shared" si="131"/>
        <v>37.11055297316544</v>
      </c>
      <c r="Y136" s="317">
        <f t="shared" si="131"/>
        <v>39.791355529744912</v>
      </c>
      <c r="Z136" s="317">
        <f t="shared" si="131"/>
        <v>42.641310310190669</v>
      </c>
      <c r="AA136" s="317">
        <f t="shared" si="131"/>
        <v>45.669556856265494</v>
      </c>
    </row>
    <row r="137" spans="2:27" customFormat="1" ht="14.45">
      <c r="B137" s="818" t="s">
        <v>481</v>
      </c>
      <c r="E137" s="286">
        <f>IFERROR(E136/E97,"")</f>
        <v>0</v>
      </c>
      <c r="F137" s="286">
        <f>IFERROR(F136/F97,"")</f>
        <v>1.3759761993306063E-2</v>
      </c>
      <c r="G137" s="311">
        <f>IFERROR(G136/G97,"")</f>
        <v>3.8051750380517502E-2</v>
      </c>
      <c r="H137" s="305">
        <f>IFERROR(AVERAGE(E137:G137),"")</f>
        <v>1.7270504124607854E-2</v>
      </c>
      <c r="I137" s="305">
        <f t="shared" ref="I137:Q137" si="132">IFERROR(AVERAGE(F137:H137),"")</f>
        <v>2.3027338832810471E-2</v>
      </c>
      <c r="J137" s="305">
        <f t="shared" si="132"/>
        <v>2.6116531112645277E-2</v>
      </c>
      <c r="K137" s="305">
        <f t="shared" si="132"/>
        <v>2.2138124690021202E-2</v>
      </c>
      <c r="L137" s="305">
        <f t="shared" si="132"/>
        <v>2.3760664878492318E-2</v>
      </c>
      <c r="M137" s="305">
        <f t="shared" si="132"/>
        <v>2.40051068937196E-2</v>
      </c>
      <c r="N137" s="305">
        <f t="shared" si="132"/>
        <v>2.3301298820744373E-2</v>
      </c>
      <c r="O137" s="305">
        <f t="shared" si="132"/>
        <v>2.3689023530985429E-2</v>
      </c>
      <c r="P137" s="305">
        <f t="shared" si="132"/>
        <v>2.3665143081816466E-2</v>
      </c>
      <c r="Q137" s="305">
        <f t="shared" si="132"/>
        <v>2.3551821811182091E-2</v>
      </c>
      <c r="R137" s="874">
        <f t="shared" ref="R137:AA137" si="133">IFERROR(AVERAGE(O137:Q137),"")</f>
        <v>2.3635329474661331E-2</v>
      </c>
      <c r="S137" s="305">
        <f t="shared" si="133"/>
        <v>2.3617431455886628E-2</v>
      </c>
      <c r="T137" s="305">
        <f t="shared" si="133"/>
        <v>2.3601527580576681E-2</v>
      </c>
      <c r="U137" s="305">
        <f t="shared" si="133"/>
        <v>2.3618096170374882E-2</v>
      </c>
      <c r="V137" s="305">
        <f t="shared" si="133"/>
        <v>2.3612351735612731E-2</v>
      </c>
      <c r="W137" s="305">
        <f t="shared" si="133"/>
        <v>2.3610658495521433E-2</v>
      </c>
      <c r="X137" s="305">
        <f t="shared" si="133"/>
        <v>2.3613702133836349E-2</v>
      </c>
      <c r="Y137" s="305">
        <f t="shared" si="133"/>
        <v>2.3612237454990168E-2</v>
      </c>
      <c r="Z137" s="305">
        <f t="shared" si="133"/>
        <v>2.3612199361449315E-2</v>
      </c>
      <c r="AA137" s="305">
        <f t="shared" si="133"/>
        <v>2.3612712983425276E-2</v>
      </c>
    </row>
    <row r="138" spans="2:27" ht="3.75" customHeight="1">
      <c r="B138" s="155"/>
      <c r="E138" s="157"/>
      <c r="F138" s="157"/>
      <c r="G138" s="158"/>
      <c r="H138" s="157"/>
      <c r="I138" s="157"/>
      <c r="J138" s="157"/>
      <c r="K138" s="157"/>
      <c r="L138" s="157"/>
      <c r="M138" s="157"/>
      <c r="N138" s="157"/>
      <c r="O138" s="157"/>
      <c r="P138" s="157"/>
      <c r="Q138" s="157"/>
      <c r="R138" s="856"/>
    </row>
    <row r="139" spans="2:27" ht="13.5" customHeight="1">
      <c r="B139" s="201" t="s">
        <v>482</v>
      </c>
      <c r="E139" s="315">
        <f>+_xlfn.XLOOKUP($B139,Inputs!$B:$B,Inputs!O:O)</f>
        <v>0.6</v>
      </c>
      <c r="F139" s="315">
        <f>+_xlfn.XLOOKUP($B139,Inputs!$B:$B,Inputs!P:P)</f>
        <v>0.3</v>
      </c>
      <c r="G139" s="316">
        <f>+_xlfn.XLOOKUP($B139,Inputs!$B:$B,Inputs!Q:Q)</f>
        <v>2.4</v>
      </c>
      <c r="H139" s="330">
        <v>0</v>
      </c>
      <c r="I139" s="330">
        <v>0</v>
      </c>
      <c r="J139" s="330">
        <v>0</v>
      </c>
      <c r="K139" s="330">
        <v>0</v>
      </c>
      <c r="L139" s="330">
        <v>0</v>
      </c>
      <c r="M139" s="330">
        <v>0</v>
      </c>
      <c r="N139" s="330">
        <v>0</v>
      </c>
      <c r="O139" s="330">
        <v>0</v>
      </c>
      <c r="P139" s="330">
        <v>0</v>
      </c>
      <c r="Q139" s="330">
        <v>0</v>
      </c>
      <c r="R139" s="879">
        <v>0</v>
      </c>
      <c r="S139" s="330">
        <v>0</v>
      </c>
      <c r="T139" s="330">
        <v>0</v>
      </c>
      <c r="U139" s="330">
        <v>0</v>
      </c>
      <c r="V139" s="330">
        <v>0</v>
      </c>
      <c r="W139" s="330">
        <v>0</v>
      </c>
      <c r="X139" s="330">
        <v>0</v>
      </c>
      <c r="Y139" s="330">
        <v>0</v>
      </c>
      <c r="Z139" s="330">
        <v>0</v>
      </c>
      <c r="AA139" s="330">
        <v>0</v>
      </c>
    </row>
    <row r="140" spans="2:27" ht="3.75" customHeight="1">
      <c r="B140" s="155"/>
      <c r="E140" s="157"/>
      <c r="F140" s="157"/>
      <c r="G140" s="165"/>
      <c r="H140" s="157"/>
      <c r="I140" s="157"/>
      <c r="J140" s="157"/>
      <c r="K140" s="157"/>
      <c r="L140" s="157"/>
      <c r="M140" s="157"/>
      <c r="N140" s="157"/>
      <c r="O140" s="157"/>
      <c r="P140" s="157"/>
      <c r="Q140" s="157"/>
      <c r="R140" s="856"/>
    </row>
    <row r="141" spans="2:27" ht="13.5" customHeight="1">
      <c r="B141" s="378" t="s">
        <v>483</v>
      </c>
      <c r="C141" s="378"/>
      <c r="D141" s="378"/>
      <c r="E141" s="379">
        <f>+_xlfn.XLOOKUP($B141,Inputs!$B:$B,Inputs!O:O)</f>
        <v>-238.50000000000003</v>
      </c>
      <c r="F141" s="379">
        <f>+_xlfn.XLOOKUP($B141,Inputs!$B:$B,Inputs!P:P)</f>
        <v>81.7</v>
      </c>
      <c r="G141" s="380">
        <f>+_xlfn.XLOOKUP($B141,Inputs!$B:$B,Inputs!Q:Q)</f>
        <v>-46.1</v>
      </c>
      <c r="H141" s="381">
        <f t="shared" ref="H141:Q141" si="134">IFERROR(AVERAGE(E141:G141)*(1+H28),"")</f>
        <v>-72.311463366666672</v>
      </c>
      <c r="I141" s="381">
        <f t="shared" si="134"/>
        <v>-13.083991228685969</v>
      </c>
      <c r="J141" s="381">
        <f t="shared" si="134"/>
        <v>-46.866522390329422</v>
      </c>
      <c r="K141" s="381">
        <f t="shared" si="134"/>
        <v>-47.14117828350696</v>
      </c>
      <c r="L141" s="381">
        <f t="shared" si="134"/>
        <v>-38.171096230141984</v>
      </c>
      <c r="M141" s="381">
        <f t="shared" si="134"/>
        <v>-47.072490172873799</v>
      </c>
      <c r="N141" s="381">
        <f t="shared" si="134"/>
        <v>-47.520021611221857</v>
      </c>
      <c r="O141" s="381">
        <f t="shared" si="134"/>
        <v>-47.665166840958484</v>
      </c>
      <c r="P141" s="381">
        <f t="shared" si="134"/>
        <v>-51.083549274482458</v>
      </c>
      <c r="Q141" s="381">
        <f t="shared" si="134"/>
        <v>-52.533934786285712</v>
      </c>
      <c r="R141" s="870">
        <f t="shared" ref="R141:AA141" si="135">IFERROR(AVERAGE(O141:Q141)*(1+R28),"")</f>
        <v>-54.345098085091507</v>
      </c>
      <c r="S141" s="381">
        <f t="shared" si="135"/>
        <v>-56.755511472041327</v>
      </c>
      <c r="T141" s="381">
        <f t="shared" si="135"/>
        <v>-58.804569882426797</v>
      </c>
      <c r="U141" s="381">
        <f t="shared" si="135"/>
        <v>-61.069539554370067</v>
      </c>
      <c r="V141" s="381">
        <f t="shared" si="135"/>
        <v>-63.49845347353854</v>
      </c>
      <c r="W141" s="381">
        <f t="shared" si="135"/>
        <v>-65.934871460461423</v>
      </c>
      <c r="X141" s="381">
        <f t="shared" si="135"/>
        <v>-68.511441045628985</v>
      </c>
      <c r="Y141" s="381">
        <f t="shared" si="135"/>
        <v>-71.200977448319094</v>
      </c>
      <c r="Z141" s="381">
        <f t="shared" si="135"/>
        <v>-73.985190283121284</v>
      </c>
      <c r="AA141" s="381">
        <f t="shared" si="135"/>
        <v>-76.895485355362496</v>
      </c>
    </row>
    <row r="142" spans="2:27" ht="5.25" customHeight="1">
      <c r="E142" s="331"/>
      <c r="F142" s="331"/>
      <c r="G142" s="316"/>
      <c r="H142" s="317"/>
      <c r="I142" s="317"/>
      <c r="J142" s="317"/>
      <c r="K142" s="317"/>
      <c r="L142" s="317"/>
      <c r="M142" s="317"/>
      <c r="N142" s="317"/>
      <c r="O142" s="317"/>
      <c r="P142" s="317"/>
      <c r="Q142" s="317"/>
      <c r="R142" s="856"/>
    </row>
    <row r="143" spans="2:27" ht="13.5" customHeight="1">
      <c r="B143" s="152" t="s">
        <v>317</v>
      </c>
      <c r="C143" s="152"/>
      <c r="D143" s="152"/>
      <c r="E143" s="340">
        <f>+_xlfn.XLOOKUP($B143,Inputs!$B:$B,Inputs!O:O)</f>
        <v>-346.1</v>
      </c>
      <c r="F143" s="340">
        <f>+_xlfn.XLOOKUP($B143,Inputs!$B:$B,Inputs!P:P)</f>
        <v>12</v>
      </c>
      <c r="G143" s="341">
        <f>+_xlfn.XLOOKUP($B143,Inputs!$B:$B,Inputs!Q:Q)</f>
        <v>-98.3</v>
      </c>
      <c r="H143" s="345">
        <f t="shared" ref="H143:Q143" si="136">IFERROR(+H131+H139+H141,"")</f>
        <v>-137.61678365799355</v>
      </c>
      <c r="I143" s="345">
        <f t="shared" si="136"/>
        <v>-76.563661671536167</v>
      </c>
      <c r="J143" s="345">
        <f t="shared" si="136"/>
        <v>-112.53804308429334</v>
      </c>
      <c r="K143" s="345">
        <f t="shared" si="136"/>
        <v>-117.46442016666187</v>
      </c>
      <c r="L143" s="345">
        <f t="shared" si="136"/>
        <v>-108.79691379097129</v>
      </c>
      <c r="M143" s="345">
        <f t="shared" si="136"/>
        <v>-118.70504090051371</v>
      </c>
      <c r="N143" s="345">
        <f t="shared" si="136"/>
        <v>-119.87937163704217</v>
      </c>
      <c r="O143" s="345">
        <f t="shared" si="136"/>
        <v>-119.02427907428947</v>
      </c>
      <c r="P143" s="345">
        <f t="shared" si="136"/>
        <v>-120.96088919759893</v>
      </c>
      <c r="Q143" s="345">
        <f t="shared" si="136"/>
        <v>-120.03686599010322</v>
      </c>
      <c r="R143" s="880">
        <f t="shared" ref="R143:AA143" si="137">IFERROR(+R131+R139+R141,"")</f>
        <v>-133.43902975612858</v>
      </c>
      <c r="S143" s="345">
        <f t="shared" si="137"/>
        <v>-140.79539187641902</v>
      </c>
      <c r="T143" s="345">
        <f t="shared" si="137"/>
        <v>-148.087403003194</v>
      </c>
      <c r="U143" s="345">
        <f t="shared" si="137"/>
        <v>-155.88252293014773</v>
      </c>
      <c r="V143" s="345">
        <f t="shared" si="137"/>
        <v>-164.21685135072249</v>
      </c>
      <c r="W143" s="345">
        <f t="shared" si="137"/>
        <v>-172.91859721939383</v>
      </c>
      <c r="X143" s="345">
        <f t="shared" si="137"/>
        <v>-182.14338316836538</v>
      </c>
      <c r="Y143" s="345">
        <f t="shared" si="137"/>
        <v>-191.90210029055797</v>
      </c>
      <c r="Z143" s="345">
        <f t="shared" si="137"/>
        <v>-202.19235552561517</v>
      </c>
      <c r="AA143" s="345">
        <f t="shared" si="137"/>
        <v>-213.07456405504601</v>
      </c>
    </row>
    <row r="144" spans="2:27" ht="3.75" customHeight="1">
      <c r="E144" s="331"/>
      <c r="F144" s="331"/>
      <c r="G144" s="316"/>
      <c r="H144" s="317"/>
      <c r="I144" s="317"/>
      <c r="J144" s="317"/>
      <c r="K144" s="317"/>
      <c r="L144" s="317"/>
      <c r="M144" s="317"/>
      <c r="N144" s="317"/>
      <c r="O144" s="317"/>
      <c r="P144" s="317"/>
      <c r="Q144" s="317"/>
      <c r="R144" s="856"/>
    </row>
    <row r="145" spans="2:27" ht="13.5" customHeight="1">
      <c r="B145" s="336" t="s">
        <v>484</v>
      </c>
      <c r="C145" s="336"/>
      <c r="D145" s="336"/>
      <c r="E145" s="337">
        <f>+_xlfn.XLOOKUP($B145,Inputs!$B:$B,Inputs!O:O)</f>
        <v>0</v>
      </c>
      <c r="F145" s="337">
        <f>+_xlfn.XLOOKUP($B145,Inputs!$B:$B,Inputs!P:P)</f>
        <v>0</v>
      </c>
      <c r="G145" s="338">
        <f>+_xlfn.XLOOKUP($B145,Inputs!$B:$B,Inputs!Q:Q)</f>
        <v>0</v>
      </c>
      <c r="H145" s="336">
        <f t="shared" ref="H145:Q145" si="138">+IFERROR(H146*_xlfn.XLOOKUP("Net Income",$B:$B,$H:$H),"")</f>
        <v>0</v>
      </c>
      <c r="I145" s="336">
        <f t="shared" si="138"/>
        <v>0</v>
      </c>
      <c r="J145" s="336">
        <f t="shared" si="138"/>
        <v>0</v>
      </c>
      <c r="K145" s="336">
        <f t="shared" si="138"/>
        <v>0</v>
      </c>
      <c r="L145" s="336">
        <f t="shared" si="138"/>
        <v>0</v>
      </c>
      <c r="M145" s="336">
        <f t="shared" si="138"/>
        <v>0</v>
      </c>
      <c r="N145" s="336">
        <f t="shared" si="138"/>
        <v>0</v>
      </c>
      <c r="O145" s="336">
        <f t="shared" si="138"/>
        <v>0</v>
      </c>
      <c r="P145" s="336">
        <f t="shared" si="138"/>
        <v>0</v>
      </c>
      <c r="Q145" s="336">
        <f t="shared" si="138"/>
        <v>0</v>
      </c>
      <c r="R145" s="856">
        <f t="shared" ref="R145:AA145" si="139">+IFERROR(R146*_xlfn.XLOOKUP("Net Income",$B:$B,$H:$H),"")</f>
        <v>0</v>
      </c>
      <c r="S145" s="336">
        <f t="shared" si="139"/>
        <v>0</v>
      </c>
      <c r="T145" s="336">
        <f t="shared" si="139"/>
        <v>0</v>
      </c>
      <c r="U145" s="336">
        <f t="shared" si="139"/>
        <v>0</v>
      </c>
      <c r="V145" s="336">
        <f t="shared" si="139"/>
        <v>0</v>
      </c>
      <c r="W145" s="336">
        <f t="shared" si="139"/>
        <v>0</v>
      </c>
      <c r="X145" s="336">
        <f t="shared" si="139"/>
        <v>0</v>
      </c>
      <c r="Y145" s="336">
        <f t="shared" si="139"/>
        <v>0</v>
      </c>
      <c r="Z145" s="336">
        <f t="shared" si="139"/>
        <v>0</v>
      </c>
      <c r="AA145" s="336">
        <f t="shared" si="139"/>
        <v>0</v>
      </c>
    </row>
    <row r="146" spans="2:27" ht="13.5" customHeight="1">
      <c r="B146" s="281" t="s">
        <v>485</v>
      </c>
      <c r="E146" s="332">
        <f>IFERROR(-E145/E$78,"")</f>
        <v>0</v>
      </c>
      <c r="F146" s="332">
        <f>IFERROR(-F145/F$78,"")</f>
        <v>0</v>
      </c>
      <c r="G146" s="333">
        <f>IFERROR(-G145/G$78,"")</f>
        <v>0</v>
      </c>
      <c r="H146" s="334"/>
      <c r="I146" s="334"/>
      <c r="J146" s="334"/>
      <c r="K146" s="334"/>
      <c r="L146" s="334"/>
      <c r="M146" s="334"/>
      <c r="N146" s="334"/>
      <c r="O146" s="334"/>
      <c r="P146" s="334"/>
      <c r="Q146" s="334"/>
      <c r="R146" s="881"/>
      <c r="S146" s="334"/>
      <c r="T146" s="334"/>
      <c r="U146" s="334"/>
      <c r="V146" s="334"/>
      <c r="W146" s="334"/>
      <c r="X146" s="334"/>
      <c r="Y146" s="334"/>
      <c r="Z146" s="334"/>
      <c r="AA146" s="334"/>
    </row>
    <row r="147" spans="2:27" ht="3.75" customHeight="1">
      <c r="E147" s="331"/>
      <c r="F147" s="331"/>
      <c r="G147" s="316"/>
      <c r="H147" s="317"/>
      <c r="I147" s="317"/>
      <c r="J147" s="317"/>
      <c r="K147" s="317"/>
      <c r="L147" s="317"/>
      <c r="M147" s="317"/>
      <c r="N147" s="317"/>
      <c r="O147" s="317"/>
      <c r="P147" s="317"/>
      <c r="Q147" s="317"/>
      <c r="R147" s="856"/>
    </row>
    <row r="148" spans="2:27" ht="13.5" customHeight="1">
      <c r="B148" s="130" t="s">
        <v>486</v>
      </c>
      <c r="E148" s="294">
        <f>+_xlfn.XLOOKUP($B148,Inputs!$B:$B,Inputs!O:O)</f>
        <v>3.9</v>
      </c>
      <c r="F148" s="294">
        <f>+_xlfn.XLOOKUP($B148,Inputs!$B:$B,Inputs!P:P)</f>
        <v>2.4</v>
      </c>
      <c r="G148" s="295">
        <f>+_xlfn.XLOOKUP($B148,Inputs!$B:$B,Inputs!Q:Q)</f>
        <v>-26.1</v>
      </c>
      <c r="H148" s="171">
        <f t="shared" ref="H148:Q148" si="140">IFERROR(-H149*_xlfn.XLOOKUP("Net Income",$B:$B,H:H),"")</f>
        <v>0</v>
      </c>
      <c r="I148" s="171">
        <f t="shared" si="140"/>
        <v>0</v>
      </c>
      <c r="J148" s="171">
        <f t="shared" si="140"/>
        <v>0</v>
      </c>
      <c r="K148" s="171">
        <f t="shared" si="140"/>
        <v>0</v>
      </c>
      <c r="L148" s="171">
        <f t="shared" si="140"/>
        <v>0</v>
      </c>
      <c r="M148" s="171">
        <f t="shared" si="140"/>
        <v>0</v>
      </c>
      <c r="N148" s="171">
        <f t="shared" si="140"/>
        <v>0</v>
      </c>
      <c r="O148" s="171">
        <f t="shared" si="140"/>
        <v>0</v>
      </c>
      <c r="P148" s="171">
        <f t="shared" si="140"/>
        <v>0</v>
      </c>
      <c r="Q148" s="171">
        <f t="shared" si="140"/>
        <v>0</v>
      </c>
      <c r="R148" s="870">
        <f t="shared" ref="R148:AA148" si="141">IFERROR(-R149*_xlfn.XLOOKUP("Net Income",$B:$B,R:R),"")</f>
        <v>0</v>
      </c>
      <c r="S148" s="171">
        <f t="shared" si="141"/>
        <v>0</v>
      </c>
      <c r="T148" s="171">
        <f t="shared" si="141"/>
        <v>0</v>
      </c>
      <c r="U148" s="171">
        <f t="shared" si="141"/>
        <v>0</v>
      </c>
      <c r="V148" s="171">
        <f t="shared" si="141"/>
        <v>0</v>
      </c>
      <c r="W148" s="171">
        <f t="shared" si="141"/>
        <v>0</v>
      </c>
      <c r="X148" s="171">
        <f t="shared" si="141"/>
        <v>0</v>
      </c>
      <c r="Y148" s="171">
        <f t="shared" si="141"/>
        <v>0</v>
      </c>
      <c r="Z148" s="171">
        <f t="shared" si="141"/>
        <v>0</v>
      </c>
      <c r="AA148" s="171">
        <f t="shared" si="141"/>
        <v>0</v>
      </c>
    </row>
    <row r="149" spans="2:27" ht="13.5" customHeight="1">
      <c r="B149" s="281" t="s">
        <v>487</v>
      </c>
      <c r="E149" s="332">
        <f>IFERROR(-E148/E$78,"")</f>
        <v>3.6630036630036632E-2</v>
      </c>
      <c r="F149" s="332">
        <f>IFERROR(-F148/F$78,"")</f>
        <v>1.556420233463035E-2</v>
      </c>
      <c r="G149" s="333">
        <f>IFERROR(-G148/G$78,"")</f>
        <v>-0.17315730113447886</v>
      </c>
      <c r="H149" s="334"/>
      <c r="I149" s="334"/>
      <c r="J149" s="334"/>
      <c r="K149" s="334"/>
      <c r="L149" s="334"/>
      <c r="M149" s="334"/>
      <c r="N149" s="334"/>
      <c r="O149" s="334"/>
      <c r="P149" s="334"/>
      <c r="Q149" s="334"/>
      <c r="R149" s="881"/>
      <c r="S149" s="334"/>
      <c r="T149" s="334"/>
      <c r="U149" s="334"/>
      <c r="V149" s="334"/>
      <c r="W149" s="334"/>
      <c r="X149" s="334"/>
      <c r="Y149" s="334"/>
      <c r="Z149" s="334"/>
      <c r="AA149" s="334"/>
    </row>
    <row r="150" spans="2:27" ht="3.75" customHeight="1">
      <c r="E150" s="331"/>
      <c r="F150" s="331"/>
      <c r="G150" s="316"/>
      <c r="H150" s="317"/>
      <c r="I150" s="317"/>
      <c r="J150" s="317"/>
      <c r="K150" s="317"/>
      <c r="L150" s="317"/>
      <c r="M150" s="317"/>
      <c r="N150" s="317"/>
      <c r="O150" s="317"/>
      <c r="P150" s="317"/>
      <c r="Q150" s="317"/>
      <c r="R150" s="856"/>
    </row>
    <row r="151" spans="2:27" ht="15.6">
      <c r="B151" s="130" t="s">
        <v>488</v>
      </c>
      <c r="E151" s="294">
        <f>+_xlfn.XLOOKUP($B151,Inputs!$B:$B,Inputs!O:O)</f>
        <v>37.700000000000003</v>
      </c>
      <c r="F151" s="294">
        <f>+_xlfn.XLOOKUP($B151,Inputs!$B:$B,Inputs!P:P)</f>
        <v>61.4</v>
      </c>
      <c r="G151" s="295">
        <f>+_xlfn.XLOOKUP($B151,Inputs!$B:$B,Inputs!Q:Q)</f>
        <v>58.2</v>
      </c>
      <c r="H151" s="171">
        <f t="shared" ref="H151:Q151" si="142">+IFERROR(H152*H98,"")</f>
        <v>0</v>
      </c>
      <c r="I151" s="171">
        <f t="shared" si="142"/>
        <v>0</v>
      </c>
      <c r="J151" s="171">
        <f t="shared" si="142"/>
        <v>0</v>
      </c>
      <c r="K151" s="171">
        <f t="shared" si="142"/>
        <v>0</v>
      </c>
      <c r="L151" s="171">
        <f t="shared" si="142"/>
        <v>0</v>
      </c>
      <c r="M151" s="171">
        <f t="shared" si="142"/>
        <v>0</v>
      </c>
      <c r="N151" s="171">
        <f t="shared" si="142"/>
        <v>0</v>
      </c>
      <c r="O151" s="171">
        <f t="shared" si="142"/>
        <v>0</v>
      </c>
      <c r="P151" s="171">
        <f t="shared" si="142"/>
        <v>0</v>
      </c>
      <c r="Q151" s="171">
        <f t="shared" si="142"/>
        <v>0</v>
      </c>
      <c r="R151" s="870">
        <f t="shared" ref="R151:AA151" si="143">+IFERROR(R152*R98,"")</f>
        <v>0</v>
      </c>
      <c r="S151" s="171">
        <f t="shared" si="143"/>
        <v>0</v>
      </c>
      <c r="T151" s="171">
        <f t="shared" si="143"/>
        <v>0</v>
      </c>
      <c r="U151" s="171">
        <f t="shared" si="143"/>
        <v>0</v>
      </c>
      <c r="V151" s="171">
        <f t="shared" si="143"/>
        <v>0</v>
      </c>
      <c r="W151" s="171">
        <f t="shared" si="143"/>
        <v>0</v>
      </c>
      <c r="X151" s="171">
        <f t="shared" si="143"/>
        <v>0</v>
      </c>
      <c r="Y151" s="171">
        <f t="shared" si="143"/>
        <v>0</v>
      </c>
      <c r="Z151" s="171">
        <f t="shared" si="143"/>
        <v>0</v>
      </c>
      <c r="AA151" s="171">
        <f t="shared" si="143"/>
        <v>0</v>
      </c>
    </row>
    <row r="152" spans="2:27" ht="15.6">
      <c r="B152" s="281" t="s">
        <v>489</v>
      </c>
      <c r="E152" s="282" t="str">
        <f>IFERROR(E151/E98,"")</f>
        <v/>
      </c>
      <c r="F152" s="282" t="str">
        <f>IFERROR(F151/F98,"")</f>
        <v/>
      </c>
      <c r="G152" s="285" t="str">
        <f>IFERROR(G151/G98,"")</f>
        <v/>
      </c>
      <c r="H152" s="305"/>
      <c r="I152" s="305"/>
      <c r="J152" s="305"/>
      <c r="K152" s="305"/>
      <c r="L152" s="305"/>
      <c r="M152" s="305"/>
      <c r="N152" s="305"/>
      <c r="O152" s="305"/>
      <c r="P152" s="305"/>
      <c r="Q152" s="305"/>
      <c r="R152" s="874"/>
      <c r="S152" s="305"/>
      <c r="T152" s="305"/>
      <c r="U152" s="305"/>
      <c r="V152" s="305"/>
      <c r="W152" s="305"/>
      <c r="X152" s="305"/>
      <c r="Y152" s="305"/>
      <c r="Z152" s="305"/>
      <c r="AA152" s="305"/>
    </row>
    <row r="153" spans="2:27" ht="3.75" customHeight="1">
      <c r="B153" s="281"/>
      <c r="E153" s="282"/>
      <c r="F153" s="282"/>
      <c r="G153" s="285"/>
      <c r="H153" s="328"/>
      <c r="I153" s="328"/>
      <c r="J153" s="328"/>
      <c r="K153" s="328"/>
      <c r="L153" s="328"/>
      <c r="M153" s="328"/>
      <c r="N153" s="328"/>
      <c r="O153" s="328"/>
      <c r="P153" s="328"/>
      <c r="Q153" s="328"/>
      <c r="R153" s="856"/>
    </row>
    <row r="154" spans="2:27" ht="15.6">
      <c r="B154" s="130" t="s">
        <v>318</v>
      </c>
      <c r="E154" s="153">
        <f>+_xlfn.XLOOKUP($B154,Inputs!$B:$B,Inputs!O:O)</f>
        <v>87</v>
      </c>
      <c r="F154" s="153">
        <f>+_xlfn.XLOOKUP($B154,Inputs!$B:$B,Inputs!P:P)</f>
        <v>89.8</v>
      </c>
      <c r="G154" s="273">
        <f>+_xlfn.XLOOKUP($B154,Inputs!$B:$B,Inputs!Q:Q)</f>
        <v>401.2</v>
      </c>
      <c r="H154" s="317">
        <f>IFERROR(MAX(0,-G242),"")</f>
        <v>0</v>
      </c>
      <c r="I154" s="317">
        <f t="shared" ref="I154:Q154" si="144">IFERROR(MAX(0,-H242),"")</f>
        <v>298.64750022192857</v>
      </c>
      <c r="J154" s="317">
        <f t="shared" si="144"/>
        <v>0</v>
      </c>
      <c r="K154" s="317">
        <f t="shared" si="144"/>
        <v>311.96306026570926</v>
      </c>
      <c r="L154" s="317">
        <f t="shared" si="144"/>
        <v>52.745381925836</v>
      </c>
      <c r="M154" s="317">
        <f t="shared" si="144"/>
        <v>340.41599379420506</v>
      </c>
      <c r="N154" s="317">
        <f t="shared" si="144"/>
        <v>92.845070041078202</v>
      </c>
      <c r="O154" s="317">
        <f t="shared" si="144"/>
        <v>379.05733560494951</v>
      </c>
      <c r="P154" s="317">
        <f t="shared" si="144"/>
        <v>122.73671536366749</v>
      </c>
      <c r="Q154" s="317">
        <f t="shared" si="144"/>
        <v>403.10981376916902</v>
      </c>
      <c r="R154" s="873">
        <f t="shared" ref="R154:AA154" si="145">IFERROR(MAX(0,-Q242),"")</f>
        <v>105.09252362638949</v>
      </c>
      <c r="S154" s="317">
        <f t="shared" si="145"/>
        <v>512.4260039146061</v>
      </c>
      <c r="T154" s="317">
        <f t="shared" si="145"/>
        <v>201.68776847919412</v>
      </c>
      <c r="U154" s="317">
        <f t="shared" si="145"/>
        <v>611.90764620508332</v>
      </c>
      <c r="V154" s="317">
        <f t="shared" si="145"/>
        <v>303.28049503673105</v>
      </c>
      <c r="W154" s="317">
        <f t="shared" si="145"/>
        <v>715.02955549675119</v>
      </c>
      <c r="X154" s="317">
        <f t="shared" si="145"/>
        <v>407.05693290457191</v>
      </c>
      <c r="Y154" s="317">
        <f t="shared" si="145"/>
        <v>818.85131534470304</v>
      </c>
      <c r="Z154" s="317">
        <f t="shared" si="145"/>
        <v>510.47859849717736</v>
      </c>
      <c r="AA154" s="317">
        <f t="shared" si="145"/>
        <v>921.56825995432052</v>
      </c>
    </row>
    <row r="155" spans="2:27" ht="3.75" customHeight="1">
      <c r="B155" s="281"/>
      <c r="E155" s="282"/>
      <c r="F155" s="282"/>
      <c r="G155" s="285"/>
      <c r="H155" s="328"/>
      <c r="I155" s="328"/>
      <c r="J155" s="328"/>
      <c r="K155" s="328"/>
      <c r="L155" s="328"/>
      <c r="M155" s="328"/>
      <c r="N155" s="328"/>
      <c r="O155" s="328"/>
      <c r="P155" s="328"/>
      <c r="Q155" s="328"/>
      <c r="R155" s="856"/>
    </row>
    <row r="156" spans="2:27" ht="15.6">
      <c r="B156" s="130" t="s">
        <v>319</v>
      </c>
      <c r="E156" s="153">
        <f>+_xlfn.XLOOKUP($B156,Inputs!$B:$B,Inputs!O:O)</f>
        <v>-0.3</v>
      </c>
      <c r="F156" s="153">
        <f>+_xlfn.XLOOKUP($B156,Inputs!$B:$B,Inputs!P:P)</f>
        <v>-0.3</v>
      </c>
      <c r="G156" s="273">
        <f>+_xlfn.XLOOKUP($B156,Inputs!$B:$B,Inputs!Q:Q)</f>
        <v>302.89999999999998</v>
      </c>
      <c r="H156" s="317">
        <f>IFERROR(MAX(0,H157*G242),"")</f>
        <v>0</v>
      </c>
      <c r="I156" s="317">
        <f t="shared" ref="I156:Q156" si="146">IFERROR(MAX(0,I157*H242),"")</f>
        <v>0</v>
      </c>
      <c r="J156" s="317">
        <f t="shared" si="146"/>
        <v>0</v>
      </c>
      <c r="K156" s="317">
        <f t="shared" si="146"/>
        <v>0</v>
      </c>
      <c r="L156" s="317">
        <f t="shared" si="146"/>
        <v>0</v>
      </c>
      <c r="M156" s="317">
        <f t="shared" si="146"/>
        <v>0</v>
      </c>
      <c r="N156" s="317">
        <f t="shared" si="146"/>
        <v>0</v>
      </c>
      <c r="O156" s="317">
        <f t="shared" si="146"/>
        <v>0</v>
      </c>
      <c r="P156" s="317">
        <f t="shared" si="146"/>
        <v>0</v>
      </c>
      <c r="Q156" s="317">
        <f t="shared" si="146"/>
        <v>0</v>
      </c>
      <c r="R156" s="873">
        <f t="shared" ref="R156:AA156" si="147">IFERROR(MAX(0,R157*Q242),"")</f>
        <v>0</v>
      </c>
      <c r="S156" s="317">
        <f t="shared" si="147"/>
        <v>0</v>
      </c>
      <c r="T156" s="317">
        <f t="shared" si="147"/>
        <v>0</v>
      </c>
      <c r="U156" s="317">
        <f t="shared" si="147"/>
        <v>0</v>
      </c>
      <c r="V156" s="317">
        <f t="shared" si="147"/>
        <v>0</v>
      </c>
      <c r="W156" s="317">
        <f t="shared" si="147"/>
        <v>0</v>
      </c>
      <c r="X156" s="317">
        <f t="shared" si="147"/>
        <v>0</v>
      </c>
      <c r="Y156" s="317">
        <f t="shared" si="147"/>
        <v>0</v>
      </c>
      <c r="Z156" s="317">
        <f t="shared" si="147"/>
        <v>0</v>
      </c>
      <c r="AA156" s="317">
        <f t="shared" si="147"/>
        <v>0</v>
      </c>
    </row>
    <row r="157" spans="2:27" ht="15.6">
      <c r="B157" s="281" t="s">
        <v>490</v>
      </c>
      <c r="E157" s="297">
        <f>IFERROR(E156/E242,"")</f>
        <v>3.8540596094552935E-3</v>
      </c>
      <c r="F157" s="297">
        <f t="shared" ref="F157:G157" si="148">IFERROR(F156/F242,"")</f>
        <v>5.1194539249146765E-3</v>
      </c>
      <c r="G157" s="285">
        <f t="shared" si="148"/>
        <v>15.344478216818645</v>
      </c>
      <c r="H157" s="305"/>
      <c r="I157" s="305"/>
      <c r="J157" s="305"/>
      <c r="K157" s="305"/>
      <c r="L157" s="305"/>
      <c r="M157" s="305"/>
      <c r="N157" s="305"/>
      <c r="O157" s="305"/>
      <c r="P157" s="305"/>
      <c r="Q157" s="305"/>
      <c r="R157" s="874"/>
      <c r="S157" s="305"/>
      <c r="T157" s="305"/>
      <c r="U157" s="305"/>
      <c r="V157" s="305"/>
      <c r="W157" s="305"/>
      <c r="X157" s="305"/>
      <c r="Y157" s="305"/>
      <c r="Z157" s="305"/>
      <c r="AA157" s="305"/>
    </row>
    <row r="158" spans="2:27" ht="3.75" customHeight="1">
      <c r="B158" s="281"/>
      <c r="E158" s="297"/>
      <c r="F158" s="297"/>
      <c r="G158" s="285"/>
      <c r="H158" s="328"/>
      <c r="I158" s="328"/>
      <c r="J158" s="328"/>
      <c r="K158" s="328"/>
      <c r="L158" s="328"/>
      <c r="M158" s="328"/>
      <c r="N158" s="328"/>
      <c r="O158" s="328"/>
      <c r="P158" s="328"/>
      <c r="Q158" s="328"/>
      <c r="R158" s="856"/>
    </row>
    <row r="159" spans="2:27" ht="15.6">
      <c r="B159" s="378" t="s">
        <v>491</v>
      </c>
      <c r="C159" s="378"/>
      <c r="D159" s="378"/>
      <c r="E159" s="379">
        <f>+_xlfn.XLOOKUP($B159,Inputs!$B:$B,Inputs!O:O)</f>
        <v>-128.30000000000001</v>
      </c>
      <c r="F159" s="379">
        <f>+_xlfn.XLOOKUP($B159,Inputs!$B:$B,Inputs!P:P)</f>
        <v>-153.30000000000001</v>
      </c>
      <c r="G159" s="380">
        <f>+_xlfn.XLOOKUP($B159,Inputs!$B:$B,Inputs!Q:Q)</f>
        <v>-736.19999999999993</v>
      </c>
      <c r="H159" s="382">
        <f t="shared" ref="H159:Q159" si="149">IFERROR(AVERAGE(E159:G159)*(1+H28),"")</f>
        <v>-362.73340273333332</v>
      </c>
      <c r="I159" s="382">
        <f t="shared" si="149"/>
        <v>-446.29686084666076</v>
      </c>
      <c r="J159" s="382">
        <f t="shared" si="149"/>
        <v>-550.73819067846239</v>
      </c>
      <c r="K159" s="382">
        <f t="shared" si="149"/>
        <v>-484.65241929224914</v>
      </c>
      <c r="L159" s="382">
        <f t="shared" si="149"/>
        <v>-528.12346155709122</v>
      </c>
      <c r="M159" s="382">
        <f t="shared" si="149"/>
        <v>-556.81018810156229</v>
      </c>
      <c r="N159" s="382">
        <f t="shared" si="149"/>
        <v>-563.40897001128155</v>
      </c>
      <c r="O159" s="382">
        <f t="shared" si="149"/>
        <v>-591.79263920881306</v>
      </c>
      <c r="P159" s="382">
        <f t="shared" si="149"/>
        <v>-614.76919806544367</v>
      </c>
      <c r="Q159" s="382">
        <f t="shared" si="149"/>
        <v>-635.70338001637322</v>
      </c>
      <c r="R159" s="873">
        <f t="shared" ref="R159:AA159" si="150">IFERROR(AVERAGE(O159:Q159)*(1+R28),"")</f>
        <v>-661.79488087797006</v>
      </c>
      <c r="S159" s="382">
        <f t="shared" si="150"/>
        <v>-687.07231947112223</v>
      </c>
      <c r="T159" s="382">
        <f t="shared" si="150"/>
        <v>-713.18571422662524</v>
      </c>
      <c r="U159" s="382">
        <f t="shared" si="150"/>
        <v>-741.17000108688558</v>
      </c>
      <c r="V159" s="382">
        <f t="shared" si="150"/>
        <v>-769.84464855916508</v>
      </c>
      <c r="W159" s="382">
        <f t="shared" si="150"/>
        <v>-799.75086112509507</v>
      </c>
      <c r="X159" s="382">
        <f t="shared" si="150"/>
        <v>-831.03146761940138</v>
      </c>
      <c r="Y159" s="382">
        <f t="shared" si="150"/>
        <v>-863.50849655916147</v>
      </c>
      <c r="Z159" s="382">
        <f t="shared" si="150"/>
        <v>-897.36451850372566</v>
      </c>
      <c r="AA159" s="382">
        <f t="shared" si="150"/>
        <v>-932.65317441390425</v>
      </c>
    </row>
    <row r="160" spans="2:27" ht="5.25" customHeight="1">
      <c r="E160" s="335"/>
      <c r="F160" s="335"/>
      <c r="G160" s="273"/>
      <c r="H160" s="317"/>
      <c r="I160" s="317"/>
      <c r="J160" s="317"/>
      <c r="K160" s="317"/>
      <c r="L160" s="317"/>
      <c r="M160" s="317"/>
      <c r="N160" s="317"/>
      <c r="O160" s="317"/>
      <c r="P160" s="317"/>
      <c r="Q160" s="317"/>
      <c r="R160" s="856"/>
    </row>
    <row r="161" spans="1:27" ht="15.6">
      <c r="B161" s="152" t="s">
        <v>320</v>
      </c>
      <c r="C161" s="152"/>
      <c r="D161" s="152"/>
      <c r="E161" s="340">
        <f>+_xlfn.XLOOKUP($B161,Inputs!$B:$B,Inputs!O:O)</f>
        <v>0</v>
      </c>
      <c r="F161" s="340">
        <f>+_xlfn.XLOOKUP($B161,Inputs!$B:$B,Inputs!P:P)</f>
        <v>0</v>
      </c>
      <c r="G161" s="341">
        <f>+_xlfn.XLOOKUP($B161,Inputs!$B:$B,Inputs!Q:Q)</f>
        <v>0</v>
      </c>
      <c r="H161" s="345">
        <f>IFERROR(+H145+H148+H151+H154+H156+H159,"")</f>
        <v>-362.73340273333332</v>
      </c>
      <c r="I161" s="345">
        <f t="shared" ref="I161:Q161" si="151">IFERROR(+I145+I148+I151+I154+I156+I159,"")</f>
        <v>-147.6493606247322</v>
      </c>
      <c r="J161" s="345">
        <f t="shared" si="151"/>
        <v>-550.73819067846239</v>
      </c>
      <c r="K161" s="345">
        <f t="shared" si="151"/>
        <v>-172.68935902653988</v>
      </c>
      <c r="L161" s="345">
        <f t="shared" si="151"/>
        <v>-475.37807963125522</v>
      </c>
      <c r="M161" s="345">
        <f t="shared" si="151"/>
        <v>-216.39419430735722</v>
      </c>
      <c r="N161" s="345">
        <f t="shared" si="151"/>
        <v>-470.56389997020335</v>
      </c>
      <c r="O161" s="345">
        <f t="shared" si="151"/>
        <v>-212.73530360386354</v>
      </c>
      <c r="P161" s="345">
        <f t="shared" si="151"/>
        <v>-492.03248270177619</v>
      </c>
      <c r="Q161" s="345">
        <f t="shared" si="151"/>
        <v>-232.59356624720419</v>
      </c>
      <c r="R161" s="880">
        <f t="shared" ref="R161:AA161" si="152">IFERROR(+R145+R148+R151+R154+R156+R159,"")</f>
        <v>-556.70235725158057</v>
      </c>
      <c r="S161" s="345">
        <f t="shared" si="152"/>
        <v>-174.64631555651613</v>
      </c>
      <c r="T161" s="345">
        <f t="shared" si="152"/>
        <v>-511.49794574743112</v>
      </c>
      <c r="U161" s="345">
        <f t="shared" si="152"/>
        <v>-129.26235488180225</v>
      </c>
      <c r="V161" s="345">
        <f t="shared" si="152"/>
        <v>-466.56415352243403</v>
      </c>
      <c r="W161" s="345">
        <f t="shared" si="152"/>
        <v>-84.721305628343885</v>
      </c>
      <c r="X161" s="345">
        <f t="shared" si="152"/>
        <v>-423.97453471482947</v>
      </c>
      <c r="Y161" s="345">
        <f t="shared" si="152"/>
        <v>-44.657181214458433</v>
      </c>
      <c r="Z161" s="345">
        <f t="shared" si="152"/>
        <v>-386.8859200065483</v>
      </c>
      <c r="AA161" s="345">
        <f t="shared" si="152"/>
        <v>-11.084914459583729</v>
      </c>
    </row>
    <row r="162" spans="1:27" ht="3.75" customHeight="1">
      <c r="B162" s="281"/>
      <c r="E162" s="297"/>
      <c r="F162" s="297"/>
      <c r="G162" s="285"/>
      <c r="H162" s="328"/>
      <c r="I162" s="328"/>
      <c r="J162" s="328"/>
      <c r="K162" s="328"/>
      <c r="L162" s="328"/>
      <c r="M162" s="328"/>
      <c r="N162" s="328"/>
      <c r="O162" s="328"/>
      <c r="P162" s="328"/>
      <c r="Q162" s="328"/>
      <c r="R162" s="856"/>
    </row>
    <row r="163" spans="1:27" ht="15.6">
      <c r="B163" s="488" t="s">
        <v>321</v>
      </c>
      <c r="C163" s="336"/>
      <c r="D163" s="336"/>
      <c r="E163" s="342">
        <f>+_xlfn.XLOOKUP($B163,Inputs!$B:$B,Inputs!O:O)</f>
        <v>-446.2</v>
      </c>
      <c r="F163" s="342">
        <f>+_xlfn.XLOOKUP($B163,Inputs!$B:$B,Inputs!P:P)</f>
        <v>-79.400000000000006</v>
      </c>
      <c r="G163" s="343">
        <f>+_xlfn.XLOOKUP($B163,Inputs!$B:$B,Inputs!Q:Q)</f>
        <v>108.9</v>
      </c>
      <c r="H163" s="344">
        <f t="shared" ref="H163:Q163" si="153">IFERROR(+H129+H143+H161,"")</f>
        <v>-767.44246775526199</v>
      </c>
      <c r="I163" s="344">
        <f t="shared" si="153"/>
        <v>-471.1049265857568</v>
      </c>
      <c r="J163" s="344">
        <f t="shared" si="153"/>
        <v>-940.50665977092524</v>
      </c>
      <c r="K163" s="344">
        <f t="shared" si="153"/>
        <v>-617.61696270217521</v>
      </c>
      <c r="L163" s="344">
        <f t="shared" si="153"/>
        <v>-939.5499919984095</v>
      </c>
      <c r="M163" s="344">
        <f t="shared" si="153"/>
        <v>-731.22093337989952</v>
      </c>
      <c r="N163" s="344">
        <f t="shared" si="153"/>
        <v>-1026.0291022843887</v>
      </c>
      <c r="O163" s="344">
        <f t="shared" si="153"/>
        <v>-799.30865071143307</v>
      </c>
      <c r="P163" s="344">
        <f t="shared" si="153"/>
        <v>-1107.6188129220327</v>
      </c>
      <c r="Q163" s="344">
        <f t="shared" si="153"/>
        <v>-833.48869359978505</v>
      </c>
      <c r="R163" s="880">
        <f t="shared" ref="R163:AA163" si="154">IFERROR(+R129+R143+R161,"")</f>
        <v>-1270.2111132287323</v>
      </c>
      <c r="S163" s="344">
        <f t="shared" si="154"/>
        <v>-988.79662388461679</v>
      </c>
      <c r="T163" s="344">
        <f t="shared" si="154"/>
        <v>-1428.8491369213091</v>
      </c>
      <c r="U163" s="344">
        <f t="shared" si="154"/>
        <v>-1152.2022538813922</v>
      </c>
      <c r="V163" s="344">
        <f t="shared" si="154"/>
        <v>-1596.8744820591066</v>
      </c>
      <c r="W163" s="344">
        <f t="shared" si="154"/>
        <v>-1323.1307906582642</v>
      </c>
      <c r="X163" s="344">
        <f t="shared" si="154"/>
        <v>-1770.7470273433332</v>
      </c>
      <c r="Y163" s="344">
        <f t="shared" si="154"/>
        <v>-1499.5902780619281</v>
      </c>
      <c r="Z163" s="344">
        <f t="shared" si="154"/>
        <v>-1949.4529450961636</v>
      </c>
      <c r="AA163" s="344">
        <f t="shared" si="154"/>
        <v>-1680.7983321496295</v>
      </c>
    </row>
    <row r="164" spans="1:27" ht="15.6">
      <c r="B164" s="281"/>
      <c r="E164" s="318"/>
      <c r="F164" s="297"/>
      <c r="G164" s="285"/>
      <c r="H164" s="328"/>
      <c r="I164" s="328"/>
      <c r="J164" s="328"/>
      <c r="K164" s="328"/>
      <c r="L164" s="328"/>
      <c r="M164" s="328"/>
      <c r="N164" s="328"/>
      <c r="O164" s="328"/>
      <c r="P164" s="328"/>
      <c r="Q164" s="328"/>
      <c r="R164" s="856"/>
    </row>
    <row r="165" spans="1:27" ht="3.75" customHeight="1">
      <c r="G165" s="151"/>
      <c r="H165" s="135"/>
      <c r="I165" s="135"/>
      <c r="J165" s="135"/>
      <c r="K165" s="135"/>
      <c r="L165" s="135"/>
      <c r="O165" s="135"/>
      <c r="P165" s="135"/>
      <c r="Q165" s="135"/>
      <c r="R165" s="856"/>
    </row>
    <row r="166" spans="1:27" ht="15.6">
      <c r="A166" s="130" t="s">
        <v>405</v>
      </c>
      <c r="B166" s="52" t="s">
        <v>492</v>
      </c>
      <c r="C166" s="52"/>
      <c r="D166" s="52"/>
      <c r="E166" s="141">
        <f t="shared" ref="E166:Q166" si="155">E25</f>
        <v>2022</v>
      </c>
      <c r="F166" s="141">
        <f t="shared" si="155"/>
        <v>2023</v>
      </c>
      <c r="G166" s="166">
        <f t="shared" si="155"/>
        <v>2024</v>
      </c>
      <c r="H166" s="104">
        <f t="shared" si="155"/>
        <v>2025</v>
      </c>
      <c r="I166" s="104">
        <f t="shared" si="155"/>
        <v>2026</v>
      </c>
      <c r="J166" s="104">
        <f t="shared" si="155"/>
        <v>2027</v>
      </c>
      <c r="K166" s="104">
        <f t="shared" si="155"/>
        <v>2028</v>
      </c>
      <c r="L166" s="104">
        <f t="shared" si="155"/>
        <v>2029</v>
      </c>
      <c r="M166" s="104">
        <f t="shared" si="155"/>
        <v>2030</v>
      </c>
      <c r="N166" s="104">
        <f t="shared" si="155"/>
        <v>2031</v>
      </c>
      <c r="O166" s="104">
        <f t="shared" si="155"/>
        <v>2032</v>
      </c>
      <c r="P166" s="104">
        <f t="shared" si="155"/>
        <v>2033</v>
      </c>
      <c r="Q166" s="104">
        <f t="shared" si="155"/>
        <v>2034</v>
      </c>
      <c r="R166" s="852">
        <f t="shared" ref="R166:AA166" si="156">+Q166+1</f>
        <v>2035</v>
      </c>
      <c r="S166" s="104">
        <f t="shared" si="156"/>
        <v>2036</v>
      </c>
      <c r="T166" s="104">
        <f t="shared" si="156"/>
        <v>2037</v>
      </c>
      <c r="U166" s="104">
        <f t="shared" si="156"/>
        <v>2038</v>
      </c>
      <c r="V166" s="104">
        <f t="shared" si="156"/>
        <v>2039</v>
      </c>
      <c r="W166" s="104">
        <f t="shared" si="156"/>
        <v>2040</v>
      </c>
      <c r="X166" s="104">
        <f t="shared" si="156"/>
        <v>2041</v>
      </c>
      <c r="Y166" s="104">
        <f t="shared" si="156"/>
        <v>2042</v>
      </c>
      <c r="Z166" s="104">
        <f t="shared" si="156"/>
        <v>2043</v>
      </c>
      <c r="AA166" s="104">
        <f t="shared" si="156"/>
        <v>2044</v>
      </c>
    </row>
    <row r="167" spans="1:27" ht="3.95" customHeight="1">
      <c r="B167" s="53"/>
      <c r="C167" s="53"/>
      <c r="D167" s="53"/>
      <c r="E167" s="53"/>
      <c r="F167" s="53"/>
      <c r="G167" s="168"/>
      <c r="H167" s="53"/>
      <c r="I167" s="53"/>
      <c r="J167" s="53"/>
      <c r="K167" s="53"/>
      <c r="L167" s="53"/>
      <c r="M167" s="53"/>
      <c r="N167" s="53"/>
      <c r="O167" s="53"/>
      <c r="P167" s="53"/>
      <c r="Q167" s="53"/>
      <c r="R167" s="856"/>
    </row>
    <row r="168" spans="1:27" ht="15.6">
      <c r="B168" s="130" t="s">
        <v>181</v>
      </c>
      <c r="E168" s="154">
        <f>$E$27</f>
        <v>211</v>
      </c>
      <c r="F168" s="154">
        <f>$F$27</f>
        <v>244.6</v>
      </c>
      <c r="G168" s="178">
        <f>$G$27</f>
        <v>436.2</v>
      </c>
      <c r="H168" s="154">
        <f ca="1">IFERROR(G168*(1+H169),"")</f>
        <v>466.37151779999999</v>
      </c>
      <c r="I168" s="154">
        <f t="shared" ref="I168:Q168" ca="1" si="157">IFERROR(H168*(1+I169),"")</f>
        <v>498.64540570817996</v>
      </c>
      <c r="J168" s="154">
        <f t="shared" ca="1" si="157"/>
        <v>533.16921432849108</v>
      </c>
      <c r="K168" s="154">
        <f t="shared" ca="1" si="157"/>
        <v>570.10092153675328</v>
      </c>
      <c r="L168" s="154">
        <f t="shared" ca="1" si="157"/>
        <v>609.60967420366683</v>
      </c>
      <c r="M168" s="154">
        <f t="shared" ca="1" si="157"/>
        <v>651.29610959661886</v>
      </c>
      <c r="N168" s="154">
        <f t="shared" ca="1" si="157"/>
        <v>701.35574761844543</v>
      </c>
      <c r="O168" s="154">
        <f t="shared" ca="1" si="157"/>
        <v>755.40818508442374</v>
      </c>
      <c r="P168" s="154">
        <f t="shared" ca="1" si="157"/>
        <v>813.78239019664397</v>
      </c>
      <c r="Q168" s="154">
        <f t="shared" ca="1" si="157"/>
        <v>876.83516685654513</v>
      </c>
      <c r="R168" s="857">
        <f t="shared" ref="R168:AA168" ca="1" si="158">IFERROR(Q168*(1+R169),"")</f>
        <v>944.7733437074761</v>
      </c>
      <c r="S168" s="848">
        <f t="shared" ca="1" si="158"/>
        <v>1017.975447061692</v>
      </c>
      <c r="T168" s="848">
        <f t="shared" ca="1" si="158"/>
        <v>1096.84933187669</v>
      </c>
      <c r="U168" s="848">
        <f t="shared" ca="1" si="158"/>
        <v>1181.8344541716945</v>
      </c>
      <c r="V168" s="848">
        <f t="shared" ca="1" si="158"/>
        <v>1273.4043195135305</v>
      </c>
      <c r="W168" s="848">
        <f t="shared" ca="1" si="158"/>
        <v>1372.0691212139436</v>
      </c>
      <c r="X168" s="848">
        <f t="shared" ca="1" si="158"/>
        <v>1478.3785829374206</v>
      </c>
      <c r="Y168" s="848">
        <f t="shared" ca="1" si="158"/>
        <v>1592.9250215574668</v>
      </c>
      <c r="Z168" s="848">
        <f t="shared" ca="1" si="158"/>
        <v>1716.3466473264407</v>
      </c>
      <c r="AA168" s="848">
        <f t="shared" ca="1" si="158"/>
        <v>1849.3311197462649</v>
      </c>
    </row>
    <row r="169" spans="1:27" ht="15.6">
      <c r="B169" s="281" t="s">
        <v>433</v>
      </c>
      <c r="C169" s="281"/>
      <c r="D169" s="281"/>
      <c r="E169" s="306">
        <f>$E$28</f>
        <v>2.392282958199357</v>
      </c>
      <c r="F169" s="306">
        <f>$F$28</f>
        <v>0.15924170616113742</v>
      </c>
      <c r="G169" s="307">
        <f>$G$28</f>
        <v>0.78331970564186426</v>
      </c>
      <c r="H169" s="306">
        <f ca="1">+OFFSET($H$169,$C$7,0)</f>
        <v>6.9169000000000036E-2</v>
      </c>
      <c r="I169" s="306">
        <f ca="1">+OFFSET($I$169,$C$7,0)</f>
        <v>6.9202098919815214E-2</v>
      </c>
      <c r="J169" s="306">
        <f ca="1">+OFFSET($J$169,$C$7,0)</f>
        <v>6.9235188422683169E-2</v>
      </c>
      <c r="K169" s="306">
        <f ca="1">+OFFSET($K$169,$C$7,0)</f>
        <v>6.9268266463540007E-2</v>
      </c>
      <c r="L169" s="306">
        <f ca="1">+OFFSET($L$169,$C$7,0)</f>
        <v>6.9301331000157784E-2</v>
      </c>
      <c r="M169" s="306">
        <f ca="1">+OFFSET($M$169,$C$7,0)</f>
        <v>6.8382174950564867E-2</v>
      </c>
      <c r="N169" s="306">
        <f ca="1">+OFFSET($N$169,$C$7,0)</f>
        <v>7.6861564631226065E-2</v>
      </c>
      <c r="O169" s="306">
        <f ca="1">+OFFSET($O$169,$C$7,0)</f>
        <v>7.7068502895315527E-2</v>
      </c>
      <c r="P169" s="306">
        <f ca="1">+OFFSET($P$169,$C$7,0)</f>
        <v>7.7275049787415728E-2</v>
      </c>
      <c r="Q169" s="306">
        <f t="shared" ref="Q169:AA169" ca="1" si="159">+OFFSET($Q$169,$C$7,0)</f>
        <v>7.7481126919771492E-2</v>
      </c>
      <c r="R169" s="877">
        <f t="shared" ca="1" si="159"/>
        <v>7.7481126919771492E-2</v>
      </c>
      <c r="S169" s="306">
        <f t="shared" ca="1" si="159"/>
        <v>7.7481126919771492E-2</v>
      </c>
      <c r="T169" s="306">
        <f t="shared" ca="1" si="159"/>
        <v>7.7481126919771492E-2</v>
      </c>
      <c r="U169" s="306">
        <f t="shared" ca="1" si="159"/>
        <v>7.7481126919771492E-2</v>
      </c>
      <c r="V169" s="306">
        <f t="shared" ca="1" si="159"/>
        <v>7.7481126919771492E-2</v>
      </c>
      <c r="W169" s="306">
        <f t="shared" ca="1" si="159"/>
        <v>7.7481126919771492E-2</v>
      </c>
      <c r="X169" s="306">
        <f t="shared" ca="1" si="159"/>
        <v>7.7481126919771492E-2</v>
      </c>
      <c r="Y169" s="306">
        <f t="shared" ca="1" si="159"/>
        <v>7.7481126919771492E-2</v>
      </c>
      <c r="Z169" s="306">
        <f t="shared" ca="1" si="159"/>
        <v>7.7481126919771492E-2</v>
      </c>
      <c r="AA169" s="306">
        <f t="shared" ca="1" si="159"/>
        <v>7.7481126919771492E-2</v>
      </c>
    </row>
    <row r="170" spans="1:27" ht="15.6">
      <c r="B170" s="280" t="s">
        <v>416</v>
      </c>
      <c r="G170" s="161"/>
      <c r="H170" s="601">
        <f>IFERROR(+H171+$F$7%,"")</f>
        <v>6.896900000000003E-2</v>
      </c>
      <c r="I170" s="601">
        <f t="shared" ref="I170:Q170" si="160">IFERROR(+I171+$F$7%,"")</f>
        <v>6.9002098919815208E-2</v>
      </c>
      <c r="J170" s="601">
        <f t="shared" si="160"/>
        <v>6.9035188422683164E-2</v>
      </c>
      <c r="K170" s="601">
        <f t="shared" si="160"/>
        <v>6.9068266463540001E-2</v>
      </c>
      <c r="L170" s="602">
        <f t="shared" si="160"/>
        <v>6.9101331000157779E-2</v>
      </c>
      <c r="M170" s="602">
        <f t="shared" si="160"/>
        <v>6.8182174950564861E-2</v>
      </c>
      <c r="N170" s="602">
        <f t="shared" si="160"/>
        <v>7.6661564631226059E-2</v>
      </c>
      <c r="O170" s="602">
        <f t="shared" si="160"/>
        <v>7.6868502895315521E-2</v>
      </c>
      <c r="P170" s="602">
        <f t="shared" si="160"/>
        <v>7.7075049787415723E-2</v>
      </c>
      <c r="Q170" s="849">
        <f t="shared" si="160"/>
        <v>7.7281126919771487E-2</v>
      </c>
      <c r="R170" s="895">
        <f t="shared" ref="R170:AA170" si="161">IFERROR(+R171+$F$7%,"")</f>
        <v>7.7281126919771487E-2</v>
      </c>
      <c r="S170" s="602">
        <f t="shared" si="161"/>
        <v>7.7281126919771487E-2</v>
      </c>
      <c r="T170" s="602">
        <f t="shared" si="161"/>
        <v>7.7281126919771487E-2</v>
      </c>
      <c r="U170" s="602">
        <f t="shared" si="161"/>
        <v>7.7281126919771487E-2</v>
      </c>
      <c r="V170" s="602">
        <f t="shared" si="161"/>
        <v>7.7281126919771487E-2</v>
      </c>
      <c r="W170" s="602">
        <f t="shared" si="161"/>
        <v>7.7281126919771487E-2</v>
      </c>
      <c r="X170" s="602">
        <f t="shared" si="161"/>
        <v>7.7281126919771487E-2</v>
      </c>
      <c r="Y170" s="602">
        <f t="shared" si="161"/>
        <v>7.7281126919771487E-2</v>
      </c>
      <c r="Z170" s="602">
        <f t="shared" si="161"/>
        <v>7.7281126919771487E-2</v>
      </c>
      <c r="AA170" s="602">
        <f t="shared" si="161"/>
        <v>7.7281126919771487E-2</v>
      </c>
    </row>
    <row r="171" spans="1:27" ht="15.6">
      <c r="B171" s="280" t="s">
        <v>417</v>
      </c>
      <c r="G171" s="161"/>
      <c r="H171" s="603">
        <f>$H$28</f>
        <v>6.9169000000000036E-2</v>
      </c>
      <c r="I171" s="603">
        <f>$I$28</f>
        <v>6.9202098919815214E-2</v>
      </c>
      <c r="J171" s="603">
        <f>$J$28</f>
        <v>6.9235188422683169E-2</v>
      </c>
      <c r="K171" s="603">
        <f>$K$28</f>
        <v>6.9268266463540007E-2</v>
      </c>
      <c r="L171" s="603">
        <f>$L$28</f>
        <v>6.9301331000157784E-2</v>
      </c>
      <c r="M171" s="603">
        <f>$M$28</f>
        <v>6.8382174950564867E-2</v>
      </c>
      <c r="N171" s="603">
        <f>$N$28</f>
        <v>7.6861564631226065E-2</v>
      </c>
      <c r="O171" s="604">
        <f>$O$28</f>
        <v>7.7068502895315527E-2</v>
      </c>
      <c r="P171" s="603">
        <f>$P$28</f>
        <v>7.7275049787415728E-2</v>
      </c>
      <c r="Q171" s="850">
        <f t="shared" ref="Q171:AA171" si="162">$Q$28</f>
        <v>7.7481126919771492E-2</v>
      </c>
      <c r="R171" s="896">
        <f t="shared" si="162"/>
        <v>7.7481126919771492E-2</v>
      </c>
      <c r="S171" s="603">
        <f t="shared" si="162"/>
        <v>7.7481126919771492E-2</v>
      </c>
      <c r="T171" s="603">
        <f t="shared" si="162"/>
        <v>7.7481126919771492E-2</v>
      </c>
      <c r="U171" s="603">
        <f t="shared" si="162"/>
        <v>7.7481126919771492E-2</v>
      </c>
      <c r="V171" s="603">
        <f t="shared" si="162"/>
        <v>7.7481126919771492E-2</v>
      </c>
      <c r="W171" s="603">
        <f t="shared" si="162"/>
        <v>7.7481126919771492E-2</v>
      </c>
      <c r="X171" s="603">
        <f t="shared" si="162"/>
        <v>7.7481126919771492E-2</v>
      </c>
      <c r="Y171" s="603">
        <f t="shared" si="162"/>
        <v>7.7481126919771492E-2</v>
      </c>
      <c r="Z171" s="603">
        <f t="shared" si="162"/>
        <v>7.7481126919771492E-2</v>
      </c>
      <c r="AA171" s="603">
        <f t="shared" si="162"/>
        <v>7.7481126919771492E-2</v>
      </c>
    </row>
    <row r="172" spans="1:27" ht="15.6">
      <c r="B172" s="280" t="s">
        <v>418</v>
      </c>
      <c r="G172" s="161"/>
      <c r="H172" s="605">
        <f>IFERROR(+H171+$L$7%,"")</f>
        <v>6.9369000000000042E-2</v>
      </c>
      <c r="I172" s="605">
        <f t="shared" ref="I172:Q172" si="163">IFERROR(+I171+$L$7%,"")</f>
        <v>6.9402098919815219E-2</v>
      </c>
      <c r="J172" s="605">
        <f t="shared" si="163"/>
        <v>6.9435188422683175E-2</v>
      </c>
      <c r="K172" s="605">
        <f t="shared" si="163"/>
        <v>6.9468266463540013E-2</v>
      </c>
      <c r="L172" s="606">
        <f t="shared" si="163"/>
        <v>6.950133100015779E-2</v>
      </c>
      <c r="M172" s="606">
        <f t="shared" si="163"/>
        <v>6.8582174950564873E-2</v>
      </c>
      <c r="N172" s="606">
        <f t="shared" si="163"/>
        <v>7.706156463122607E-2</v>
      </c>
      <c r="O172" s="606">
        <f t="shared" si="163"/>
        <v>7.7268502895315533E-2</v>
      </c>
      <c r="P172" s="606">
        <f t="shared" si="163"/>
        <v>7.7475049787415734E-2</v>
      </c>
      <c r="Q172" s="851">
        <f t="shared" si="163"/>
        <v>7.7681126919771498E-2</v>
      </c>
      <c r="R172" s="895">
        <f t="shared" ref="R172:AA172" si="164">IFERROR(+R171+$L$7%,"")</f>
        <v>7.7681126919771498E-2</v>
      </c>
      <c r="S172" s="606">
        <f t="shared" si="164"/>
        <v>7.7681126919771498E-2</v>
      </c>
      <c r="T172" s="606">
        <f t="shared" si="164"/>
        <v>7.7681126919771498E-2</v>
      </c>
      <c r="U172" s="606">
        <f t="shared" si="164"/>
        <v>7.7681126919771498E-2</v>
      </c>
      <c r="V172" s="606">
        <f t="shared" si="164"/>
        <v>7.7681126919771498E-2</v>
      </c>
      <c r="W172" s="606">
        <f t="shared" si="164"/>
        <v>7.7681126919771498E-2</v>
      </c>
      <c r="X172" s="606">
        <f t="shared" si="164"/>
        <v>7.7681126919771498E-2</v>
      </c>
      <c r="Y172" s="606">
        <f t="shared" si="164"/>
        <v>7.7681126919771498E-2</v>
      </c>
      <c r="Z172" s="606">
        <f t="shared" si="164"/>
        <v>7.7681126919771498E-2</v>
      </c>
      <c r="AA172" s="606">
        <f t="shared" si="164"/>
        <v>7.7681126919771498E-2</v>
      </c>
    </row>
    <row r="173" spans="1:27" ht="3.75" customHeight="1">
      <c r="G173" s="161"/>
      <c r="R173" s="856"/>
    </row>
    <row r="174" spans="1:27" ht="15.6">
      <c r="B174" s="130" t="s">
        <v>425</v>
      </c>
      <c r="E174" s="154">
        <f t="shared" ref="E174:G175" si="165">+E56</f>
        <v>-105.76999999999998</v>
      </c>
      <c r="F174" s="154">
        <f t="shared" si="165"/>
        <v>-149.5</v>
      </c>
      <c r="G174" s="178">
        <f t="shared" si="165"/>
        <v>-150.23000000000002</v>
      </c>
      <c r="H174" s="179">
        <f ca="1">IFERROR(H175*H168,"")</f>
        <v>-289.97722963917732</v>
      </c>
      <c r="I174" s="179">
        <f t="shared" ref="I174:Q174" ca="1" si="166">IFERROR(I175*I168,"")</f>
        <v>-313.67845992801676</v>
      </c>
      <c r="J174" s="179">
        <f t="shared" ca="1" si="166"/>
        <v>-343.20223841883899</v>
      </c>
      <c r="K174" s="179">
        <f t="shared" ca="1" si="166"/>
        <v>-376.07453761880828</v>
      </c>
      <c r="L174" s="179">
        <f t="shared" ca="1" si="166"/>
        <v>-411.1472233706462</v>
      </c>
      <c r="M174" s="179">
        <f t="shared" ca="1" si="166"/>
        <v>-448.25927758169962</v>
      </c>
      <c r="N174" s="179">
        <f t="shared" ca="1" si="166"/>
        <v>-483.3994297062377</v>
      </c>
      <c r="O174" s="179">
        <f t="shared" ca="1" si="166"/>
        <v>-514.98459503844106</v>
      </c>
      <c r="P174" s="179">
        <f t="shared" ca="1" si="166"/>
        <v>-540.10192573155314</v>
      </c>
      <c r="Q174" s="179">
        <f t="shared" ca="1" si="166"/>
        <v>-523.82883170789887</v>
      </c>
      <c r="R174" s="882">
        <f t="shared" ref="R174:AA174" ca="1" si="167">IFERROR(R175*R168,"")</f>
        <v>-614.36593445491098</v>
      </c>
      <c r="S174" s="200">
        <f t="shared" ca="1" si="167"/>
        <v>-708.82749712213922</v>
      </c>
      <c r="T174" s="200">
        <f t="shared" ca="1" si="167"/>
        <v>-805.92112308060746</v>
      </c>
      <c r="U174" s="200">
        <f t="shared" ca="1" si="167"/>
        <v>-904.81037455387082</v>
      </c>
      <c r="V174" s="200">
        <f t="shared" ca="1" si="167"/>
        <v>-1004.6558777354653</v>
      </c>
      <c r="W174" s="200">
        <f t="shared" ca="1" si="167"/>
        <v>-1104.6634909066981</v>
      </c>
      <c r="X174" s="200">
        <f t="shared" ca="1" si="167"/>
        <v>-1204.1430115384574</v>
      </c>
      <c r="Y174" s="200">
        <f t="shared" ca="1" si="167"/>
        <v>-1302.5542593800549</v>
      </c>
      <c r="Z174" s="200">
        <f t="shared" ca="1" si="167"/>
        <v>-1399.5627728585209</v>
      </c>
      <c r="AA174" s="200">
        <f t="shared" ca="1" si="167"/>
        <v>-1495.0935661719163</v>
      </c>
    </row>
    <row r="175" spans="1:27" ht="15.6">
      <c r="B175" s="281" t="s">
        <v>437</v>
      </c>
      <c r="C175" s="281"/>
      <c r="D175" s="281"/>
      <c r="E175" s="306">
        <f t="shared" si="165"/>
        <v>-0.50127962085308053</v>
      </c>
      <c r="F175" s="306">
        <f t="shared" si="165"/>
        <v>-0.61120196238757152</v>
      </c>
      <c r="G175" s="307">
        <f t="shared" si="165"/>
        <v>-0.34440623567171025</v>
      </c>
      <c r="H175" s="306">
        <f ca="1">OFFSET(H175,$C$8,0)</f>
        <v>-0.62177302552067926</v>
      </c>
      <c r="I175" s="306">
        <f ca="1">+OFFSET(I175,$C$8,0)</f>
        <v>-0.62906116518315902</v>
      </c>
      <c r="J175" s="306">
        <f ca="1">+OFFSET(J175,$C$8,0)</f>
        <v>-0.64370227911806721</v>
      </c>
      <c r="K175" s="306">
        <f ca="1">+OFFSET(K175,$C$8,0)</f>
        <v>-0.65966309369412846</v>
      </c>
      <c r="L175" s="306">
        <f ca="1">+OFFSET(L175,$C$8,0)</f>
        <v>-0.6744434033264447</v>
      </c>
      <c r="M175" s="306">
        <f t="shared" ref="M175:Q175" ca="1" si="168">+OFFSET(M175,$C$8,0)</f>
        <v>-0.68825726267477572</v>
      </c>
      <c r="N175" s="306">
        <f t="shared" ca="1" si="168"/>
        <v>-0.68923571432570441</v>
      </c>
      <c r="O175" s="306">
        <f t="shared" ca="1" si="168"/>
        <v>-0.68173022904284108</v>
      </c>
      <c r="P175" s="306">
        <f t="shared" ca="1" si="168"/>
        <v>-0.66369330700439688</v>
      </c>
      <c r="Q175" s="306">
        <f t="shared" ca="1" si="168"/>
        <v>-0.59740855694215111</v>
      </c>
      <c r="R175" s="877">
        <f t="shared" ref="R175:AA175" ca="1" si="169">+OFFSET(R175,$C$8,0)</f>
        <v>-0.65027864995007001</v>
      </c>
      <c r="S175" s="306">
        <f t="shared" ca="1" si="169"/>
        <v>-0.6963109956808049</v>
      </c>
      <c r="T175" s="306">
        <f t="shared" ca="1" si="169"/>
        <v>-0.73476009845553769</v>
      </c>
      <c r="U175" s="306">
        <f t="shared" ca="1" si="169"/>
        <v>-0.76559823701198493</v>
      </c>
      <c r="V175" s="306">
        <f t="shared" ca="1" si="169"/>
        <v>-0.78895277983607504</v>
      </c>
      <c r="W175" s="306">
        <f t="shared" ca="1" si="169"/>
        <v>-0.80510775574436277</v>
      </c>
      <c r="X175" s="306">
        <f t="shared" ca="1" si="169"/>
        <v>-0.81450247280092569</v>
      </c>
      <c r="Y175" s="306">
        <f t="shared" ca="1" si="169"/>
        <v>-0.81771222232826446</v>
      </c>
      <c r="Z175" s="306">
        <f t="shared" ca="1" si="169"/>
        <v>-0.81543129707429718</v>
      </c>
      <c r="AA175" s="306">
        <f t="shared" ca="1" si="169"/>
        <v>-0.8084509854444285</v>
      </c>
    </row>
    <row r="176" spans="1:27" ht="15.6">
      <c r="B176" s="280" t="s">
        <v>416</v>
      </c>
      <c r="G176" s="161"/>
      <c r="H176" s="605">
        <f>IFERROR(H177-$F$8,"")</f>
        <v>-0.61177302552067925</v>
      </c>
      <c r="I176" s="605">
        <f t="shared" ref="I176:Q176" si="170">IFERROR(I177-$F$8,"")</f>
        <v>-0.61906116518315901</v>
      </c>
      <c r="J176" s="605">
        <f t="shared" si="170"/>
        <v>-0.6337022791180672</v>
      </c>
      <c r="K176" s="605">
        <f t="shared" si="170"/>
        <v>-0.64966309369412845</v>
      </c>
      <c r="L176" s="605">
        <f t="shared" si="170"/>
        <v>-0.66444340332644469</v>
      </c>
      <c r="M176" s="605">
        <f t="shared" si="170"/>
        <v>-0.67825726267477571</v>
      </c>
      <c r="N176" s="605">
        <f t="shared" si="170"/>
        <v>-0.6792357143257044</v>
      </c>
      <c r="O176" s="605">
        <f t="shared" si="170"/>
        <v>-0.67173022904284108</v>
      </c>
      <c r="P176" s="605">
        <f t="shared" si="170"/>
        <v>-0.65369330700439687</v>
      </c>
      <c r="Q176" s="851">
        <f t="shared" si="170"/>
        <v>-0.58740855694215111</v>
      </c>
      <c r="R176" s="895">
        <f t="shared" ref="R176:AA176" si="171">IFERROR(R177-$F$8,"")</f>
        <v>-0.64027864995007</v>
      </c>
      <c r="S176" s="605">
        <f t="shared" si="171"/>
        <v>-0.68631099568080489</v>
      </c>
      <c r="T176" s="605">
        <f t="shared" si="171"/>
        <v>-0.72476009845553768</v>
      </c>
      <c r="U176" s="605">
        <f t="shared" si="171"/>
        <v>-0.75559823701198492</v>
      </c>
      <c r="V176" s="605">
        <f t="shared" si="171"/>
        <v>-0.77895277983607503</v>
      </c>
      <c r="W176" s="605">
        <f t="shared" si="171"/>
        <v>-0.79510775574436277</v>
      </c>
      <c r="X176" s="605">
        <f t="shared" si="171"/>
        <v>-0.80450247280092568</v>
      </c>
      <c r="Y176" s="605">
        <f t="shared" si="171"/>
        <v>-0.80771222232826445</v>
      </c>
      <c r="Z176" s="605">
        <f t="shared" si="171"/>
        <v>-0.80543129707429717</v>
      </c>
      <c r="AA176" s="605">
        <f t="shared" si="171"/>
        <v>-0.7984509854444285</v>
      </c>
    </row>
    <row r="177" spans="2:36" ht="15.6">
      <c r="B177" s="280" t="s">
        <v>417</v>
      </c>
      <c r="G177" s="161"/>
      <c r="H177" s="603">
        <f t="shared" ref="H177:Q177" si="172">IFERROR(VALUE(H57),"")</f>
        <v>-0.62177302552067926</v>
      </c>
      <c r="I177" s="603">
        <f t="shared" si="172"/>
        <v>-0.62906116518315902</v>
      </c>
      <c r="J177" s="603">
        <f t="shared" si="172"/>
        <v>-0.64370227911806721</v>
      </c>
      <c r="K177" s="603">
        <f t="shared" si="172"/>
        <v>-0.65966309369412846</v>
      </c>
      <c r="L177" s="603">
        <f t="shared" si="172"/>
        <v>-0.6744434033264447</v>
      </c>
      <c r="M177" s="603">
        <f t="shared" si="172"/>
        <v>-0.68825726267477572</v>
      </c>
      <c r="N177" s="603">
        <f t="shared" si="172"/>
        <v>-0.68923571432570441</v>
      </c>
      <c r="O177" s="603">
        <f t="shared" si="172"/>
        <v>-0.68173022904284108</v>
      </c>
      <c r="P177" s="603">
        <f t="shared" si="172"/>
        <v>-0.66369330700439688</v>
      </c>
      <c r="Q177" s="850">
        <f t="shared" si="172"/>
        <v>-0.59740855694215111</v>
      </c>
      <c r="R177" s="896">
        <f t="shared" ref="R177:AA177" si="173">IFERROR(VALUE(R57),"")</f>
        <v>-0.65027864995007001</v>
      </c>
      <c r="S177" s="603">
        <f t="shared" si="173"/>
        <v>-0.6963109956808049</v>
      </c>
      <c r="T177" s="603">
        <f t="shared" si="173"/>
        <v>-0.73476009845553769</v>
      </c>
      <c r="U177" s="603">
        <f t="shared" si="173"/>
        <v>-0.76559823701198493</v>
      </c>
      <c r="V177" s="603">
        <f t="shared" si="173"/>
        <v>-0.78895277983607504</v>
      </c>
      <c r="W177" s="603">
        <f t="shared" si="173"/>
        <v>-0.80510775574436277</v>
      </c>
      <c r="X177" s="603">
        <f t="shared" si="173"/>
        <v>-0.81450247280092569</v>
      </c>
      <c r="Y177" s="603">
        <f t="shared" si="173"/>
        <v>-0.81771222232826446</v>
      </c>
      <c r="Z177" s="603">
        <f t="shared" si="173"/>
        <v>-0.81543129707429718</v>
      </c>
      <c r="AA177" s="603">
        <f t="shared" si="173"/>
        <v>-0.8084509854444285</v>
      </c>
    </row>
    <row r="178" spans="2:36" ht="15.6">
      <c r="B178" s="280" t="s">
        <v>418</v>
      </c>
      <c r="G178" s="161"/>
      <c r="H178" s="605">
        <f>+IFERROR(H177+$L$8%,"")</f>
        <v>-0.62167302552067927</v>
      </c>
      <c r="I178" s="605">
        <f t="shared" ref="I178:Q178" si="174">+IFERROR(I177+$L$8%,"")</f>
        <v>-0.62896116518315903</v>
      </c>
      <c r="J178" s="605">
        <f t="shared" si="174"/>
        <v>-0.64360227911806722</v>
      </c>
      <c r="K178" s="605">
        <f t="shared" si="174"/>
        <v>-0.65956309369412847</v>
      </c>
      <c r="L178" s="605">
        <f t="shared" si="174"/>
        <v>-0.67434340332644471</v>
      </c>
      <c r="M178" s="605">
        <f t="shared" si="174"/>
        <v>-0.68815726267477573</v>
      </c>
      <c r="N178" s="605">
        <f t="shared" si="174"/>
        <v>-0.68913571432570442</v>
      </c>
      <c r="O178" s="605">
        <f t="shared" si="174"/>
        <v>-0.6816302290428411</v>
      </c>
      <c r="P178" s="605">
        <f t="shared" si="174"/>
        <v>-0.66359330700439689</v>
      </c>
      <c r="Q178" s="851">
        <f t="shared" si="174"/>
        <v>-0.59730855694215113</v>
      </c>
      <c r="R178" s="895">
        <f t="shared" ref="R178:AA178" si="175">+IFERROR(R177+$L$8%,"")</f>
        <v>-0.65017864995007002</v>
      </c>
      <c r="S178" s="605">
        <f t="shared" si="175"/>
        <v>-0.69621099568080491</v>
      </c>
      <c r="T178" s="605">
        <f t="shared" si="175"/>
        <v>-0.7346600984555377</v>
      </c>
      <c r="U178" s="605">
        <f t="shared" si="175"/>
        <v>-0.76549823701198494</v>
      </c>
      <c r="V178" s="605">
        <f t="shared" si="175"/>
        <v>-0.78885277983607505</v>
      </c>
      <c r="W178" s="605">
        <f t="shared" si="175"/>
        <v>-0.80500775574436279</v>
      </c>
      <c r="X178" s="605">
        <f t="shared" si="175"/>
        <v>-0.8144024728009257</v>
      </c>
      <c r="Y178" s="605">
        <f t="shared" si="175"/>
        <v>-0.81761222232826447</v>
      </c>
      <c r="Z178" s="605">
        <f t="shared" si="175"/>
        <v>-0.81533129707429719</v>
      </c>
      <c r="AA178" s="605">
        <f t="shared" si="175"/>
        <v>-0.80835098544442852</v>
      </c>
    </row>
    <row r="179" spans="2:36" ht="3.75" customHeight="1">
      <c r="G179" s="161"/>
      <c r="R179" s="856"/>
    </row>
    <row r="180" spans="2:36" ht="15.6">
      <c r="B180" s="181" t="s">
        <v>422</v>
      </c>
      <c r="C180" s="182"/>
      <c r="D180" s="182"/>
      <c r="E180" s="183">
        <f t="shared" ref="E180:Q180" si="176">+IFERROR(E174*(1-E76),"")</f>
        <v>-108.83668599594084</v>
      </c>
      <c r="F180" s="183">
        <f t="shared" si="176"/>
        <v>-153.17541528239204</v>
      </c>
      <c r="G180" s="326">
        <f t="shared" si="176"/>
        <v>-151.03160074701529</v>
      </c>
      <c r="H180" s="183">
        <f t="shared" ca="1" si="176"/>
        <v>-295.67184619091427</v>
      </c>
      <c r="I180" s="183">
        <f t="shared" ca="1" si="176"/>
        <v>-318.8602912959924</v>
      </c>
      <c r="J180" s="183">
        <f t="shared" ca="1" si="176"/>
        <v>-347.94913013259929</v>
      </c>
      <c r="K180" s="183">
        <f t="shared" ca="1" si="176"/>
        <v>-382.34105435442638</v>
      </c>
      <c r="L180" s="183">
        <f t="shared" ca="1" si="176"/>
        <v>-417.59040853118614</v>
      </c>
      <c r="M180" s="183">
        <f t="shared" ca="1" si="176"/>
        <v>-455.15729754577239</v>
      </c>
      <c r="N180" s="183">
        <f t="shared" ca="1" si="176"/>
        <v>-491.08913202190274</v>
      </c>
      <c r="O180" s="183">
        <f t="shared" ca="1" si="176"/>
        <v>-523.04706503286047</v>
      </c>
      <c r="P180" s="183">
        <f t="shared" ca="1" si="176"/>
        <v>-548.55483834156701</v>
      </c>
      <c r="Q180" s="183">
        <f t="shared" ca="1" si="176"/>
        <v>-532.07283086377686</v>
      </c>
      <c r="R180" s="870">
        <f t="shared" ref="R180:AA180" ca="1" si="177">+IFERROR(R174*(1-R76),"")</f>
        <v>-624.00007318093708</v>
      </c>
      <c r="S180" s="325">
        <f t="shared" ca="1" si="177"/>
        <v>-719.94899708519813</v>
      </c>
      <c r="T180" s="325">
        <f t="shared" ca="1" si="177"/>
        <v>-818.57660795415677</v>
      </c>
      <c r="U180" s="325">
        <f t="shared" ca="1" si="177"/>
        <v>-919.00822457634729</v>
      </c>
      <c r="V180" s="325">
        <f t="shared" ca="1" si="177"/>
        <v>-1020.4238331585693</v>
      </c>
      <c r="W180" s="325">
        <f t="shared" ca="1" si="177"/>
        <v>-1122.0028534609605</v>
      </c>
      <c r="X180" s="325">
        <f t="shared" ca="1" si="177"/>
        <v>-1223.0411983518766</v>
      </c>
      <c r="Y180" s="325">
        <f t="shared" ca="1" si="177"/>
        <v>-1322.9981511825035</v>
      </c>
      <c r="Z180" s="325">
        <f t="shared" ca="1" si="177"/>
        <v>-1421.5293993017387</v>
      </c>
      <c r="AA180" s="325">
        <f t="shared" ca="1" si="177"/>
        <v>-1518.5590028109102</v>
      </c>
    </row>
    <row r="181" spans="2:36" ht="3.75" customHeight="1">
      <c r="G181" s="161"/>
      <c r="R181" s="856"/>
    </row>
    <row r="182" spans="2:36" ht="15.6">
      <c r="B182" s="130" t="s">
        <v>493</v>
      </c>
      <c r="E182" s="154">
        <f t="shared" ref="E182:Q182" si="178">+E120</f>
        <v>29.43</v>
      </c>
      <c r="F182" s="154">
        <f t="shared" si="178"/>
        <v>28.5</v>
      </c>
      <c r="G182" s="178">
        <f t="shared" si="178"/>
        <v>31.87</v>
      </c>
      <c r="H182" s="184">
        <f t="shared" si="178"/>
        <v>35.227154036537357</v>
      </c>
      <c r="I182" s="184">
        <f t="shared" si="178"/>
        <v>37.700125437432796</v>
      </c>
      <c r="J182" s="184">
        <f t="shared" si="178"/>
        <v>42.324259106766306</v>
      </c>
      <c r="K182" s="184">
        <f t="shared" si="178"/>
        <v>46.981322438608373</v>
      </c>
      <c r="L182" s="184">
        <f t="shared" si="178"/>
        <v>51.262669285501161</v>
      </c>
      <c r="M182" s="184">
        <f t="shared" si="178"/>
        <v>56.056383667432698</v>
      </c>
      <c r="N182" s="184">
        <f t="shared" si="178"/>
        <v>60.815854105977543</v>
      </c>
      <c r="O182" s="184">
        <f t="shared" si="178"/>
        <v>65.526286339695673</v>
      </c>
      <c r="P182" s="184">
        <f t="shared" si="178"/>
        <v>70.268936962245988</v>
      </c>
      <c r="Q182" s="184">
        <f t="shared" si="178"/>
        <v>74.880636876400033</v>
      </c>
      <c r="R182" s="882">
        <f t="shared" ref="R182:AA182" si="179">+R120</f>
        <v>79.324983611316256</v>
      </c>
      <c r="S182" s="200">
        <f t="shared" si="179"/>
        <v>84.552482424885739</v>
      </c>
      <c r="T182" s="200">
        <f t="shared" si="179"/>
        <v>90.097863890899234</v>
      </c>
      <c r="U182" s="200">
        <f t="shared" si="179"/>
        <v>95.988931529559821</v>
      </c>
      <c r="V182" s="200">
        <f t="shared" si="179"/>
        <v>102.24807154412633</v>
      </c>
      <c r="W182" s="200">
        <f t="shared" si="179"/>
        <v>108.89503017861369</v>
      </c>
      <c r="X182" s="200">
        <f t="shared" si="179"/>
        <v>115.95576545838603</v>
      </c>
      <c r="Y182" s="200">
        <f t="shared" si="179"/>
        <v>123.45575259383368</v>
      </c>
      <c r="Z182" s="200">
        <f t="shared" si="179"/>
        <v>131.4219042712958</v>
      </c>
      <c r="AA182" s="200">
        <f t="shared" si="179"/>
        <v>139.88356581226847</v>
      </c>
      <c r="AB182" s="131"/>
      <c r="AC182" s="131"/>
      <c r="AD182" s="131"/>
      <c r="AE182" s="131"/>
      <c r="AF182" s="131"/>
      <c r="AG182" s="131"/>
      <c r="AH182" s="131"/>
      <c r="AI182" s="131"/>
      <c r="AJ182" s="131"/>
    </row>
    <row r="183" spans="2:36" ht="3.75" customHeight="1">
      <c r="G183" s="161"/>
      <c r="R183" s="856"/>
      <c r="AB183" s="131"/>
      <c r="AC183" s="131"/>
      <c r="AD183" s="131"/>
      <c r="AE183" s="131"/>
      <c r="AF183" s="131"/>
      <c r="AG183" s="131"/>
      <c r="AH183" s="131"/>
      <c r="AI183" s="131"/>
      <c r="AJ183" s="131"/>
    </row>
    <row r="184" spans="2:36" ht="15.6">
      <c r="B184" s="130" t="s">
        <v>474</v>
      </c>
      <c r="E184" s="154">
        <f t="shared" ref="E184:Q184" si="180">+E122</f>
        <v>55.6</v>
      </c>
      <c r="F184" s="154">
        <f t="shared" si="180"/>
        <v>53.5</v>
      </c>
      <c r="G184" s="178">
        <f t="shared" si="180"/>
        <v>56.8</v>
      </c>
      <c r="H184" s="154">
        <f t="shared" si="180"/>
        <v>56.016086428337324</v>
      </c>
      <c r="I184" s="154">
        <f t="shared" si="180"/>
        <v>50.681149354226115</v>
      </c>
      <c r="J184" s="154">
        <f t="shared" si="180"/>
        <v>45.159728754446661</v>
      </c>
      <c r="K184" s="154">
        <f t="shared" si="180"/>
        <v>39.507503888845534</v>
      </c>
      <c r="L184" s="154">
        <f t="shared" si="180"/>
        <v>33.792742232082709</v>
      </c>
      <c r="M184" s="154">
        <f t="shared" si="180"/>
        <v>28.073050846890464</v>
      </c>
      <c r="N184" s="154">
        <f t="shared" si="180"/>
        <v>22.660099450665026</v>
      </c>
      <c r="O184" s="154">
        <f t="shared" si="180"/>
        <v>17.412395417711164</v>
      </c>
      <c r="P184" s="154">
        <f t="shared" si="180"/>
        <v>12.473099055716965</v>
      </c>
      <c r="Q184" s="154">
        <f t="shared" si="180"/>
        <v>6.1378461679958169</v>
      </c>
      <c r="R184" s="857">
        <f t="shared" ref="R184:AA184" si="181">+R122</f>
        <v>6.6146749156507942</v>
      </c>
      <c r="S184" s="848">
        <f t="shared" si="181"/>
        <v>7.1299022773454199</v>
      </c>
      <c r="T184" s="848">
        <f t="shared" si="181"/>
        <v>7.6867174667552893</v>
      </c>
      <c r="U184" s="848">
        <f t="shared" si="181"/>
        <v>8.2885812768221321</v>
      </c>
      <c r="V184" s="848">
        <f t="shared" si="181"/>
        <v>8.9392496546132332</v>
      </c>
      <c r="W184" s="848">
        <f t="shared" si="181"/>
        <v>9.6427993519091046</v>
      </c>
      <c r="X184" s="848">
        <f t="shared" si="181"/>
        <v>10.403655836159061</v>
      </c>
      <c r="Y184" s="848">
        <f t="shared" si="181"/>
        <v>11.226623662986889</v>
      </c>
      <c r="Z184" s="848">
        <f t="shared" si="181"/>
        <v>12.116919529460597</v>
      </c>
      <c r="AA184" s="848">
        <f t="shared" si="181"/>
        <v>13.080208246996387</v>
      </c>
      <c r="AB184" s="131"/>
      <c r="AC184" s="131"/>
      <c r="AD184" s="131"/>
      <c r="AE184" s="131"/>
      <c r="AF184" s="131"/>
      <c r="AG184" s="131"/>
      <c r="AH184" s="131"/>
      <c r="AI184" s="131"/>
      <c r="AJ184" s="131"/>
    </row>
    <row r="185" spans="2:36" ht="3.75" customHeight="1">
      <c r="G185" s="151"/>
      <c r="R185" s="856"/>
      <c r="AB185" s="131"/>
      <c r="AC185" s="131"/>
      <c r="AD185" s="131"/>
      <c r="AE185" s="131"/>
      <c r="AF185" s="131"/>
      <c r="AG185" s="131"/>
      <c r="AH185" s="131"/>
      <c r="AI185" s="131"/>
      <c r="AJ185" s="131"/>
    </row>
    <row r="186" spans="2:36" ht="15.6">
      <c r="B186" s="130" t="s">
        <v>494</v>
      </c>
      <c r="E186" s="154">
        <f t="shared" ref="E186:Q186" si="182">+E125</f>
        <v>-35.5</v>
      </c>
      <c r="F186" s="154">
        <f t="shared" si="182"/>
        <v>-6.5</v>
      </c>
      <c r="G186" s="185">
        <f t="shared" si="182"/>
        <v>38.099999999999994</v>
      </c>
      <c r="H186" s="177">
        <f t="shared" si="182"/>
        <v>-36.967980671228759</v>
      </c>
      <c r="I186" s="177">
        <f t="shared" si="182"/>
        <v>5.9461577933628007</v>
      </c>
      <c r="J186" s="177">
        <f t="shared" si="182"/>
        <v>7.6826863737619249</v>
      </c>
      <c r="K186" s="177">
        <f t="shared" si="182"/>
        <v>-5.7693395697478991</v>
      </c>
      <c r="L186" s="177">
        <f t="shared" si="182"/>
        <v>3.0544245929616523</v>
      </c>
      <c r="M186" s="177">
        <f t="shared" si="182"/>
        <v>2.0373784019392076</v>
      </c>
      <c r="N186" s="177">
        <f t="shared" si="182"/>
        <v>0.33705321301502522</v>
      </c>
      <c r="O186" s="177">
        <f t="shared" si="182"/>
        <v>1.7605613768600392</v>
      </c>
      <c r="P186" s="177">
        <f t="shared" si="182"/>
        <v>1.5816588424409019</v>
      </c>
      <c r="Q186" s="177">
        <f t="shared" si="182"/>
        <v>1.76816874476782</v>
      </c>
      <c r="R186" s="862">
        <f t="shared" ref="R186:AA186" si="183">+R125</f>
        <v>-9.1402387776595333</v>
      </c>
      <c r="S186" s="198">
        <f t="shared" si="183"/>
        <v>-10.645332787739108</v>
      </c>
      <c r="T186" s="198">
        <f t="shared" si="183"/>
        <v>-12.191707509460002</v>
      </c>
      <c r="U186" s="198">
        <f t="shared" si="183"/>
        <v>-13.870601317382636</v>
      </c>
      <c r="V186" s="198">
        <f t="shared" si="183"/>
        <v>-15.809886039999981</v>
      </c>
      <c r="W186" s="198">
        <f t="shared" si="183"/>
        <v>-17.929217017722294</v>
      </c>
      <c r="X186" s="198">
        <f t="shared" si="183"/>
        <v>-20.280860257562892</v>
      </c>
      <c r="Y186" s="198">
        <f t="shared" si="183"/>
        <v>-22.903328644285182</v>
      </c>
      <c r="Z186" s="198">
        <f t="shared" si="183"/>
        <v>-25.803259848859511</v>
      </c>
      <c r="AA186" s="198">
        <f t="shared" si="183"/>
        <v>-29.018857605004825</v>
      </c>
      <c r="AB186" s="131"/>
      <c r="AC186" s="131"/>
      <c r="AD186" s="131"/>
      <c r="AE186" s="131"/>
      <c r="AF186" s="131"/>
      <c r="AG186" s="131"/>
      <c r="AH186" s="131"/>
      <c r="AI186" s="131"/>
      <c r="AJ186" s="131"/>
    </row>
    <row r="187" spans="2:36" ht="3.75" customHeight="1">
      <c r="G187" s="151"/>
      <c r="R187" s="856"/>
      <c r="AB187" s="131"/>
      <c r="AC187" s="131"/>
      <c r="AD187" s="131"/>
      <c r="AE187" s="131"/>
      <c r="AF187" s="131"/>
      <c r="AG187" s="131"/>
      <c r="AH187" s="131"/>
      <c r="AI187" s="131"/>
      <c r="AJ187" s="131"/>
    </row>
    <row r="188" spans="2:36" ht="13.5" customHeight="1">
      <c r="B188" s="130" t="s">
        <v>478</v>
      </c>
      <c r="E188" s="154">
        <f t="shared" ref="E188:Q188" si="184">+E131</f>
        <v>-108.2</v>
      </c>
      <c r="F188" s="154">
        <f t="shared" si="184"/>
        <v>-70</v>
      </c>
      <c r="G188" s="178">
        <f t="shared" si="184"/>
        <v>-54.599999999999994</v>
      </c>
      <c r="H188" s="154">
        <f t="shared" si="184"/>
        <v>-65.305320291326893</v>
      </c>
      <c r="I188" s="154">
        <f>+I131</f>
        <v>-63.4796704428502</v>
      </c>
      <c r="J188" s="154">
        <f t="shared" si="184"/>
        <v>-65.671520693963913</v>
      </c>
      <c r="K188" s="154">
        <f t="shared" si="184"/>
        <v>-70.323241883154907</v>
      </c>
      <c r="L188" s="154">
        <f t="shared" si="184"/>
        <v>-70.625817560829304</v>
      </c>
      <c r="M188" s="154">
        <f t="shared" si="184"/>
        <v>-71.632550727639909</v>
      </c>
      <c r="N188" s="154">
        <f t="shared" si="184"/>
        <v>-72.359350025820319</v>
      </c>
      <c r="O188" s="154">
        <f t="shared" si="184"/>
        <v>-71.359112233330976</v>
      </c>
      <c r="P188" s="154">
        <f t="shared" si="184"/>
        <v>-69.877339923116466</v>
      </c>
      <c r="Q188" s="154">
        <f t="shared" si="184"/>
        <v>-67.502931203817511</v>
      </c>
      <c r="R188" s="857">
        <f t="shared" ref="R188:AA188" si="185">+R131</f>
        <v>-79.093931671037069</v>
      </c>
      <c r="S188" s="848">
        <f t="shared" si="185"/>
        <v>-84.039880404377698</v>
      </c>
      <c r="T188" s="848">
        <f t="shared" si="185"/>
        <v>-89.282833120767208</v>
      </c>
      <c r="U188" s="848">
        <f t="shared" si="185"/>
        <v>-94.812983375777677</v>
      </c>
      <c r="V188" s="848">
        <f t="shared" si="185"/>
        <v>-100.71839787718395</v>
      </c>
      <c r="W188" s="848">
        <f t="shared" si="185"/>
        <v>-106.98372575893241</v>
      </c>
      <c r="X188" s="848">
        <f t="shared" si="185"/>
        <v>-113.63194212273639</v>
      </c>
      <c r="Y188" s="848">
        <f t="shared" si="185"/>
        <v>-120.70112284223887</v>
      </c>
      <c r="Z188" s="848">
        <f t="shared" si="185"/>
        <v>-128.20716524249389</v>
      </c>
      <c r="AA188" s="848">
        <f t="shared" si="185"/>
        <v>-136.17907869968352</v>
      </c>
      <c r="AB188" s="131"/>
      <c r="AC188" s="131"/>
      <c r="AD188" s="131"/>
      <c r="AE188" s="131"/>
      <c r="AF188" s="131"/>
      <c r="AG188" s="131"/>
      <c r="AH188" s="131"/>
      <c r="AI188" s="131"/>
      <c r="AJ188" s="131"/>
    </row>
    <row r="189" spans="2:36" ht="3.75" customHeight="1">
      <c r="B189" s="155"/>
      <c r="E189" s="157"/>
      <c r="F189" s="157"/>
      <c r="G189" s="165"/>
      <c r="H189" s="180"/>
      <c r="I189" s="180"/>
      <c r="J189" s="180"/>
      <c r="K189" s="180"/>
      <c r="L189" s="180"/>
      <c r="M189" s="180"/>
      <c r="N189" s="180"/>
      <c r="O189" s="180"/>
      <c r="P189" s="180"/>
      <c r="Q189" s="180"/>
      <c r="R189" s="863"/>
      <c r="S189" s="180"/>
      <c r="T189" s="180"/>
      <c r="U189" s="180"/>
      <c r="V189" s="180"/>
      <c r="W189" s="180"/>
      <c r="X189" s="180"/>
      <c r="Y189" s="180"/>
      <c r="Z189" s="180"/>
      <c r="AA189" s="180"/>
      <c r="AB189" s="131"/>
      <c r="AC189" s="131"/>
      <c r="AD189" s="131"/>
      <c r="AE189" s="131"/>
      <c r="AF189" s="131"/>
      <c r="AG189" s="131"/>
      <c r="AH189" s="131"/>
      <c r="AI189" s="131"/>
      <c r="AJ189" s="131"/>
    </row>
    <row r="190" spans="2:36" ht="15.6">
      <c r="B190" s="186" t="s">
        <v>26</v>
      </c>
      <c r="C190" s="187"/>
      <c r="D190" s="187"/>
      <c r="E190" s="188">
        <f t="shared" ref="E190:Q190" si="186">IFERROR(E180+E182+E188+E186+E184,"")</f>
        <v>-167.50668599594084</v>
      </c>
      <c r="F190" s="188">
        <f t="shared" si="186"/>
        <v>-147.67541528239204</v>
      </c>
      <c r="G190" s="189">
        <f t="shared" si="186"/>
        <v>-78.861600747015288</v>
      </c>
      <c r="H190" s="188">
        <f t="shared" ca="1" si="186"/>
        <v>-306.70190668859527</v>
      </c>
      <c r="I190" s="188">
        <f t="shared" ca="1" si="186"/>
        <v>-288.01252915382088</v>
      </c>
      <c r="J190" s="188">
        <f t="shared" ca="1" si="186"/>
        <v>-318.45397659158834</v>
      </c>
      <c r="K190" s="188">
        <f t="shared" ca="1" si="186"/>
        <v>-371.94480947987523</v>
      </c>
      <c r="L190" s="188">
        <f t="shared" ca="1" si="186"/>
        <v>-400.10638998146993</v>
      </c>
      <c r="M190" s="188">
        <f t="shared" ca="1" si="186"/>
        <v>-440.62303535714994</v>
      </c>
      <c r="N190" s="188">
        <f t="shared" ca="1" si="186"/>
        <v>-479.63547527806543</v>
      </c>
      <c r="O190" s="188">
        <f t="shared" ca="1" si="186"/>
        <v>-509.70693413192458</v>
      </c>
      <c r="P190" s="188">
        <f t="shared" ca="1" si="186"/>
        <v>-534.10848340427958</v>
      </c>
      <c r="Q190" s="188">
        <f t="shared" ca="1" si="186"/>
        <v>-516.7891102784306</v>
      </c>
      <c r="R190" s="870">
        <f t="shared" ref="R190:AA190" ca="1" si="187">IFERROR(R180+R182+R188+R186+R184,"")</f>
        <v>-626.29458510266659</v>
      </c>
      <c r="S190" s="327">
        <f t="shared" ca="1" si="187"/>
        <v>-722.95182557508372</v>
      </c>
      <c r="T190" s="327">
        <f t="shared" ca="1" si="187"/>
        <v>-822.26656722672942</v>
      </c>
      <c r="U190" s="327">
        <f t="shared" ca="1" si="187"/>
        <v>-923.41429646312565</v>
      </c>
      <c r="V190" s="327">
        <f t="shared" ca="1" si="187"/>
        <v>-1025.7647958770137</v>
      </c>
      <c r="W190" s="327">
        <f t="shared" ca="1" si="187"/>
        <v>-1128.3779667070924</v>
      </c>
      <c r="X190" s="327">
        <f t="shared" ca="1" si="187"/>
        <v>-1230.5945794376307</v>
      </c>
      <c r="Y190" s="327">
        <f t="shared" ca="1" si="187"/>
        <v>-1331.9202264122071</v>
      </c>
      <c r="Z190" s="327">
        <f t="shared" ca="1" si="187"/>
        <v>-1432.0010005923359</v>
      </c>
      <c r="AA190" s="327">
        <f t="shared" ca="1" si="187"/>
        <v>-1530.7931650563337</v>
      </c>
      <c r="AB190" s="131">
        <f ca="1">+J190/(1+$C$12)^(J193-2)</f>
        <v>-313.62524604421645</v>
      </c>
      <c r="AC190" s="131">
        <f ca="1">+K190/(1+$C$12)^(K193-2)</f>
        <v>-324.15860182367913</v>
      </c>
      <c r="AD190" s="131">
        <f ca="1">+L190/(1+$C$12)^(L193-2)</f>
        <v>-308.58104451092646</v>
      </c>
      <c r="AE190" s="131">
        <f ca="1">+M190/(1+$C$12)^(M193-2)</f>
        <v>-300.72924541263262</v>
      </c>
      <c r="AF190" s="131">
        <f ca="1">+N190/(1+$C$12)^(N193-2)</f>
        <v>-289.69064672229428</v>
      </c>
      <c r="AG190" s="131"/>
      <c r="AH190" s="131">
        <f ca="1">+O190/(1+$C$12)^(O193-2)</f>
        <v>-272.43219349194419</v>
      </c>
      <c r="AI190" s="131">
        <f ca="1">+P190/(1+$C$12)^(P193-2)</f>
        <v>-252.62834134378292</v>
      </c>
      <c r="AJ190" s="131">
        <f ca="1">+Q190/(1+$C$12)^(Q193-2)</f>
        <v>-216.31202234148836</v>
      </c>
    </row>
    <row r="191" spans="2:36" ht="15.6">
      <c r="B191" s="190" t="s">
        <v>495</v>
      </c>
      <c r="C191" s="191"/>
      <c r="D191" s="191"/>
      <c r="E191" s="191"/>
      <c r="F191" s="191"/>
      <c r="G191" s="192"/>
      <c r="H191" s="193">
        <f ca="1">IFERROR(H190/(1+$C$12)^H193,"")</f>
        <v>-302.05137325322931</v>
      </c>
      <c r="I191" s="193">
        <f t="shared" ref="I191:P191" ca="1" si="188">IFERROR(I190/(1+$C$12)^I193,"")</f>
        <v>-251.00965621421236</v>
      </c>
      <c r="J191" s="193">
        <f t="shared" ca="1" si="188"/>
        <v>-245.60682654891255</v>
      </c>
      <c r="K191" s="193">
        <f t="shared" ca="1" si="188"/>
        <v>-253.85572907999176</v>
      </c>
      <c r="L191" s="193">
        <f t="shared" ca="1" si="188"/>
        <v>-241.65660141018165</v>
      </c>
      <c r="M191" s="193">
        <f t="shared" ca="1" si="188"/>
        <v>-235.50768488144126</v>
      </c>
      <c r="N191" s="193">
        <f t="shared" ca="1" si="188"/>
        <v>-226.86311551696238</v>
      </c>
      <c r="O191" s="193">
        <f t="shared" ca="1" si="188"/>
        <v>-213.34764129250689</v>
      </c>
      <c r="P191" s="193">
        <f t="shared" ca="1" si="188"/>
        <v>-197.8388092041998</v>
      </c>
      <c r="Q191" s="193">
        <f t="shared" ref="Q191:AA191" ca="1" si="189">IFERROR(Q190/(1+$C$12)^Q193,"")</f>
        <v>-169.39870122630438</v>
      </c>
      <c r="R191" s="870">
        <f t="shared" ca="1" si="189"/>
        <v>-181.67287489777308</v>
      </c>
      <c r="S191" s="194">
        <f t="shared" ca="1" si="189"/>
        <v>-185.58185010789998</v>
      </c>
      <c r="T191" s="194">
        <f t="shared" ca="1" si="189"/>
        <v>-186.78994021612803</v>
      </c>
      <c r="U191" s="194">
        <f t="shared" ca="1" si="189"/>
        <v>-185.63170516484107</v>
      </c>
      <c r="V191" s="194">
        <f t="shared" ca="1" si="189"/>
        <v>-182.4811710443407</v>
      </c>
      <c r="W191" s="194">
        <f t="shared" ca="1" si="189"/>
        <v>-177.63951381591082</v>
      </c>
      <c r="X191" s="194">
        <f t="shared" ca="1" si="189"/>
        <v>-171.44099779586713</v>
      </c>
      <c r="Y191" s="194">
        <f t="shared" ca="1" si="189"/>
        <v>-164.20735714559743</v>
      </c>
      <c r="Z191" s="194">
        <f t="shared" ca="1" si="189"/>
        <v>-156.23287616830584</v>
      </c>
      <c r="AA191" s="194">
        <f t="shared" ca="1" si="189"/>
        <v>-147.7952002651769</v>
      </c>
      <c r="AB191" s="362">
        <f ca="1">+J190/(1+$C$12)^(J193-1)</f>
        <v>-277.5400897285686</v>
      </c>
      <c r="AC191" s="362">
        <f ca="1">+K190/(1+$C$12)^(K193-1)</f>
        <v>-286.86149655103731</v>
      </c>
      <c r="AD191" s="362">
        <f ca="1">+L190/(1+$C$12)^(L193-1)</f>
        <v>-273.07626494463864</v>
      </c>
      <c r="AE191" s="362">
        <f ca="1">+M190/(1+$C$12)^(M193-1)</f>
        <v>-266.12787971813833</v>
      </c>
      <c r="AF191" s="362">
        <f ca="1">+N190/(1+$C$12)^(N193-1)</f>
        <v>-256.35936232473233</v>
      </c>
      <c r="AG191" s="362"/>
      <c r="AH191" s="362">
        <f ca="1">+O190/(1+$C$12)^(O193-1)</f>
        <v>-241.08663565956979</v>
      </c>
      <c r="AI191" s="362">
        <f ca="1">+P190/(1+$C$12)^(P193-1)</f>
        <v>-223.56137909461492</v>
      </c>
      <c r="AJ191" s="362">
        <f ca="1">+Q190/(1+$C$12)^(Q193-1)</f>
        <v>-191.42355039096799</v>
      </c>
    </row>
    <row r="192" spans="2:36" ht="3.75" customHeight="1">
      <c r="G192" s="151"/>
      <c r="R192" s="856"/>
      <c r="AB192" s="131"/>
      <c r="AC192" s="131"/>
      <c r="AD192" s="131"/>
      <c r="AE192" s="131"/>
      <c r="AF192" s="131"/>
      <c r="AG192" s="131"/>
      <c r="AH192" s="131"/>
      <c r="AI192" s="131"/>
      <c r="AJ192" s="131"/>
    </row>
    <row r="193" spans="2:36" ht="15.6">
      <c r="B193" s="130" t="s">
        <v>496</v>
      </c>
      <c r="G193" s="151"/>
      <c r="H193" s="195">
        <f ca="1">+H194/2</f>
        <v>0.125</v>
      </c>
      <c r="I193" s="195">
        <f ca="1">+H193+1</f>
        <v>1.125</v>
      </c>
      <c r="J193" s="195">
        <f t="shared" ref="J193:Q193" ca="1" si="190">+I193+1</f>
        <v>2.125</v>
      </c>
      <c r="K193" s="195">
        <f ca="1">+J193+1</f>
        <v>3.125</v>
      </c>
      <c r="L193" s="195">
        <f t="shared" ca="1" si="190"/>
        <v>4.125</v>
      </c>
      <c r="M193" s="195">
        <f t="shared" ca="1" si="190"/>
        <v>5.125</v>
      </c>
      <c r="N193" s="195">
        <f t="shared" ca="1" si="190"/>
        <v>6.125</v>
      </c>
      <c r="O193" s="195">
        <f t="shared" ca="1" si="190"/>
        <v>7.125</v>
      </c>
      <c r="P193" s="195">
        <f t="shared" ca="1" si="190"/>
        <v>8.125</v>
      </c>
      <c r="Q193" s="195">
        <f t="shared" ca="1" si="190"/>
        <v>9.125</v>
      </c>
      <c r="R193" s="883">
        <f t="shared" ref="R193:AA193" ca="1" si="191">+Q193+1</f>
        <v>10.125</v>
      </c>
      <c r="S193" s="195">
        <f t="shared" ca="1" si="191"/>
        <v>11.125</v>
      </c>
      <c r="T193" s="195">
        <f t="shared" ca="1" si="191"/>
        <v>12.125</v>
      </c>
      <c r="U193" s="195">
        <f t="shared" ca="1" si="191"/>
        <v>13.125</v>
      </c>
      <c r="V193" s="195">
        <f t="shared" ca="1" si="191"/>
        <v>14.125</v>
      </c>
      <c r="W193" s="195">
        <f t="shared" ca="1" si="191"/>
        <v>15.125</v>
      </c>
      <c r="X193" s="195">
        <f t="shared" ca="1" si="191"/>
        <v>16.125</v>
      </c>
      <c r="Y193" s="195">
        <f t="shared" ca="1" si="191"/>
        <v>17.125</v>
      </c>
      <c r="Z193" s="195">
        <f t="shared" ca="1" si="191"/>
        <v>18.125</v>
      </c>
      <c r="AA193" s="195">
        <f t="shared" ca="1" si="191"/>
        <v>19.125</v>
      </c>
      <c r="AB193" s="131"/>
      <c r="AC193" s="131"/>
      <c r="AD193" s="131"/>
      <c r="AE193" s="131"/>
      <c r="AF193" s="131"/>
      <c r="AG193" s="131"/>
      <c r="AH193" s="131"/>
      <c r="AI193" s="131"/>
      <c r="AJ193" s="131"/>
    </row>
    <row r="194" spans="2:36" ht="15.6" hidden="1">
      <c r="B194" s="130" t="s">
        <v>497</v>
      </c>
      <c r="G194" s="151"/>
      <c r="H194" s="195">
        <f ca="1">YEARFRAC(P194,P195)</f>
        <v>0.25</v>
      </c>
      <c r="P194" s="196">
        <f ca="1">TODAY()</f>
        <v>45931</v>
      </c>
      <c r="R194" s="884"/>
      <c r="S194" s="131"/>
      <c r="T194" s="131"/>
      <c r="U194" s="131"/>
      <c r="V194" s="131"/>
      <c r="W194" s="131"/>
      <c r="X194" s="131"/>
      <c r="Y194" s="131"/>
      <c r="Z194" s="131"/>
      <c r="AA194" s="131"/>
      <c r="AB194" s="131"/>
      <c r="AC194" s="131"/>
      <c r="AD194" s="131"/>
      <c r="AE194" s="131"/>
      <c r="AF194" s="131"/>
      <c r="AG194" s="131"/>
      <c r="AH194" s="131"/>
      <c r="AI194" s="131"/>
      <c r="AJ194" s="131"/>
    </row>
    <row r="195" spans="2:36" s="131" customFormat="1" ht="3.75" customHeight="1">
      <c r="G195" s="197"/>
      <c r="P195" s="196">
        <v>46022</v>
      </c>
      <c r="R195" s="884"/>
    </row>
    <row r="196" spans="2:36" ht="15.6">
      <c r="B196" s="130" t="s">
        <v>498</v>
      </c>
      <c r="G196" s="151"/>
      <c r="K196" s="179"/>
      <c r="L196" s="198" t="str">
        <f ca="1">IFERROR((#REF!*(1+$C$13))/($C$12-$C$13),"")</f>
        <v/>
      </c>
      <c r="P196" s="199"/>
      <c r="Q196" s="179">
        <f>+C13*(Q33-Q36)</f>
        <v>7909.57930614615</v>
      </c>
      <c r="R196" s="884">
        <v>2025</v>
      </c>
      <c r="S196" s="61"/>
      <c r="T196" s="61"/>
      <c r="U196" s="61"/>
      <c r="V196" s="61"/>
      <c r="W196" s="61"/>
      <c r="X196" s="61"/>
      <c r="Y196" s="61"/>
      <c r="Z196" s="61"/>
      <c r="AA196" s="200">
        <f>+C13*(AA33-AA36)</f>
        <v>4134.4669667577427</v>
      </c>
      <c r="AB196" s="634"/>
      <c r="AC196" s="634"/>
      <c r="AD196" s="131"/>
      <c r="AE196" s="131"/>
      <c r="AF196" s="131"/>
      <c r="AG196" s="131"/>
      <c r="AH196" s="131"/>
      <c r="AI196" s="131"/>
      <c r="AJ196" s="131"/>
    </row>
    <row r="197" spans="2:36" ht="15.6">
      <c r="B197" s="130" t="s">
        <v>499</v>
      </c>
      <c r="G197" s="151"/>
      <c r="K197" s="171"/>
      <c r="L197" s="198" t="str">
        <f ca="1">IFERROR(L196/(1+$C$12)^#REF!,"")</f>
        <v/>
      </c>
      <c r="Q197" s="171">
        <f ca="1">+Q196/(1+WACC!G27)^Q193</f>
        <v>2596.7878599100304</v>
      </c>
      <c r="R197" s="885" t="s">
        <v>500</v>
      </c>
      <c r="S197" s="131" t="s">
        <v>501</v>
      </c>
      <c r="T197" s="131"/>
      <c r="U197" s="131"/>
      <c r="V197" s="131"/>
      <c r="W197" s="131"/>
      <c r="X197" s="131"/>
      <c r="Y197" s="131"/>
      <c r="Z197" s="131"/>
      <c r="AA197" s="171">
        <f ca="1">+AA196/(1+WACC!Q27)^AA193</f>
        <v>4134.4669667577427</v>
      </c>
      <c r="AB197" s="138"/>
      <c r="AC197" s="138"/>
      <c r="AD197" s="131"/>
      <c r="AE197" s="131"/>
      <c r="AF197" s="131"/>
      <c r="AG197" s="131"/>
      <c r="AH197" s="131"/>
      <c r="AI197" s="131"/>
      <c r="AJ197" s="131"/>
    </row>
    <row r="198" spans="2:36" ht="15.6">
      <c r="B198" s="130" t="s">
        <v>502</v>
      </c>
      <c r="G198" s="151"/>
      <c r="K198" s="171"/>
      <c r="L198" s="201"/>
      <c r="Q198" s="171">
        <f ca="1">+SUM(H191:Q191,Q197)</f>
        <v>259.6517212820886</v>
      </c>
      <c r="R198" s="885">
        <f ca="1">+SUM(AA191:AJ191,R197)</f>
        <v>-2163.8318586774449</v>
      </c>
      <c r="S198" s="131">
        <f ca="1">+SUM(S197,AB190:AJ190)</f>
        <v>-2278.1573416909646</v>
      </c>
      <c r="T198" s="131"/>
      <c r="U198" s="131"/>
      <c r="V198" s="131"/>
      <c r="W198" s="131"/>
      <c r="X198" s="131"/>
      <c r="Y198" s="131"/>
      <c r="Z198" s="131"/>
      <c r="AA198" s="171">
        <f ca="1">+SUM(R191:AA191,AA197)</f>
        <v>2394.9934801359018</v>
      </c>
      <c r="AB198" s="138"/>
      <c r="AC198" s="138"/>
      <c r="AD198" s="131"/>
      <c r="AE198" s="131"/>
      <c r="AF198" s="131"/>
      <c r="AG198" s="131"/>
      <c r="AH198" s="131"/>
      <c r="AI198" s="131"/>
      <c r="AJ198" s="131"/>
    </row>
    <row r="199" spans="2:36" ht="15.6">
      <c r="B199" s="130" t="s">
        <v>503</v>
      </c>
      <c r="G199" s="151"/>
      <c r="K199" s="843"/>
      <c r="L199" s="201"/>
      <c r="Q199" s="329">
        <f>+G85</f>
        <v>418.9</v>
      </c>
      <c r="R199" s="885">
        <f>+H85</f>
        <v>-348.54246775526201</v>
      </c>
      <c r="S199" s="694">
        <f>+I85</f>
        <v>-819.64739434101875</v>
      </c>
      <c r="T199" s="694"/>
      <c r="U199" s="694"/>
      <c r="V199" s="694"/>
      <c r="W199" s="694"/>
      <c r="X199" s="694"/>
      <c r="Y199" s="694"/>
      <c r="Z199" s="694"/>
      <c r="AA199" s="329">
        <f>+G85</f>
        <v>418.9</v>
      </c>
      <c r="AB199" s="135"/>
      <c r="AC199" s="135"/>
      <c r="AD199" s="131"/>
      <c r="AE199" s="131"/>
      <c r="AF199" s="131"/>
      <c r="AG199" s="131"/>
      <c r="AH199" s="131"/>
      <c r="AI199" s="131"/>
      <c r="AJ199" s="131"/>
    </row>
    <row r="200" spans="2:36" ht="15.6">
      <c r="B200" s="130" t="s">
        <v>504</v>
      </c>
      <c r="G200" s="151"/>
      <c r="K200" s="843"/>
      <c r="L200" s="201"/>
      <c r="Q200" s="329">
        <v>0</v>
      </c>
      <c r="R200" s="885">
        <f>+Q200</f>
        <v>0</v>
      </c>
      <c r="S200" s="694">
        <f>+Q200</f>
        <v>0</v>
      </c>
      <c r="T200" s="694"/>
      <c r="U200" s="694"/>
      <c r="V200" s="694"/>
      <c r="W200" s="694"/>
      <c r="X200" s="694"/>
      <c r="Y200" s="694"/>
      <c r="Z200" s="694"/>
      <c r="AA200" s="329">
        <v>0</v>
      </c>
      <c r="AB200" s="135"/>
      <c r="AC200" s="135"/>
      <c r="AD200" s="131"/>
      <c r="AE200" s="131"/>
      <c r="AF200" s="131"/>
      <c r="AG200" s="131"/>
      <c r="AH200" s="131"/>
      <c r="AI200" s="131"/>
      <c r="AJ200" s="131"/>
    </row>
    <row r="201" spans="2:36" ht="15.6">
      <c r="B201" s="130" t="s">
        <v>505</v>
      </c>
      <c r="G201" s="151"/>
      <c r="K201" s="843"/>
      <c r="M201" s="202"/>
      <c r="Q201" s="329">
        <v>0</v>
      </c>
      <c r="R201" s="885">
        <f>+Q201</f>
        <v>0</v>
      </c>
      <c r="S201" s="694">
        <f>+Q201</f>
        <v>0</v>
      </c>
      <c r="T201" s="694"/>
      <c r="U201" s="694"/>
      <c r="V201" s="694"/>
      <c r="W201" s="694"/>
      <c r="X201" s="694"/>
      <c r="Y201" s="694"/>
      <c r="Z201" s="694"/>
      <c r="AA201" s="329">
        <v>0</v>
      </c>
      <c r="AB201" s="135"/>
      <c r="AC201" s="135"/>
      <c r="AD201" s="131"/>
      <c r="AE201" s="131"/>
      <c r="AF201" s="131"/>
      <c r="AG201" s="131"/>
      <c r="AH201" s="131"/>
      <c r="AI201" s="131"/>
      <c r="AJ201" s="131"/>
    </row>
    <row r="202" spans="2:36" ht="15.6">
      <c r="B202" s="130" t="s">
        <v>506</v>
      </c>
      <c r="G202" s="151"/>
      <c r="K202" s="843"/>
      <c r="Q202" s="329">
        <f>+WACC!G18</f>
        <v>459.59999999999997</v>
      </c>
      <c r="R202" s="885">
        <f>+H113</f>
        <v>0</v>
      </c>
      <c r="S202" s="694">
        <f>+I113</f>
        <v>0</v>
      </c>
      <c r="T202" s="694"/>
      <c r="U202" s="694"/>
      <c r="V202" s="694"/>
      <c r="W202" s="694"/>
      <c r="X202" s="694"/>
      <c r="Y202" s="694"/>
      <c r="Z202" s="694"/>
      <c r="AA202" s="329">
        <f>+WACC!G18</f>
        <v>459.59999999999997</v>
      </c>
      <c r="AB202" s="135"/>
      <c r="AC202" s="135"/>
      <c r="AD202" s="131"/>
      <c r="AE202" s="131"/>
      <c r="AF202" s="131"/>
      <c r="AG202" s="131"/>
      <c r="AH202" s="131"/>
      <c r="AI202" s="131"/>
      <c r="AJ202" s="131"/>
    </row>
    <row r="203" spans="2:36" ht="15.6">
      <c r="B203" s="130" t="s">
        <v>229</v>
      </c>
      <c r="G203" s="151"/>
      <c r="K203" s="171"/>
      <c r="Q203" s="171">
        <f ca="1">Q198+Q199-Q200-Q201-Q202</f>
        <v>218.95172128208861</v>
      </c>
      <c r="R203" s="885">
        <f ca="1">R198+R199-R200-R201-R202</f>
        <v>-2512.3743264327068</v>
      </c>
      <c r="S203" s="694">
        <f ca="1">S198+S199-S200-S201-S202</f>
        <v>-3097.8047360319833</v>
      </c>
      <c r="T203" s="694"/>
      <c r="U203" s="694"/>
      <c r="V203" s="694"/>
      <c r="W203" s="694"/>
      <c r="X203" s="694"/>
      <c r="Y203" s="694"/>
      <c r="Z203" s="694"/>
      <c r="AA203" s="171">
        <f ca="1">AA198+AA199-AA200-AA201-AA202</f>
        <v>2354.293480135902</v>
      </c>
      <c r="AB203" s="135"/>
      <c r="AC203" s="135"/>
      <c r="AD203" s="131"/>
      <c r="AE203" s="131"/>
      <c r="AF203" s="131"/>
      <c r="AG203" s="131"/>
      <c r="AH203" s="131"/>
      <c r="AI203" s="131"/>
      <c r="AJ203" s="131"/>
    </row>
    <row r="204" spans="2:36" ht="3.75" customHeight="1">
      <c r="G204" s="151"/>
      <c r="K204" s="203"/>
      <c r="Q204" s="203"/>
      <c r="R204" s="853"/>
      <c r="S204" s="135"/>
      <c r="T204" s="135"/>
      <c r="U204" s="135"/>
      <c r="V204" s="135"/>
      <c r="W204" s="135"/>
      <c r="X204" s="135"/>
      <c r="Y204" s="135"/>
      <c r="Z204" s="135"/>
      <c r="AA204" s="203"/>
      <c r="AB204" s="135"/>
      <c r="AC204" s="135"/>
      <c r="AD204" s="131"/>
      <c r="AE204" s="131"/>
      <c r="AF204" s="131"/>
      <c r="AG204" s="131"/>
      <c r="AH204" s="131"/>
      <c r="AI204" s="131"/>
      <c r="AJ204" s="131"/>
    </row>
    <row r="205" spans="2:36" ht="15.6">
      <c r="B205" s="130" t="s">
        <v>507</v>
      </c>
      <c r="G205" s="151"/>
      <c r="K205" s="200" t="str" cm="1">
        <f t="array" ref="K205">IFERROR(_FV(L4,"Shares outstanding",TRUE)/1000000,"")</f>
        <v/>
      </c>
      <c r="O205" s="155"/>
      <c r="Q205" s="200" cm="1">
        <f t="array" aca="1" ref="Q205" ca="1">IFERROR(_FV(R4,"Shares outstanding",TRUE)/1000000,"")</f>
        <v>483.96069999999997</v>
      </c>
      <c r="R205" s="853"/>
      <c r="S205" s="135"/>
      <c r="T205" s="135"/>
      <c r="U205" s="135"/>
      <c r="V205" s="135"/>
      <c r="W205" s="135"/>
      <c r="X205" s="135"/>
      <c r="Y205" s="135"/>
      <c r="Z205" s="135"/>
      <c r="AA205" s="200" cm="1">
        <f t="array" aca="1" ref="AA205" ca="1">IFERROR(_FV(R4,"Shares outstanding",TRUE)/1000000,"")</f>
        <v>483.96069999999997</v>
      </c>
      <c r="AB205" s="135"/>
      <c r="AC205" s="135"/>
      <c r="AD205" s="131"/>
      <c r="AE205" s="131"/>
      <c r="AF205" s="131"/>
      <c r="AG205" s="131"/>
      <c r="AH205" s="131"/>
      <c r="AI205" s="131"/>
      <c r="AJ205" s="131"/>
    </row>
    <row r="206" spans="2:36" ht="15.6">
      <c r="B206" s="152" t="s">
        <v>508</v>
      </c>
      <c r="G206" s="151"/>
      <c r="K206" s="205" t="str">
        <f>IFERROR(K203/K$205,"")</f>
        <v/>
      </c>
      <c r="N206" s="204"/>
      <c r="Q206" s="205">
        <f ca="1">Q203/Q205</f>
        <v>0.45241632488358791</v>
      </c>
      <c r="R206" s="853"/>
      <c r="S206" s="135"/>
      <c r="T206" s="135"/>
      <c r="U206" s="135"/>
      <c r="V206" s="135"/>
      <c r="W206" s="135"/>
      <c r="X206" s="135"/>
      <c r="Y206" s="135"/>
      <c r="Z206" s="135"/>
      <c r="AA206" s="205">
        <f ca="1">AA203/AA205</f>
        <v>4.8646377280963149</v>
      </c>
      <c r="AB206" s="135"/>
      <c r="AC206" s="135"/>
      <c r="AD206" s="131"/>
      <c r="AE206" s="131"/>
      <c r="AF206" s="131"/>
      <c r="AG206" s="131"/>
      <c r="AH206" s="131"/>
      <c r="AI206" s="131"/>
      <c r="AJ206" s="131"/>
    </row>
    <row r="207" spans="2:36" ht="3.75" customHeight="1">
      <c r="G207" s="151"/>
      <c r="R207" s="853"/>
      <c r="S207" s="135"/>
      <c r="T207" s="135"/>
      <c r="U207" s="135"/>
      <c r="V207" s="135"/>
      <c r="W207" s="135"/>
      <c r="X207" s="135"/>
      <c r="Y207" s="135"/>
      <c r="Z207" s="135"/>
      <c r="AB207" s="135"/>
      <c r="AC207" s="135"/>
      <c r="AD207" s="131"/>
      <c r="AE207" s="131"/>
      <c r="AF207" s="131"/>
      <c r="AG207" s="131"/>
      <c r="AH207" s="131"/>
      <c r="AI207" s="131"/>
      <c r="AJ207" s="131"/>
    </row>
    <row r="208" spans="2:36" ht="15.6">
      <c r="B208" s="130" t="s">
        <v>509</v>
      </c>
      <c r="G208" s="151"/>
      <c r="K208" s="205" t="str" cm="1">
        <f t="array" ref="K208">IFERROR(_FV(L4,"Price"),"")</f>
        <v/>
      </c>
      <c r="Q208" s="205" cm="1">
        <f t="array" aca="1" ref="Q208" ca="1">IFERROR(_FV(R4,"Price"),"")</f>
        <v>48.548000000000002</v>
      </c>
      <c r="R208" s="884"/>
      <c r="S208" s="131"/>
      <c r="T208" s="131"/>
      <c r="U208" s="131"/>
      <c r="V208" s="131"/>
      <c r="W208" s="131"/>
      <c r="X208" s="131"/>
      <c r="Y208" s="131"/>
      <c r="Z208" s="131"/>
      <c r="AA208" s="205" cm="1">
        <f t="array" aca="1" ref="AA208" ca="1">IFERROR(_FV(R4,"Price"),"")</f>
        <v>48.548000000000002</v>
      </c>
      <c r="AB208" s="131"/>
      <c r="AC208" s="131"/>
      <c r="AD208" s="131"/>
      <c r="AE208" s="131"/>
      <c r="AF208" s="131"/>
      <c r="AG208" s="131"/>
      <c r="AH208" s="131"/>
      <c r="AI208" s="131"/>
      <c r="AJ208" s="131"/>
    </row>
    <row r="209" spans="1:36" ht="15.6">
      <c r="B209" s="152" t="s">
        <v>510</v>
      </c>
      <c r="C209" s="152"/>
      <c r="D209" s="152"/>
      <c r="E209" s="152"/>
      <c r="F209" s="152"/>
      <c r="G209" s="206"/>
      <c r="H209" s="152"/>
      <c r="I209" s="152"/>
      <c r="J209" s="152"/>
      <c r="K209" s="207" t="str">
        <f>IFERROR(K206/K208-1,"")</f>
        <v/>
      </c>
      <c r="L209" s="152"/>
      <c r="M209" s="152"/>
      <c r="N209" s="152"/>
      <c r="O209" s="152"/>
      <c r="P209" s="152"/>
      <c r="Q209" s="207">
        <f ca="1">IFERROR(Q206/Q208-1,"")</f>
        <v>-0.9906810512300489</v>
      </c>
      <c r="R209" s="884"/>
      <c r="S209" s="131"/>
      <c r="T209" s="131"/>
      <c r="U209" s="131"/>
      <c r="V209" s="131"/>
      <c r="W209" s="131"/>
      <c r="X209" s="131"/>
      <c r="Y209" s="131"/>
      <c r="Z209" s="131"/>
      <c r="AA209" s="207">
        <f ca="1">IFERROR(AA206/AA208-1,"")</f>
        <v>-0.89979736079557726</v>
      </c>
      <c r="AB209" s="131"/>
      <c r="AC209" s="131"/>
      <c r="AD209" s="131"/>
      <c r="AE209" s="131"/>
      <c r="AF209" s="131"/>
      <c r="AG209" s="131"/>
      <c r="AH209" s="131"/>
      <c r="AI209" s="131"/>
      <c r="AJ209" s="131"/>
    </row>
    <row r="210" spans="1:36" ht="5.25" customHeight="1">
      <c r="B210" s="152"/>
      <c r="C210" s="152"/>
      <c r="D210" s="152"/>
      <c r="E210" s="152"/>
      <c r="F210" s="152"/>
      <c r="G210" s="206"/>
      <c r="H210" s="152"/>
      <c r="I210" s="152"/>
      <c r="J210" s="152"/>
      <c r="K210" s="152"/>
      <c r="L210" s="152"/>
      <c r="M210" s="152"/>
      <c r="N210" s="152"/>
      <c r="O210" s="152"/>
      <c r="P210" s="152"/>
      <c r="Q210" s="207"/>
      <c r="R210" s="884"/>
      <c r="S210" s="131"/>
      <c r="T210" s="131"/>
      <c r="U210" s="131"/>
      <c r="V210" s="131"/>
      <c r="W210" s="131"/>
      <c r="X210" s="131"/>
      <c r="Y210" s="131"/>
      <c r="Z210" s="131"/>
      <c r="AA210" s="131"/>
      <c r="AB210" s="131"/>
      <c r="AC210" s="131"/>
      <c r="AD210" s="131"/>
      <c r="AE210" s="131"/>
      <c r="AF210" s="131"/>
      <c r="AG210" s="131"/>
      <c r="AH210" s="131"/>
      <c r="AI210" s="131"/>
      <c r="AJ210" s="131"/>
    </row>
    <row r="211" spans="1:36" ht="15.6">
      <c r="A211" s="130" t="s">
        <v>405</v>
      </c>
      <c r="B211" s="52" t="s">
        <v>511</v>
      </c>
      <c r="C211" s="52"/>
      <c r="D211" s="52"/>
      <c r="E211" s="141">
        <f>E166</f>
        <v>2022</v>
      </c>
      <c r="F211" s="141">
        <f t="shared" ref="F211:Q211" si="192">F166</f>
        <v>2023</v>
      </c>
      <c r="G211" s="141">
        <f t="shared" si="192"/>
        <v>2024</v>
      </c>
      <c r="H211" s="141">
        <f t="shared" si="192"/>
        <v>2025</v>
      </c>
      <c r="I211" s="141">
        <f t="shared" si="192"/>
        <v>2026</v>
      </c>
      <c r="J211" s="141">
        <f t="shared" si="192"/>
        <v>2027</v>
      </c>
      <c r="K211" s="141">
        <f t="shared" si="192"/>
        <v>2028</v>
      </c>
      <c r="L211" s="141">
        <f t="shared" si="192"/>
        <v>2029</v>
      </c>
      <c r="M211" s="141">
        <f t="shared" si="192"/>
        <v>2030</v>
      </c>
      <c r="N211" s="141">
        <f t="shared" si="192"/>
        <v>2031</v>
      </c>
      <c r="O211" s="141">
        <f t="shared" si="192"/>
        <v>2032</v>
      </c>
      <c r="P211" s="141">
        <f t="shared" si="192"/>
        <v>2033</v>
      </c>
      <c r="Q211" s="141">
        <f t="shared" si="192"/>
        <v>2034</v>
      </c>
      <c r="R211" s="852">
        <f t="shared" ref="R211:AA211" si="193">+Q211+1</f>
        <v>2035</v>
      </c>
      <c r="S211" s="104">
        <f t="shared" si="193"/>
        <v>2036</v>
      </c>
      <c r="T211" s="104">
        <f t="shared" si="193"/>
        <v>2037</v>
      </c>
      <c r="U211" s="104">
        <f t="shared" si="193"/>
        <v>2038</v>
      </c>
      <c r="V211" s="104">
        <f t="shared" si="193"/>
        <v>2039</v>
      </c>
      <c r="W211" s="104">
        <f t="shared" si="193"/>
        <v>2040</v>
      </c>
      <c r="X211" s="104">
        <f t="shared" si="193"/>
        <v>2041</v>
      </c>
      <c r="Y211" s="104">
        <f t="shared" si="193"/>
        <v>2042</v>
      </c>
      <c r="Z211" s="104">
        <f t="shared" si="193"/>
        <v>2043</v>
      </c>
      <c r="AA211" s="104">
        <f t="shared" si="193"/>
        <v>2044</v>
      </c>
      <c r="AB211" s="131"/>
      <c r="AC211" s="131"/>
      <c r="AD211" s="131"/>
      <c r="AE211" s="131"/>
      <c r="AF211" s="131"/>
      <c r="AG211" s="131"/>
      <c r="AH211" s="131"/>
      <c r="AI211" s="131"/>
      <c r="AJ211" s="131"/>
    </row>
    <row r="212" spans="1:36" ht="3.75" customHeight="1">
      <c r="B212" s="53"/>
      <c r="C212" s="53"/>
      <c r="D212" s="53"/>
      <c r="E212" s="53"/>
      <c r="F212" s="53"/>
      <c r="G212" s="168"/>
      <c r="H212" s="53"/>
      <c r="I212" s="53"/>
      <c r="J212" s="53"/>
      <c r="K212" s="53"/>
      <c r="L212" s="53"/>
      <c r="M212" s="53"/>
      <c r="N212" s="53"/>
      <c r="O212" s="53"/>
      <c r="P212" s="53"/>
      <c r="Q212" s="53"/>
      <c r="R212" s="884"/>
      <c r="S212" s="131"/>
      <c r="T212" s="131"/>
      <c r="U212" s="131"/>
      <c r="V212" s="131"/>
      <c r="W212" s="131"/>
      <c r="X212" s="131"/>
      <c r="Y212" s="131"/>
      <c r="Z212" s="131"/>
      <c r="AA212" s="131"/>
      <c r="AB212" s="131"/>
      <c r="AC212" s="131"/>
      <c r="AD212" s="131"/>
      <c r="AE212" s="131"/>
      <c r="AF212" s="131"/>
      <c r="AG212" s="131"/>
      <c r="AH212" s="131"/>
      <c r="AI212" s="131"/>
      <c r="AJ212" s="131"/>
    </row>
    <row r="213" spans="1:36" ht="15.6">
      <c r="B213" s="186" t="s">
        <v>512</v>
      </c>
      <c r="C213" s="187"/>
      <c r="D213" s="187"/>
      <c r="E213" s="188"/>
      <c r="F213" s="188"/>
      <c r="G213" s="189"/>
      <c r="H213" s="188">
        <f ca="1">IFERROR(H190/(1+WACC!$G$16)^H193,"")</f>
        <v>-301.99422134571569</v>
      </c>
      <c r="I213" s="188">
        <f ca="1">IFERROR(I190/(1+WACC!$G$16)^I193,"")</f>
        <v>-250.58253201385889</v>
      </c>
      <c r="J213" s="188">
        <f ca="1">IFERROR(J190/(1+WACC!$G$16)^J193,"")</f>
        <v>-244.81799912013429</v>
      </c>
      <c r="K213" s="188">
        <f ca="1">IFERROR(K190/(1+WACC!$G$16)^K193,"")</f>
        <v>-252.65763446327884</v>
      </c>
      <c r="L213" s="188">
        <f ca="1">IFERROR(L190/(1+WACC!$G$16)^L193,"")</f>
        <v>-240.15225339976374</v>
      </c>
      <c r="M213" s="188">
        <f ca="1">IFERROR(M190/(1+WACC!$G$16)^M193,"")</f>
        <v>-233.68758044057188</v>
      </c>
      <c r="N213" s="188">
        <f ca="1">IFERROR(N190/(1+WACC!$G$16)^N193,"")</f>
        <v>-224.76929678439464</v>
      </c>
      <c r="O213" s="188">
        <f ca="1">IFERROR(O190/(1+WACC!$G$16)^O193,"")</f>
        <v>-211.0588107878404</v>
      </c>
      <c r="P213" s="188">
        <f ca="1">IFERROR(P190/(1+WACC!$G$16)^P193,"")</f>
        <v>-195.4203003430805</v>
      </c>
      <c r="Q213" s="188">
        <f ca="1">IFERROR(Q190/(1+WACC!$G$16)^Q193,"")</f>
        <v>-167.07474597240261</v>
      </c>
      <c r="R213" s="870">
        <f ca="1">IFERROR(R190/(1+WACC!$G$16)^R193,"")</f>
        <v>-178.9094860258958</v>
      </c>
      <c r="S213" s="632">
        <f ca="1">IFERROR(S190/(1+WACC!$G$16)^S193,"")</f>
        <v>-182.48254338992825</v>
      </c>
      <c r="T213" s="632">
        <f ca="1">IFERROR(T190/(1+WACC!$G$16)^T193,"")</f>
        <v>-183.39261982675529</v>
      </c>
      <c r="U213" s="632">
        <f ca="1">IFERROR(U190/(1+WACC!$G$16)^U193,"")</f>
        <v>-181.97975315827009</v>
      </c>
      <c r="V213" s="632">
        <f ca="1">IFERROR(V190/(1+WACC!$G$16)^V193,"")</f>
        <v>-178.62059141933312</v>
      </c>
      <c r="W213" s="632">
        <f ca="1">IFERROR(W190/(1+WACC!$G$16)^W193,"")</f>
        <v>-173.61833446522812</v>
      </c>
      <c r="X213" s="632">
        <f ca="1">IFERROR(X190/(1+WACC!$G$16)^X193,"")</f>
        <v>-167.30666471489599</v>
      </c>
      <c r="Y213" s="632">
        <f ca="1">IFERROR(Y190/(1+WACC!$G$16)^Y193,"")</f>
        <v>-160.00505865796887</v>
      </c>
      <c r="Z213" s="632">
        <f ca="1">IFERROR(Z190/(1+WACC!$G$16)^Z193,"")</f>
        <v>-152.00437082713211</v>
      </c>
      <c r="AA213" s="632">
        <f ca="1">IFERROR(AA190/(1+WACC!$G$16)^AA193,"")</f>
        <v>-143.57754545727343</v>
      </c>
      <c r="AB213" s="131"/>
      <c r="AC213" s="131"/>
      <c r="AD213" s="131"/>
      <c r="AE213" s="131"/>
      <c r="AF213" s="131"/>
      <c r="AG213" s="131"/>
      <c r="AH213" s="131"/>
      <c r="AI213" s="131"/>
      <c r="AJ213" s="131"/>
    </row>
    <row r="214" spans="1:36" ht="15.6">
      <c r="B214" s="190" t="s">
        <v>513</v>
      </c>
      <c r="C214" s="191"/>
      <c r="D214" s="191"/>
      <c r="E214" s="191"/>
      <c r="F214" s="191"/>
      <c r="G214" s="192"/>
      <c r="H214" s="193">
        <f ca="1">IFERROR((H62*H76)/(1+WACC!$G$20)^H193,"")</f>
        <v>0</v>
      </c>
      <c r="I214" s="193">
        <f ca="1">IFERROR((I62*I76)/(1+WACC!$G$20)^I193,"")</f>
        <v>0</v>
      </c>
      <c r="J214" s="193">
        <f ca="1">IFERROR((J62*J76)/(1+WACC!$G$20)^J193,"")</f>
        <v>0</v>
      </c>
      <c r="K214" s="193">
        <f ca="1">IFERROR((K62*K76)/(1+WACC!$G$20)^K193,"")</f>
        <v>0</v>
      </c>
      <c r="L214" s="193">
        <f ca="1">IFERROR((L62*L76)/(1+WACC!$G$20)^L193,"")</f>
        <v>0</v>
      </c>
      <c r="M214" s="193">
        <f ca="1">IFERROR((M62*M76)/(1+WACC!$G$20)^M193,"")</f>
        <v>0</v>
      </c>
      <c r="N214" s="193">
        <f ca="1">IFERROR((N62*N76)/(1+WACC!$G$20)^N193,"")</f>
        <v>0</v>
      </c>
      <c r="O214" s="193">
        <f ca="1">IFERROR((O62*O76)/(1+WACC!$G$20)^O193,"")</f>
        <v>0</v>
      </c>
      <c r="P214" s="193">
        <f ca="1">IFERROR((P62*P76)/(1+WACC!$G$20)^P193,"")</f>
        <v>0</v>
      </c>
      <c r="Q214" s="193">
        <f ca="1">IFERROR((Q62*Q76)/(1+WACC!$G$20)^Q193,"")</f>
        <v>0</v>
      </c>
      <c r="R214" s="870">
        <f ca="1">IFERROR((R62*R76)/(1+WACC!$G$20)^R193,"")</f>
        <v>0</v>
      </c>
      <c r="S214" s="633">
        <f ca="1">IFERROR((S62*S76)/(1+WACC!$G$20)^S193,"")</f>
        <v>0</v>
      </c>
      <c r="T214" s="633">
        <f ca="1">IFERROR((T62*T76)/(1+WACC!$G$20)^T193,"")</f>
        <v>0</v>
      </c>
      <c r="U214" s="633">
        <f ca="1">IFERROR((U62*U76)/(1+WACC!$G$20)^U193,"")</f>
        <v>0</v>
      </c>
      <c r="V214" s="633">
        <f ca="1">IFERROR((V62*V76)/(1+WACC!$G$20)^V193,"")</f>
        <v>0</v>
      </c>
      <c r="W214" s="633">
        <f ca="1">IFERROR((W62*W76)/(1+WACC!$G$20)^W193,"")</f>
        <v>0</v>
      </c>
      <c r="X214" s="633">
        <f ca="1">IFERROR((X62*X76)/(1+WACC!$G$20)^X193,"")</f>
        <v>0</v>
      </c>
      <c r="Y214" s="633">
        <f ca="1">IFERROR((Y62*Y76)/(1+WACC!$G$20)^Y193,"")</f>
        <v>0</v>
      </c>
      <c r="Z214" s="633">
        <f ca="1">IFERROR((Z62*Z76)/(1+WACC!$G$20)^Z193,"")</f>
        <v>0</v>
      </c>
      <c r="AA214" s="633">
        <f ca="1">IFERROR((AA62*AA76)/(1+WACC!$G$20)^AA193,"")</f>
        <v>0</v>
      </c>
      <c r="AB214" s="131"/>
      <c r="AC214" s="131"/>
      <c r="AD214" s="131"/>
      <c r="AE214" s="131"/>
      <c r="AF214" s="131"/>
      <c r="AG214" s="131"/>
      <c r="AH214" s="131"/>
      <c r="AI214" s="131"/>
      <c r="AJ214" s="131"/>
    </row>
    <row r="215" spans="1:36" ht="3.75" customHeight="1">
      <c r="B215" s="152"/>
      <c r="C215" s="152"/>
      <c r="D215" s="152"/>
      <c r="E215" s="152"/>
      <c r="F215" s="152"/>
      <c r="G215" s="206"/>
      <c r="H215" s="152"/>
      <c r="I215" s="152"/>
      <c r="J215" s="152"/>
      <c r="K215" s="152"/>
      <c r="L215" s="152"/>
      <c r="M215" s="152"/>
      <c r="N215" s="152"/>
      <c r="O215" s="152"/>
      <c r="P215" s="152"/>
      <c r="Q215" s="207"/>
      <c r="R215" s="886"/>
      <c r="S215" s="207"/>
      <c r="T215" s="207"/>
      <c r="U215" s="207"/>
      <c r="V215" s="207"/>
      <c r="W215" s="207"/>
      <c r="X215" s="207"/>
      <c r="Y215" s="207"/>
      <c r="Z215" s="207"/>
      <c r="AA215" s="207"/>
      <c r="AB215" s="131"/>
      <c r="AC215" s="131"/>
      <c r="AD215" s="131"/>
      <c r="AE215" s="131"/>
      <c r="AF215" s="131"/>
      <c r="AG215" s="131"/>
      <c r="AH215" s="131"/>
      <c r="AI215" s="131"/>
      <c r="AJ215" s="131"/>
    </row>
    <row r="216" spans="1:36" ht="15.6">
      <c r="B216" s="130" t="s">
        <v>514</v>
      </c>
      <c r="C216" s="152"/>
      <c r="D216" s="152"/>
      <c r="E216" s="152"/>
      <c r="F216" s="152"/>
      <c r="G216" s="206"/>
      <c r="H216" s="152"/>
      <c r="I216" s="152"/>
      <c r="J216" s="152"/>
      <c r="K216" s="152"/>
      <c r="L216" s="152"/>
      <c r="M216" s="152"/>
      <c r="N216" s="152"/>
      <c r="O216" s="152"/>
      <c r="P216" s="152"/>
      <c r="Q216" s="171">
        <f ca="1">IFERROR((Q190*(1+$C$13))/(WACC!$G$16-DCF!$C$13),"")</f>
        <v>551.42058048691342</v>
      </c>
      <c r="R216" s="870">
        <f ca="1">IFERROR((R190*(1+$C$13))/(WACC!$G$16-DCF!$C$13),"")</f>
        <v>668.26432059889544</v>
      </c>
      <c r="S216" s="171">
        <f ca="1">IFERROR((S190*(1+$C$13))/(WACC!$G$16-DCF!$C$13),"")</f>
        <v>771.39883057502016</v>
      </c>
      <c r="T216" s="171">
        <f ca="1">IFERROR((T190*(1+$C$13))/(WACC!$G$16-DCF!$C$13),"")</f>
        <v>877.3689282478465</v>
      </c>
      <c r="U216" s="171">
        <f ca="1">IFERROR((U190*(1+$C$13))/(WACC!$G$16-DCF!$C$13),"")</f>
        <v>985.29484708235304</v>
      </c>
      <c r="V216" s="171">
        <f ca="1">IFERROR((V190*(1+$C$13))/(WACC!$G$16-DCF!$C$13),"")</f>
        <v>1094.5041370566028</v>
      </c>
      <c r="W216" s="171">
        <f ca="1">IFERROR((W190*(1+$C$13))/(WACC!$G$16-DCF!$C$13),"")</f>
        <v>1203.9937007864567</v>
      </c>
      <c r="X216" s="171">
        <f ca="1">IFERROR((X190*(1+$C$13))/(WACC!$G$16-DCF!$C$13),"")</f>
        <v>1313.0601319597299</v>
      </c>
      <c r="Y216" s="171">
        <f ca="1">IFERROR((Y190*(1+$C$13))/(WACC!$G$16-DCF!$C$13),"")</f>
        <v>1421.1758912930297</v>
      </c>
      <c r="Z216" s="171">
        <f ca="1">IFERROR((Z190*(1+$C$13))/(WACC!$G$16-DCF!$C$13),"")</f>
        <v>1527.9633554566099</v>
      </c>
      <c r="AA216" s="171">
        <f ca="1">IFERROR((AA190*(1+$C$13))/(WACC!$G$16-DCF!$C$13),"")</f>
        <v>1633.3758565964774</v>
      </c>
      <c r="AB216" s="131"/>
      <c r="AC216" s="131"/>
      <c r="AD216" s="131"/>
      <c r="AE216" s="131"/>
      <c r="AF216" s="131"/>
      <c r="AG216" s="131"/>
      <c r="AH216" s="131"/>
      <c r="AI216" s="131"/>
      <c r="AJ216" s="131"/>
    </row>
    <row r="217" spans="1:36" ht="15.6">
      <c r="B217" s="130" t="s">
        <v>515</v>
      </c>
      <c r="C217" s="152"/>
      <c r="D217" s="152"/>
      <c r="E217" s="152"/>
      <c r="F217" s="152"/>
      <c r="G217" s="206"/>
      <c r="H217" s="152"/>
      <c r="I217" s="152"/>
      <c r="J217" s="152"/>
      <c r="K217" s="152"/>
      <c r="L217" s="152"/>
      <c r="M217" s="152"/>
      <c r="N217" s="152"/>
      <c r="O217" s="152"/>
      <c r="P217" s="152"/>
      <c r="Q217" s="171">
        <f ca="1">IFERROR(Q216/(1+WACC!$G$16)^$Q$193,"")</f>
        <v>178.27088763377731</v>
      </c>
      <c r="R217" s="870">
        <f ca="1">IFERROR(R216/(1+WACC!$G$16)^$Q$193,"")</f>
        <v>216.04575132461076</v>
      </c>
      <c r="S217" s="171">
        <f ca="1">IFERROR(S216/(1+WACC!$G$16)^$Q$193,"")</f>
        <v>249.38850509503294</v>
      </c>
      <c r="T217" s="171">
        <f ca="1">IFERROR(T216/(1+WACC!$G$16)^$Q$193,"")</f>
        <v>283.64798695566901</v>
      </c>
      <c r="U217" s="171">
        <f ca="1">IFERROR(U216/(1+WACC!$G$16)^$Q$193,"")</f>
        <v>318.53977378801613</v>
      </c>
      <c r="V217" s="171">
        <f ca="1">IFERROR(V216/(1+WACC!$G$16)^$Q$193,"")</f>
        <v>353.84646662920966</v>
      </c>
      <c r="W217" s="171">
        <f ca="1">IFERROR(W216/(1+WACC!$G$16)^$Q$193,"")</f>
        <v>389.24377025454885</v>
      </c>
      <c r="X217" s="171">
        <f ca="1">IFERROR(X216/(1+WACC!$G$16)^$Q$193,"")</f>
        <v>424.5042777226214</v>
      </c>
      <c r="Y217" s="171">
        <f ca="1">IFERROR(Y216/(1+WACC!$G$16)^$Q$193,"")</f>
        <v>459.45743882249917</v>
      </c>
      <c r="Z217" s="171">
        <f ca="1">IFERROR(Z216/(1+WACC!$G$16)^$Q$193,"")</f>
        <v>493.98117025049834</v>
      </c>
      <c r="AA217" s="171">
        <f ca="1">IFERROR(AA216/(1+WACC!$G$16)^$Q$193,"")</f>
        <v>528.06038457599038</v>
      </c>
      <c r="AB217" s="131"/>
      <c r="AC217" s="131"/>
      <c r="AD217" s="131"/>
      <c r="AE217" s="131"/>
      <c r="AF217" s="131"/>
      <c r="AG217" s="131"/>
      <c r="AH217" s="131"/>
      <c r="AI217" s="131"/>
      <c r="AJ217" s="131"/>
    </row>
    <row r="218" spans="1:36" ht="15.6">
      <c r="B218" s="130" t="s">
        <v>516</v>
      </c>
      <c r="C218" s="152"/>
      <c r="D218" s="152"/>
      <c r="E218" s="152"/>
      <c r="F218" s="152"/>
      <c r="G218" s="206"/>
      <c r="H218" s="152"/>
      <c r="I218" s="152"/>
      <c r="J218" s="152"/>
      <c r="K218" s="152"/>
      <c r="L218" s="152"/>
      <c r="M218" s="152"/>
      <c r="N218" s="152"/>
      <c r="O218" s="152"/>
      <c r="P218" s="152"/>
      <c r="Q218" s="171">
        <f ca="1">IFERROR((Q214*(1+$C$13))/(WACC!$G$16-$C$13),"")</f>
        <v>0</v>
      </c>
      <c r="R218" s="870">
        <f ca="1">IFERROR((R214*(1+$C$13))/(WACC!$G$16-$C$13),"")</f>
        <v>0</v>
      </c>
      <c r="S218" s="171">
        <f ca="1">IFERROR((S214*(1+$C$13))/(WACC!$G$16-$C$13),"")</f>
        <v>0</v>
      </c>
      <c r="T218" s="171">
        <f ca="1">IFERROR((T214*(1+$C$13))/(WACC!$G$16-$C$13),"")</f>
        <v>0</v>
      </c>
      <c r="U218" s="171">
        <f ca="1">IFERROR((U214*(1+$C$13))/(WACC!$G$16-$C$13),"")</f>
        <v>0</v>
      </c>
      <c r="V218" s="171">
        <f ca="1">IFERROR((V214*(1+$C$13))/(WACC!$G$16-$C$13),"")</f>
        <v>0</v>
      </c>
      <c r="W218" s="171">
        <f ca="1">IFERROR((W214*(1+$C$13))/(WACC!$G$16-$C$13),"")</f>
        <v>0</v>
      </c>
      <c r="X218" s="171">
        <f ca="1">IFERROR((X214*(1+$C$13))/(WACC!$G$16-$C$13),"")</f>
        <v>0</v>
      </c>
      <c r="Y218" s="171">
        <f ca="1">IFERROR((Y214*(1+$C$13))/(WACC!$G$16-$C$13),"")</f>
        <v>0</v>
      </c>
      <c r="Z218" s="171">
        <f ca="1">IFERROR((Z214*(1+$C$13))/(WACC!$G$16-$C$13),"")</f>
        <v>0</v>
      </c>
      <c r="AA218" s="171">
        <f ca="1">IFERROR((AA214*(1+$C$13))/(WACC!$G$16-$C$13),"")</f>
        <v>0</v>
      </c>
      <c r="AB218" s="131"/>
      <c r="AC218" s="131"/>
      <c r="AD218" s="131"/>
      <c r="AE218" s="131"/>
      <c r="AF218" s="131"/>
      <c r="AG218" s="131"/>
      <c r="AH218" s="131"/>
      <c r="AI218" s="131"/>
      <c r="AJ218" s="131"/>
    </row>
    <row r="219" spans="1:36" ht="15.6">
      <c r="B219" s="130" t="s">
        <v>517</v>
      </c>
      <c r="C219" s="152"/>
      <c r="D219" s="152"/>
      <c r="E219" s="152"/>
      <c r="F219" s="152"/>
      <c r="G219" s="206"/>
      <c r="H219" s="152"/>
      <c r="I219" s="152"/>
      <c r="J219" s="152"/>
      <c r="K219" s="152"/>
      <c r="L219" s="152"/>
      <c r="M219" s="152"/>
      <c r="N219" s="152"/>
      <c r="O219" s="152"/>
      <c r="P219" s="152"/>
      <c r="Q219" s="171">
        <f ca="1">IFERROR(Q218/(1+WACC!$G$18)^$Q$193,"")</f>
        <v>0</v>
      </c>
      <c r="R219" s="870">
        <f ca="1">IFERROR(R218/(1+WACC!$G$18)^$Q$193,"")</f>
        <v>0</v>
      </c>
      <c r="S219" s="171">
        <f ca="1">IFERROR(S218/(1+WACC!$G$18)^$Q$193,"")</f>
        <v>0</v>
      </c>
      <c r="T219" s="171">
        <f ca="1">IFERROR(T218/(1+WACC!$G$18)^$Q$193,"")</f>
        <v>0</v>
      </c>
      <c r="U219" s="171">
        <f ca="1">IFERROR(U218/(1+WACC!$G$18)^$Q$193,"")</f>
        <v>0</v>
      </c>
      <c r="V219" s="171">
        <f ca="1">IFERROR(V218/(1+WACC!$G$18)^$Q$193,"")</f>
        <v>0</v>
      </c>
      <c r="W219" s="171">
        <f ca="1">IFERROR(W218/(1+WACC!$G$18)^$Q$193,"")</f>
        <v>0</v>
      </c>
      <c r="X219" s="171">
        <f ca="1">IFERROR(X218/(1+WACC!$G$18)^$Q$193,"")</f>
        <v>0</v>
      </c>
      <c r="Y219" s="171">
        <f ca="1">IFERROR(Y218/(1+WACC!$G$18)^$Q$193,"")</f>
        <v>0</v>
      </c>
      <c r="Z219" s="171">
        <f ca="1">IFERROR(Z218/(1+WACC!$G$18)^$Q$193,"")</f>
        <v>0</v>
      </c>
      <c r="AA219" s="171">
        <f ca="1">IFERROR(AA218/(1+WACC!$G$18)^$Q$193,"")</f>
        <v>0</v>
      </c>
      <c r="AB219" s="131"/>
      <c r="AC219" s="131"/>
      <c r="AD219" s="131"/>
      <c r="AE219" s="131"/>
      <c r="AF219" s="131"/>
      <c r="AG219" s="131"/>
      <c r="AH219" s="131"/>
      <c r="AI219" s="131"/>
      <c r="AJ219" s="131"/>
    </row>
    <row r="220" spans="1:36" ht="15.6">
      <c r="B220" s="130" t="s">
        <v>518</v>
      </c>
      <c r="G220" s="151"/>
      <c r="Q220" s="171">
        <f t="shared" ref="Q220:AA220" ca="1" si="194">+SUM(H213:Q214,Q217,Q219)</f>
        <v>-2143.944487037264</v>
      </c>
      <c r="R220" s="870">
        <f t="shared" ca="1" si="194"/>
        <v>-1983.0848880266105</v>
      </c>
      <c r="S220" s="171">
        <f t="shared" ca="1" si="194"/>
        <v>-1881.6421456322578</v>
      </c>
      <c r="T220" s="171">
        <f t="shared" ca="1" si="194"/>
        <v>-1785.9572844782431</v>
      </c>
      <c r="U220" s="171">
        <f t="shared" ca="1" si="194"/>
        <v>-1680.3876163408868</v>
      </c>
      <c r="V220" s="171">
        <f t="shared" ca="1" si="194"/>
        <v>-1583.5492615192629</v>
      </c>
      <c r="W220" s="171">
        <f t="shared" ca="1" si="194"/>
        <v>-1488.0827119185801</v>
      </c>
      <c r="X220" s="171">
        <f t="shared" ca="1" si="194"/>
        <v>-1395.3595723810085</v>
      </c>
      <c r="Y220" s="171">
        <f t="shared" ca="1" si="194"/>
        <v>-1309.3526591512596</v>
      </c>
      <c r="Z220" s="171">
        <f t="shared" ca="1" si="194"/>
        <v>-1231.4129982073121</v>
      </c>
      <c r="AA220" s="171">
        <f t="shared" ca="1" si="194"/>
        <v>-1173.8365833666905</v>
      </c>
      <c r="AB220" s="131"/>
      <c r="AC220" s="131"/>
      <c r="AD220" s="131"/>
      <c r="AE220" s="131"/>
      <c r="AF220" s="131"/>
      <c r="AG220" s="131"/>
      <c r="AH220" s="131"/>
      <c r="AI220" s="131"/>
      <c r="AJ220" s="131"/>
    </row>
    <row r="221" spans="1:36" ht="15.6">
      <c r="B221" s="130" t="s">
        <v>229</v>
      </c>
      <c r="G221" s="151"/>
      <c r="Q221" s="171">
        <f t="shared" ref="Q221:AA221" ca="1" si="195">+Q220-Q199+Q200+Q201+Q202</f>
        <v>-2103.2444870372642</v>
      </c>
      <c r="R221" s="870">
        <f t="shared" ca="1" si="195"/>
        <v>-1634.5424202713484</v>
      </c>
      <c r="S221" s="171">
        <f t="shared" ca="1" si="195"/>
        <v>-1061.994751291239</v>
      </c>
      <c r="T221" s="171">
        <f t="shared" ca="1" si="195"/>
        <v>-1785.9572844782431</v>
      </c>
      <c r="U221" s="171">
        <f t="shared" ca="1" si="195"/>
        <v>-1680.3876163408868</v>
      </c>
      <c r="V221" s="171">
        <f t="shared" ca="1" si="195"/>
        <v>-1583.5492615192629</v>
      </c>
      <c r="W221" s="171">
        <f t="shared" ca="1" si="195"/>
        <v>-1488.0827119185801</v>
      </c>
      <c r="X221" s="171">
        <f t="shared" ca="1" si="195"/>
        <v>-1395.3595723810085</v>
      </c>
      <c r="Y221" s="171">
        <f t="shared" ca="1" si="195"/>
        <v>-1309.3526591512596</v>
      </c>
      <c r="Z221" s="171">
        <f t="shared" ca="1" si="195"/>
        <v>-1231.4129982073121</v>
      </c>
      <c r="AA221" s="171">
        <f t="shared" ca="1" si="195"/>
        <v>-1133.1365833666905</v>
      </c>
      <c r="AB221" s="131"/>
      <c r="AC221" s="131"/>
      <c r="AD221" s="131"/>
      <c r="AE221" s="131"/>
      <c r="AF221" s="131"/>
      <c r="AG221" s="131"/>
      <c r="AH221" s="131"/>
      <c r="AI221" s="131"/>
      <c r="AJ221" s="131"/>
    </row>
    <row r="222" spans="1:36" ht="15.6">
      <c r="B222" s="152" t="s">
        <v>508</v>
      </c>
      <c r="C222" s="152"/>
      <c r="D222" s="152"/>
      <c r="E222" s="152"/>
      <c r="F222" s="152"/>
      <c r="G222" s="206"/>
      <c r="H222" s="152"/>
      <c r="I222" s="152"/>
      <c r="J222" s="152"/>
      <c r="K222" s="152"/>
      <c r="L222" s="152"/>
      <c r="M222" s="152"/>
      <c r="N222" s="152"/>
      <c r="O222" s="152"/>
      <c r="P222" s="152"/>
      <c r="Q222" s="395">
        <f t="shared" ref="Q222:AA222" ca="1" si="196">IFERROR(Q221/Q205,"")</f>
        <v>-4.3458993406639514</v>
      </c>
      <c r="R222" s="887" t="str">
        <f t="shared" ca="1" si="196"/>
        <v/>
      </c>
      <c r="S222" s="395" t="str">
        <f t="shared" ca="1" si="196"/>
        <v/>
      </c>
      <c r="T222" s="395" t="str">
        <f t="shared" ca="1" si="196"/>
        <v/>
      </c>
      <c r="U222" s="395" t="str">
        <f t="shared" ca="1" si="196"/>
        <v/>
      </c>
      <c r="V222" s="395" t="str">
        <f t="shared" ca="1" si="196"/>
        <v/>
      </c>
      <c r="W222" s="395" t="str">
        <f t="shared" ca="1" si="196"/>
        <v/>
      </c>
      <c r="X222" s="395" t="str">
        <f t="shared" ca="1" si="196"/>
        <v/>
      </c>
      <c r="Y222" s="395" t="str">
        <f t="shared" ca="1" si="196"/>
        <v/>
      </c>
      <c r="Z222" s="395" t="str">
        <f t="shared" ca="1" si="196"/>
        <v/>
      </c>
      <c r="AA222" s="395">
        <f t="shared" ca="1" si="196"/>
        <v>-2.3413814042476808</v>
      </c>
      <c r="AB222" s="131"/>
      <c r="AC222" s="131"/>
      <c r="AD222" s="131"/>
      <c r="AE222" s="131"/>
      <c r="AF222" s="131"/>
      <c r="AG222" s="131"/>
      <c r="AH222" s="131"/>
      <c r="AI222" s="131"/>
      <c r="AJ222" s="131"/>
    </row>
    <row r="223" spans="1:36" ht="3.75" customHeight="1">
      <c r="B223" s="152"/>
      <c r="C223" s="152"/>
      <c r="D223" s="152"/>
      <c r="E223" s="152"/>
      <c r="F223" s="152"/>
      <c r="G223" s="206"/>
      <c r="H223" s="152"/>
      <c r="I223" s="152"/>
      <c r="J223" s="152"/>
      <c r="K223" s="152"/>
      <c r="L223" s="152"/>
      <c r="M223" s="152"/>
      <c r="N223" s="152"/>
      <c r="O223" s="152"/>
      <c r="P223" s="152"/>
      <c r="Q223" s="395"/>
      <c r="R223" s="887"/>
      <c r="S223" s="395"/>
      <c r="T223" s="395"/>
      <c r="U223" s="395"/>
      <c r="V223" s="395"/>
      <c r="W223" s="395"/>
      <c r="X223" s="395"/>
      <c r="Y223" s="395"/>
      <c r="Z223" s="395"/>
      <c r="AA223" s="395"/>
      <c r="AB223" s="131"/>
      <c r="AC223" s="131"/>
      <c r="AD223" s="131"/>
      <c r="AE223" s="131"/>
      <c r="AF223" s="131"/>
      <c r="AG223" s="131"/>
      <c r="AH223" s="131"/>
      <c r="AI223" s="131"/>
      <c r="AJ223" s="131"/>
    </row>
    <row r="224" spans="1:36" ht="15.6">
      <c r="B224" s="396" t="s">
        <v>510</v>
      </c>
      <c r="C224" s="152"/>
      <c r="D224" s="152"/>
      <c r="E224" s="152"/>
      <c r="F224" s="152"/>
      <c r="G224" s="206"/>
      <c r="H224" s="152"/>
      <c r="I224" s="152"/>
      <c r="J224" s="152"/>
      <c r="K224" s="152"/>
      <c r="L224" s="152"/>
      <c r="M224" s="152"/>
      <c r="N224" s="152"/>
      <c r="O224" s="152"/>
      <c r="P224" s="152"/>
      <c r="Q224" s="207">
        <f t="shared" ref="Q224:AA224" ca="1" si="197">IFERROR(Q222/Q208-1,"")</f>
        <v>-1.0895175772568171</v>
      </c>
      <c r="R224" s="886" t="str">
        <f t="shared" ca="1" si="197"/>
        <v/>
      </c>
      <c r="S224" s="207" t="str">
        <f t="shared" ca="1" si="197"/>
        <v/>
      </c>
      <c r="T224" s="207" t="str">
        <f t="shared" ca="1" si="197"/>
        <v/>
      </c>
      <c r="U224" s="207" t="str">
        <f t="shared" ca="1" si="197"/>
        <v/>
      </c>
      <c r="V224" s="207" t="str">
        <f t="shared" ca="1" si="197"/>
        <v/>
      </c>
      <c r="W224" s="207" t="str">
        <f t="shared" ca="1" si="197"/>
        <v/>
      </c>
      <c r="X224" s="207" t="str">
        <f t="shared" ca="1" si="197"/>
        <v/>
      </c>
      <c r="Y224" s="207" t="str">
        <f t="shared" ca="1" si="197"/>
        <v/>
      </c>
      <c r="Z224" s="207" t="str">
        <f t="shared" ca="1" si="197"/>
        <v/>
      </c>
      <c r="AA224" s="207">
        <f t="shared" ca="1" si="197"/>
        <v>-1.0482281742656274</v>
      </c>
      <c r="AB224" s="131"/>
      <c r="AC224" s="131"/>
      <c r="AD224" s="131"/>
      <c r="AE224" s="131"/>
      <c r="AF224" s="131"/>
      <c r="AG224" s="131"/>
      <c r="AH224" s="131"/>
      <c r="AI224" s="131"/>
      <c r="AJ224" s="131"/>
    </row>
    <row r="225" spans="1:27" ht="3.75" customHeight="1">
      <c r="G225" s="151"/>
      <c r="R225" s="856"/>
    </row>
    <row r="226" spans="1:27" ht="15.6">
      <c r="A226" s="130" t="s">
        <v>405</v>
      </c>
      <c r="B226" s="52" t="s">
        <v>519</v>
      </c>
      <c r="C226" s="52"/>
      <c r="D226" s="52"/>
      <c r="E226" s="141">
        <f>E25</f>
        <v>2022</v>
      </c>
      <c r="F226" s="141">
        <f>F25</f>
        <v>2023</v>
      </c>
      <c r="G226" s="142">
        <f>G25</f>
        <v>2024</v>
      </c>
      <c r="H226" s="104">
        <f t="shared" ref="H226:Q226" si="198">1+G226</f>
        <v>2025</v>
      </c>
      <c r="I226" s="104">
        <f t="shared" si="198"/>
        <v>2026</v>
      </c>
      <c r="J226" s="104">
        <f t="shared" si="198"/>
        <v>2027</v>
      </c>
      <c r="K226" s="104">
        <f t="shared" si="198"/>
        <v>2028</v>
      </c>
      <c r="L226" s="104">
        <f t="shared" si="198"/>
        <v>2029</v>
      </c>
      <c r="M226" s="104">
        <f t="shared" si="198"/>
        <v>2030</v>
      </c>
      <c r="N226" s="104">
        <f t="shared" si="198"/>
        <v>2031</v>
      </c>
      <c r="O226" s="104">
        <f t="shared" si="198"/>
        <v>2032</v>
      </c>
      <c r="P226" s="104">
        <f t="shared" si="198"/>
        <v>2033</v>
      </c>
      <c r="Q226" s="104">
        <f t="shared" si="198"/>
        <v>2034</v>
      </c>
      <c r="R226" s="852">
        <f t="shared" ref="R226:AA226" si="199">+Q226+1</f>
        <v>2035</v>
      </c>
      <c r="S226" s="104">
        <f t="shared" si="199"/>
        <v>2036</v>
      </c>
      <c r="T226" s="104">
        <f t="shared" si="199"/>
        <v>2037</v>
      </c>
      <c r="U226" s="104">
        <f t="shared" si="199"/>
        <v>2038</v>
      </c>
      <c r="V226" s="104">
        <f t="shared" si="199"/>
        <v>2039</v>
      </c>
      <c r="W226" s="104">
        <f t="shared" si="199"/>
        <v>2040</v>
      </c>
      <c r="X226" s="104">
        <f t="shared" si="199"/>
        <v>2041</v>
      </c>
      <c r="Y226" s="104">
        <f t="shared" si="199"/>
        <v>2042</v>
      </c>
      <c r="Z226" s="104">
        <f t="shared" si="199"/>
        <v>2043</v>
      </c>
      <c r="AA226" s="104">
        <f t="shared" si="199"/>
        <v>2044</v>
      </c>
    </row>
    <row r="227" spans="1:27" ht="3.75" customHeight="1">
      <c r="B227" s="53"/>
      <c r="C227" s="53"/>
      <c r="D227" s="53"/>
      <c r="E227" s="53"/>
      <c r="F227" s="53"/>
      <c r="G227" s="208"/>
      <c r="H227" s="53"/>
      <c r="I227" s="53"/>
      <c r="J227" s="53"/>
      <c r="K227" s="53"/>
      <c r="L227" s="53"/>
      <c r="M227" s="53"/>
      <c r="N227" s="53"/>
      <c r="O227" s="53"/>
      <c r="P227" s="53"/>
      <c r="Q227" s="53"/>
      <c r="R227" s="888"/>
      <c r="S227" s="53"/>
      <c r="T227" s="53"/>
      <c r="U227" s="53"/>
      <c r="V227" s="53"/>
      <c r="W227" s="53"/>
      <c r="X227" s="53"/>
      <c r="Y227" s="53"/>
      <c r="Z227" s="53"/>
      <c r="AA227" s="53"/>
    </row>
    <row r="228" spans="1:27" ht="15.6">
      <c r="B228" s="130" t="s">
        <v>425</v>
      </c>
      <c r="E228" s="154">
        <f t="shared" ref="E228:Q228" si="200">+E56</f>
        <v>-105.76999999999998</v>
      </c>
      <c r="F228" s="154">
        <f t="shared" si="200"/>
        <v>-149.5</v>
      </c>
      <c r="G228" s="185">
        <f t="shared" si="200"/>
        <v>-150.23000000000002</v>
      </c>
      <c r="H228" s="179">
        <f t="shared" si="200"/>
        <v>-289.97722963917732</v>
      </c>
      <c r="I228" s="179">
        <f t="shared" si="200"/>
        <v>-313.67845992801676</v>
      </c>
      <c r="J228" s="179">
        <f t="shared" si="200"/>
        <v>-343.20223841883899</v>
      </c>
      <c r="K228" s="179">
        <f t="shared" si="200"/>
        <v>-376.07453761880822</v>
      </c>
      <c r="L228" s="179">
        <f t="shared" si="200"/>
        <v>-411.1472233706462</v>
      </c>
      <c r="M228" s="179">
        <f t="shared" si="200"/>
        <v>-448.25927758169962</v>
      </c>
      <c r="N228" s="179">
        <f t="shared" si="200"/>
        <v>-483.3994297062377</v>
      </c>
      <c r="O228" s="179">
        <f t="shared" si="200"/>
        <v>-514.98459503844106</v>
      </c>
      <c r="P228" s="179">
        <f t="shared" si="200"/>
        <v>-540.10192573155314</v>
      </c>
      <c r="Q228" s="179">
        <f t="shared" si="200"/>
        <v>-523.82883170789887</v>
      </c>
      <c r="R228" s="882">
        <f t="shared" ref="R228:AA228" si="201">+R56</f>
        <v>-614.48312485828444</v>
      </c>
      <c r="S228" s="200">
        <f t="shared" si="201"/>
        <v>-709.23276483503253</v>
      </c>
      <c r="T228" s="200">
        <f t="shared" si="201"/>
        <v>-806.84189752471673</v>
      </c>
      <c r="U228" s="200">
        <f t="shared" si="201"/>
        <v>-906.53188755222425</v>
      </c>
      <c r="V228" s="200">
        <f t="shared" si="201"/>
        <v>-1007.5208378079692</v>
      </c>
      <c r="W228" s="200">
        <f t="shared" si="201"/>
        <v>-1109.0703636155333</v>
      </c>
      <c r="X228" s="200">
        <f t="shared" si="201"/>
        <v>-1210.5433435316195</v>
      </c>
      <c r="Y228" s="200">
        <f t="shared" si="201"/>
        <v>-1311.4496263862982</v>
      </c>
      <c r="Z228" s="200">
        <f t="shared" si="201"/>
        <v>-1411.5022012075624</v>
      </c>
      <c r="AA228" s="200">
        <f t="shared" si="201"/>
        <v>-1510.6724638717953</v>
      </c>
    </row>
    <row r="229" spans="1:27" ht="3.75" customHeight="1">
      <c r="G229" s="151"/>
      <c r="R229" s="856"/>
    </row>
    <row r="230" spans="1:27" ht="15" customHeight="1">
      <c r="B230" s="130" t="s">
        <v>299</v>
      </c>
      <c r="E230" s="171">
        <f t="shared" ref="E230:Q230" si="202">+E78</f>
        <v>-106.46999999999998</v>
      </c>
      <c r="F230" s="171">
        <f t="shared" si="202"/>
        <v>-154.19999999999999</v>
      </c>
      <c r="G230" s="209">
        <f t="shared" si="202"/>
        <v>-150.73000000000002</v>
      </c>
      <c r="H230" s="171">
        <f t="shared" si="202"/>
        <v>-287.61743972424762</v>
      </c>
      <c r="I230" s="171">
        <f t="shared" si="202"/>
        <v>-313.10284952900446</v>
      </c>
      <c r="J230" s="171">
        <f t="shared" si="202"/>
        <v>-341.45821380672027</v>
      </c>
      <c r="K230" s="171">
        <f t="shared" si="202"/>
        <v>-375.10468706609635</v>
      </c>
      <c r="L230" s="171">
        <f t="shared" si="202"/>
        <v>-410.64539426975728</v>
      </c>
      <c r="M230" s="171">
        <f t="shared" si="202"/>
        <v>-447.79532602390572</v>
      </c>
      <c r="N230" s="171">
        <f t="shared" si="202"/>
        <v>-483.35606238986497</v>
      </c>
      <c r="O230" s="171">
        <f t="shared" si="202"/>
        <v>-515.13418186955289</v>
      </c>
      <c r="P230" s="171">
        <f t="shared" si="202"/>
        <v>-540.29288407012393</v>
      </c>
      <c r="Q230" s="171">
        <f t="shared" si="202"/>
        <v>-523.48605798090466</v>
      </c>
      <c r="R230" s="870">
        <f t="shared" ref="R230:AA230" si="203">+R78</f>
        <v>-615.22401561926597</v>
      </c>
      <c r="S230" s="171">
        <f t="shared" si="203"/>
        <v>-711.11094390391452</v>
      </c>
      <c r="T230" s="171">
        <f t="shared" si="203"/>
        <v>-809.90545541170479</v>
      </c>
      <c r="U230" s="171">
        <f t="shared" si="203"/>
        <v>-910.78206935503613</v>
      </c>
      <c r="V230" s="171">
        <f t="shared" si="203"/>
        <v>-1012.9690878150378</v>
      </c>
      <c r="W230" s="171">
        <f t="shared" si="203"/>
        <v>-1115.7113751551913</v>
      </c>
      <c r="X230" s="171">
        <f t="shared" si="203"/>
        <v>-1218.3548671635208</v>
      </c>
      <c r="Y230" s="171">
        <f t="shared" si="203"/>
        <v>-1320.4078386121769</v>
      </c>
      <c r="Z230" s="171">
        <f t="shared" si="203"/>
        <v>-1421.5752571609009</v>
      </c>
      <c r="AA230" s="171">
        <f t="shared" si="203"/>
        <v>-1521.8266190803795</v>
      </c>
    </row>
    <row r="231" spans="1:27" ht="3.75" customHeight="1">
      <c r="G231" s="151"/>
      <c r="R231" s="856"/>
    </row>
    <row r="232" spans="1:27" ht="15" customHeight="1">
      <c r="B232" s="130" t="s">
        <v>441</v>
      </c>
      <c r="E232" s="210">
        <f t="shared" ref="E232:Q232" si="204">+E120</f>
        <v>29.43</v>
      </c>
      <c r="F232" s="210">
        <f t="shared" si="204"/>
        <v>28.5</v>
      </c>
      <c r="G232" s="211">
        <f t="shared" si="204"/>
        <v>31.87</v>
      </c>
      <c r="H232" s="210">
        <f t="shared" si="204"/>
        <v>35.227154036537357</v>
      </c>
      <c r="I232" s="210">
        <f t="shared" si="204"/>
        <v>37.700125437432796</v>
      </c>
      <c r="J232" s="210">
        <f t="shared" si="204"/>
        <v>42.324259106766306</v>
      </c>
      <c r="K232" s="210">
        <f t="shared" si="204"/>
        <v>46.981322438608373</v>
      </c>
      <c r="L232" s="210">
        <f t="shared" si="204"/>
        <v>51.262669285501161</v>
      </c>
      <c r="M232" s="210">
        <f t="shared" si="204"/>
        <v>56.056383667432698</v>
      </c>
      <c r="N232" s="210">
        <f t="shared" si="204"/>
        <v>60.815854105977543</v>
      </c>
      <c r="O232" s="210">
        <f t="shared" si="204"/>
        <v>65.526286339695673</v>
      </c>
      <c r="P232" s="210">
        <f t="shared" si="204"/>
        <v>70.268936962245988</v>
      </c>
      <c r="Q232" s="210">
        <f t="shared" si="204"/>
        <v>74.880636876400033</v>
      </c>
      <c r="R232" s="889">
        <f t="shared" ref="R232:AA232" si="205">+R120</f>
        <v>79.324983611316256</v>
      </c>
      <c r="S232" s="210">
        <f t="shared" si="205"/>
        <v>84.552482424885739</v>
      </c>
      <c r="T232" s="210">
        <f t="shared" si="205"/>
        <v>90.097863890899234</v>
      </c>
      <c r="U232" s="210">
        <f t="shared" si="205"/>
        <v>95.988931529559821</v>
      </c>
      <c r="V232" s="210">
        <f t="shared" si="205"/>
        <v>102.24807154412633</v>
      </c>
      <c r="W232" s="210">
        <f t="shared" si="205"/>
        <v>108.89503017861369</v>
      </c>
      <c r="X232" s="210">
        <f t="shared" si="205"/>
        <v>115.95576545838603</v>
      </c>
      <c r="Y232" s="210">
        <f t="shared" si="205"/>
        <v>123.45575259383368</v>
      </c>
      <c r="Z232" s="210">
        <f t="shared" si="205"/>
        <v>131.4219042712958</v>
      </c>
      <c r="AA232" s="210">
        <f t="shared" si="205"/>
        <v>139.88356581226847</v>
      </c>
    </row>
    <row r="233" spans="1:27" ht="3.95" customHeight="1">
      <c r="B233" s="155"/>
      <c r="E233" s="212"/>
      <c r="F233" s="212"/>
      <c r="G233" s="213"/>
      <c r="H233" s="214"/>
      <c r="I233" s="214"/>
      <c r="J233" s="214"/>
      <c r="K233" s="214"/>
      <c r="L233" s="214"/>
      <c r="M233" s="214"/>
      <c r="N233" s="214"/>
      <c r="O233" s="214"/>
      <c r="P233" s="214"/>
      <c r="Q233" s="214"/>
      <c r="R233" s="890"/>
      <c r="S233" s="214"/>
      <c r="T233" s="214"/>
      <c r="U233" s="214"/>
      <c r="V233" s="214"/>
      <c r="W233" s="214"/>
      <c r="X233" s="214"/>
      <c r="Y233" s="214"/>
      <c r="Z233" s="214"/>
      <c r="AA233" s="214"/>
    </row>
    <row r="234" spans="1:27" ht="13.5" customHeight="1">
      <c r="B234" s="130" t="s">
        <v>474</v>
      </c>
      <c r="E234" s="171">
        <f t="shared" ref="E234:Q234" si="206">+E122</f>
        <v>55.6</v>
      </c>
      <c r="F234" s="171">
        <f t="shared" si="206"/>
        <v>53.5</v>
      </c>
      <c r="G234" s="209">
        <f t="shared" si="206"/>
        <v>56.8</v>
      </c>
      <c r="H234" s="171">
        <f t="shared" si="206"/>
        <v>56.016086428337324</v>
      </c>
      <c r="I234" s="171">
        <f t="shared" si="206"/>
        <v>50.681149354226115</v>
      </c>
      <c r="J234" s="171">
        <f t="shared" si="206"/>
        <v>45.159728754446661</v>
      </c>
      <c r="K234" s="171">
        <f t="shared" si="206"/>
        <v>39.507503888845534</v>
      </c>
      <c r="L234" s="171">
        <f t="shared" si="206"/>
        <v>33.792742232082709</v>
      </c>
      <c r="M234" s="171">
        <f t="shared" si="206"/>
        <v>28.073050846890464</v>
      </c>
      <c r="N234" s="171">
        <f t="shared" si="206"/>
        <v>22.660099450665026</v>
      </c>
      <c r="O234" s="171">
        <f t="shared" si="206"/>
        <v>17.412395417711164</v>
      </c>
      <c r="P234" s="171">
        <f t="shared" si="206"/>
        <v>12.473099055716965</v>
      </c>
      <c r="Q234" s="171">
        <f t="shared" si="206"/>
        <v>6.1378461679958169</v>
      </c>
      <c r="R234" s="870">
        <f t="shared" ref="R234:AA234" si="207">+R122</f>
        <v>6.6146749156507942</v>
      </c>
      <c r="S234" s="171">
        <f t="shared" si="207"/>
        <v>7.1299022773454199</v>
      </c>
      <c r="T234" s="171">
        <f t="shared" si="207"/>
        <v>7.6867174667552893</v>
      </c>
      <c r="U234" s="171">
        <f t="shared" si="207"/>
        <v>8.2885812768221321</v>
      </c>
      <c r="V234" s="171">
        <f t="shared" si="207"/>
        <v>8.9392496546132332</v>
      </c>
      <c r="W234" s="171">
        <f t="shared" si="207"/>
        <v>9.6427993519091046</v>
      </c>
      <c r="X234" s="171">
        <f t="shared" si="207"/>
        <v>10.403655836159061</v>
      </c>
      <c r="Y234" s="171">
        <f t="shared" si="207"/>
        <v>11.226623662986889</v>
      </c>
      <c r="Z234" s="171">
        <f t="shared" si="207"/>
        <v>12.116919529460597</v>
      </c>
      <c r="AA234" s="171">
        <f t="shared" si="207"/>
        <v>13.080208246996387</v>
      </c>
    </row>
    <row r="235" spans="1:27" ht="3.95" customHeight="1">
      <c r="B235" s="155"/>
      <c r="E235" s="212"/>
      <c r="F235" s="212"/>
      <c r="G235" s="213"/>
      <c r="H235" s="214"/>
      <c r="I235" s="214"/>
      <c r="J235" s="214"/>
      <c r="K235" s="214"/>
      <c r="L235" s="214"/>
      <c r="M235" s="214"/>
      <c r="N235" s="214"/>
      <c r="O235" s="214"/>
      <c r="P235" s="214"/>
      <c r="Q235" s="214"/>
      <c r="R235" s="890"/>
      <c r="S235" s="214"/>
      <c r="T235" s="214"/>
      <c r="U235" s="214"/>
      <c r="V235" s="214"/>
      <c r="W235" s="214"/>
      <c r="X235" s="214"/>
      <c r="Y235" s="214"/>
      <c r="Z235" s="214"/>
      <c r="AA235" s="214"/>
    </row>
    <row r="236" spans="1:27" ht="15" customHeight="1">
      <c r="B236" s="130" t="s">
        <v>494</v>
      </c>
      <c r="E236" s="171">
        <f t="shared" ref="E236:Q236" si="208">E186</f>
        <v>-35.5</v>
      </c>
      <c r="F236" s="171">
        <f t="shared" si="208"/>
        <v>-6.5</v>
      </c>
      <c r="G236" s="209">
        <f t="shared" si="208"/>
        <v>38.099999999999994</v>
      </c>
      <c r="H236" s="171">
        <f t="shared" si="208"/>
        <v>-36.967980671228759</v>
      </c>
      <c r="I236" s="171">
        <f t="shared" si="208"/>
        <v>5.9461577933628007</v>
      </c>
      <c r="J236" s="171">
        <f t="shared" si="208"/>
        <v>7.6826863737619249</v>
      </c>
      <c r="K236" s="171">
        <f t="shared" si="208"/>
        <v>-5.7693395697478991</v>
      </c>
      <c r="L236" s="171">
        <f t="shared" si="208"/>
        <v>3.0544245929616523</v>
      </c>
      <c r="M236" s="171">
        <f t="shared" si="208"/>
        <v>2.0373784019392076</v>
      </c>
      <c r="N236" s="171">
        <f t="shared" si="208"/>
        <v>0.33705321301502522</v>
      </c>
      <c r="O236" s="171">
        <f t="shared" si="208"/>
        <v>1.7605613768600392</v>
      </c>
      <c r="P236" s="171">
        <f t="shared" si="208"/>
        <v>1.5816588424409019</v>
      </c>
      <c r="Q236" s="171">
        <f t="shared" si="208"/>
        <v>1.76816874476782</v>
      </c>
      <c r="R236" s="870">
        <f t="shared" ref="R236:AA236" si="209">R186</f>
        <v>-9.1402387776595333</v>
      </c>
      <c r="S236" s="171">
        <f t="shared" si="209"/>
        <v>-10.645332787739108</v>
      </c>
      <c r="T236" s="171">
        <f t="shared" si="209"/>
        <v>-12.191707509460002</v>
      </c>
      <c r="U236" s="171">
        <f t="shared" si="209"/>
        <v>-13.870601317382636</v>
      </c>
      <c r="V236" s="171">
        <f t="shared" si="209"/>
        <v>-15.809886039999981</v>
      </c>
      <c r="W236" s="171">
        <f t="shared" si="209"/>
        <v>-17.929217017722294</v>
      </c>
      <c r="X236" s="171">
        <f t="shared" si="209"/>
        <v>-20.280860257562892</v>
      </c>
      <c r="Y236" s="171">
        <f t="shared" si="209"/>
        <v>-22.903328644285182</v>
      </c>
      <c r="Z236" s="171">
        <f t="shared" si="209"/>
        <v>-25.803259848859511</v>
      </c>
      <c r="AA236" s="171">
        <f t="shared" si="209"/>
        <v>-29.018857605004825</v>
      </c>
    </row>
    <row r="237" spans="1:27" ht="3.75" customHeight="1">
      <c r="E237" s="171"/>
      <c r="F237" s="171"/>
      <c r="G237" s="209"/>
      <c r="H237" s="171"/>
      <c r="I237" s="171"/>
      <c r="J237" s="171"/>
      <c r="K237" s="171"/>
      <c r="L237" s="171"/>
      <c r="M237" s="171"/>
      <c r="N237" s="171"/>
      <c r="O237" s="171"/>
      <c r="P237" s="171"/>
      <c r="Q237" s="171"/>
      <c r="R237" s="870"/>
      <c r="S237" s="171"/>
      <c r="T237" s="171"/>
      <c r="U237" s="171"/>
      <c r="V237" s="171"/>
      <c r="W237" s="171"/>
      <c r="X237" s="171"/>
      <c r="Y237" s="171"/>
      <c r="Z237" s="171"/>
      <c r="AA237" s="171"/>
    </row>
    <row r="238" spans="1:27" ht="15" customHeight="1">
      <c r="B238" s="130" t="s">
        <v>27</v>
      </c>
      <c r="E238" s="154">
        <f>E131</f>
        <v>-108.2</v>
      </c>
      <c r="F238" s="154">
        <f>F131</f>
        <v>-70</v>
      </c>
      <c r="G238" s="185">
        <f>G131</f>
        <v>-54.599999999999994</v>
      </c>
      <c r="H238" s="154">
        <f t="shared" ref="H238:Q238" si="210">H188</f>
        <v>-65.305320291326893</v>
      </c>
      <c r="I238" s="154">
        <f t="shared" si="210"/>
        <v>-63.4796704428502</v>
      </c>
      <c r="J238" s="154">
        <f t="shared" si="210"/>
        <v>-65.671520693963913</v>
      </c>
      <c r="K238" s="154">
        <f t="shared" si="210"/>
        <v>-70.323241883154907</v>
      </c>
      <c r="L238" s="154">
        <f t="shared" si="210"/>
        <v>-70.625817560829304</v>
      </c>
      <c r="M238" s="154">
        <f t="shared" si="210"/>
        <v>-71.632550727639909</v>
      </c>
      <c r="N238" s="154">
        <f t="shared" si="210"/>
        <v>-72.359350025820319</v>
      </c>
      <c r="O238" s="154">
        <f t="shared" si="210"/>
        <v>-71.359112233330976</v>
      </c>
      <c r="P238" s="154">
        <f t="shared" si="210"/>
        <v>-69.877339923116466</v>
      </c>
      <c r="Q238" s="154">
        <f t="shared" si="210"/>
        <v>-67.502931203817511</v>
      </c>
      <c r="R238" s="857">
        <f t="shared" ref="R238:AA238" si="211">R188</f>
        <v>-79.093931671037069</v>
      </c>
      <c r="S238" s="848">
        <f t="shared" si="211"/>
        <v>-84.039880404377698</v>
      </c>
      <c r="T238" s="848">
        <f t="shared" si="211"/>
        <v>-89.282833120767208</v>
      </c>
      <c r="U238" s="848">
        <f t="shared" si="211"/>
        <v>-94.812983375777677</v>
      </c>
      <c r="V238" s="848">
        <f t="shared" si="211"/>
        <v>-100.71839787718395</v>
      </c>
      <c r="W238" s="848">
        <f t="shared" si="211"/>
        <v>-106.98372575893241</v>
      </c>
      <c r="X238" s="848">
        <f t="shared" si="211"/>
        <v>-113.63194212273639</v>
      </c>
      <c r="Y238" s="848">
        <f t="shared" si="211"/>
        <v>-120.70112284223887</v>
      </c>
      <c r="Z238" s="848">
        <f t="shared" si="211"/>
        <v>-128.20716524249389</v>
      </c>
      <c r="AA238" s="848">
        <f t="shared" si="211"/>
        <v>-136.17907869968352</v>
      </c>
    </row>
    <row r="239" spans="1:27" ht="3.75" customHeight="1">
      <c r="G239" s="151"/>
      <c r="R239" s="856"/>
    </row>
    <row r="240" spans="1:27" ht="15" customHeight="1">
      <c r="B240" s="130" t="s">
        <v>520</v>
      </c>
      <c r="E240" s="210">
        <f>+E154-E156</f>
        <v>87.3</v>
      </c>
      <c r="F240" s="210">
        <f t="shared" ref="F240:G240" si="212">+F154-F156</f>
        <v>90.1</v>
      </c>
      <c r="G240" s="211">
        <f t="shared" si="212"/>
        <v>98.300000000000011</v>
      </c>
      <c r="H240" s="210">
        <f>IFERROR(H154-H156,"")</f>
        <v>0</v>
      </c>
      <c r="I240" s="210">
        <f t="shared" ref="I240:Q240" si="213">IFERROR(I154-I156,"")</f>
        <v>298.64750022192857</v>
      </c>
      <c r="J240" s="210">
        <f t="shared" si="213"/>
        <v>0</v>
      </c>
      <c r="K240" s="210">
        <f t="shared" si="213"/>
        <v>311.96306026570926</v>
      </c>
      <c r="L240" s="210">
        <f t="shared" si="213"/>
        <v>52.745381925836</v>
      </c>
      <c r="M240" s="210">
        <f t="shared" si="213"/>
        <v>340.41599379420506</v>
      </c>
      <c r="N240" s="210">
        <f t="shared" si="213"/>
        <v>92.845070041078202</v>
      </c>
      <c r="O240" s="210">
        <f t="shared" si="213"/>
        <v>379.05733560494951</v>
      </c>
      <c r="P240" s="210">
        <f t="shared" si="213"/>
        <v>122.73671536366749</v>
      </c>
      <c r="Q240" s="210">
        <f t="shared" si="213"/>
        <v>403.10981376916902</v>
      </c>
      <c r="R240" s="889">
        <f t="shared" ref="R240:AA240" si="214">IFERROR(R154-R156,"")</f>
        <v>105.09252362638949</v>
      </c>
      <c r="S240" s="210">
        <f t="shared" si="214"/>
        <v>512.4260039146061</v>
      </c>
      <c r="T240" s="210">
        <f t="shared" si="214"/>
        <v>201.68776847919412</v>
      </c>
      <c r="U240" s="210">
        <f t="shared" si="214"/>
        <v>611.90764620508332</v>
      </c>
      <c r="V240" s="210">
        <f t="shared" si="214"/>
        <v>303.28049503673105</v>
      </c>
      <c r="W240" s="210">
        <f t="shared" si="214"/>
        <v>715.02955549675119</v>
      </c>
      <c r="X240" s="210">
        <f t="shared" si="214"/>
        <v>407.05693290457191</v>
      </c>
      <c r="Y240" s="210">
        <f t="shared" si="214"/>
        <v>818.85131534470304</v>
      </c>
      <c r="Z240" s="210">
        <f t="shared" si="214"/>
        <v>510.47859849717736</v>
      </c>
      <c r="AA240" s="210">
        <f t="shared" si="214"/>
        <v>921.56825995432052</v>
      </c>
    </row>
    <row r="241" spans="1:27" ht="3.95" customHeight="1">
      <c r="G241" s="151"/>
      <c r="R241" s="856"/>
    </row>
    <row r="242" spans="1:27" ht="15" customHeight="1">
      <c r="B242" s="186" t="s">
        <v>419</v>
      </c>
      <c r="C242" s="187"/>
      <c r="D242" s="187"/>
      <c r="E242" s="188">
        <f t="shared" ref="E242:G242" si="215">+E230+E232+E234+E236+E238+E240</f>
        <v>-77.839999999999989</v>
      </c>
      <c r="F242" s="188">
        <f t="shared" si="215"/>
        <v>-58.599999999999994</v>
      </c>
      <c r="G242" s="189">
        <f t="shared" si="215"/>
        <v>19.739999999999995</v>
      </c>
      <c r="H242" s="188">
        <f>IFERROR(+H230+H232+H234+H236+H238+H240,"")</f>
        <v>-298.64750022192857</v>
      </c>
      <c r="I242" s="188">
        <f t="shared" ref="I242:Q242" si="216">IFERROR(+I230+I232+I234+I236+I238+I240,"")</f>
        <v>16.392412835095627</v>
      </c>
      <c r="J242" s="188">
        <f t="shared" si="216"/>
        <v>-311.96306026570926</v>
      </c>
      <c r="K242" s="188">
        <f t="shared" si="216"/>
        <v>-52.745381925836</v>
      </c>
      <c r="L242" s="188">
        <f t="shared" si="216"/>
        <v>-340.41599379420506</v>
      </c>
      <c r="M242" s="188">
        <f t="shared" si="216"/>
        <v>-92.845070041078202</v>
      </c>
      <c r="N242" s="188">
        <f t="shared" si="216"/>
        <v>-379.05733560494951</v>
      </c>
      <c r="O242" s="188">
        <f t="shared" si="216"/>
        <v>-122.73671536366749</v>
      </c>
      <c r="P242" s="188">
        <f t="shared" si="216"/>
        <v>-403.10981376916902</v>
      </c>
      <c r="Q242" s="188">
        <f t="shared" si="216"/>
        <v>-105.09252362638949</v>
      </c>
      <c r="R242" s="870">
        <f t="shared" ref="R242:AA242" si="217">IFERROR(+R230+R232+R234+R236+R238+R240,"")</f>
        <v>-512.4260039146061</v>
      </c>
      <c r="S242" s="327">
        <f t="shared" si="217"/>
        <v>-201.68776847919412</v>
      </c>
      <c r="T242" s="327">
        <f t="shared" si="217"/>
        <v>-611.90764620508332</v>
      </c>
      <c r="U242" s="327">
        <f t="shared" si="217"/>
        <v>-303.28049503673105</v>
      </c>
      <c r="V242" s="327">
        <f t="shared" si="217"/>
        <v>-715.02955549675119</v>
      </c>
      <c r="W242" s="327">
        <f t="shared" si="217"/>
        <v>-407.05693290457191</v>
      </c>
      <c r="X242" s="327">
        <f t="shared" si="217"/>
        <v>-818.85131534470304</v>
      </c>
      <c r="Y242" s="327">
        <f t="shared" si="217"/>
        <v>-510.47859849717736</v>
      </c>
      <c r="Z242" s="327">
        <f t="shared" si="217"/>
        <v>-921.56825995432052</v>
      </c>
      <c r="AA242" s="327">
        <f t="shared" si="217"/>
        <v>-612.49252137148244</v>
      </c>
    </row>
    <row r="243" spans="1:27" ht="15" customHeight="1">
      <c r="B243" s="190" t="s">
        <v>521</v>
      </c>
      <c r="C243" s="191"/>
      <c r="D243" s="191"/>
      <c r="E243" s="191"/>
      <c r="F243" s="191"/>
      <c r="G243" s="192"/>
      <c r="H243" s="193">
        <f t="shared" ref="H243:Q243" ca="1" si="218">IFERROR(H242/(1+$C$12)^H$193,"")</f>
        <v>-294.11909607809423</v>
      </c>
      <c r="I243" s="193">
        <f t="shared" ca="1" si="218"/>
        <v>14.286371229569854</v>
      </c>
      <c r="J243" s="193">
        <f t="shared" ca="1" si="218"/>
        <v>-240.6007236977045</v>
      </c>
      <c r="K243" s="193">
        <f t="shared" ca="1" si="218"/>
        <v>-35.999204836625616</v>
      </c>
      <c r="L243" s="193">
        <f t="shared" ca="1" si="218"/>
        <v>-205.60474460252175</v>
      </c>
      <c r="M243" s="193">
        <f t="shared" ca="1" si="218"/>
        <v>-49.624567359049166</v>
      </c>
      <c r="N243" s="193">
        <f t="shared" ca="1" si="218"/>
        <v>-179.29059159988765</v>
      </c>
      <c r="O243" s="193">
        <f t="shared" ca="1" si="218"/>
        <v>-51.373813007713139</v>
      </c>
      <c r="P243" s="193">
        <f t="shared" ca="1" si="218"/>
        <v>-149.31566903095577</v>
      </c>
      <c r="Q243" s="193">
        <f t="shared" ca="1" si="218"/>
        <v>-34.448359411663318</v>
      </c>
      <c r="R243" s="870">
        <f t="shared" ref="R243:AA243" ca="1" si="219">IFERROR(R242/(1+$C$12)^R$193,"")</f>
        <v>-148.64236018946804</v>
      </c>
      <c r="S243" s="194">
        <f t="shared" ca="1" si="219"/>
        <v>-51.773282664759392</v>
      </c>
      <c r="T243" s="194">
        <f t="shared" ca="1" si="219"/>
        <v>-139.00381847937018</v>
      </c>
      <c r="U243" s="194">
        <f t="shared" ca="1" si="219"/>
        <v>-60.967732092237156</v>
      </c>
      <c r="V243" s="194">
        <f t="shared" ca="1" si="219"/>
        <v>-127.2020946154655</v>
      </c>
      <c r="W243" s="194">
        <f t="shared" ca="1" si="219"/>
        <v>-64.082601566195123</v>
      </c>
      <c r="X243" s="194">
        <f t="shared" ca="1" si="219"/>
        <v>-114.07874607517654</v>
      </c>
      <c r="Y243" s="194">
        <f t="shared" ca="1" si="219"/>
        <v>-62.934956520937909</v>
      </c>
      <c r="Z243" s="194">
        <f t="shared" ca="1" si="219"/>
        <v>-100.54410561063055</v>
      </c>
      <c r="AA243" s="194">
        <f t="shared" ca="1" si="219"/>
        <v>-59.135000680310782</v>
      </c>
    </row>
    <row r="244" spans="1:27" ht="3.75" customHeight="1">
      <c r="G244" s="151"/>
      <c r="R244" s="856"/>
    </row>
    <row r="245" spans="1:27" ht="15" customHeight="1">
      <c r="B245" s="130" t="s">
        <v>498</v>
      </c>
      <c r="G245" s="151"/>
      <c r="Q245" s="171">
        <f ca="1">IFERROR((Q242*(1+$C$13))/(WACC!$G$11-$C$13),"")</f>
        <v>112.13506482688176</v>
      </c>
      <c r="R245" s="870">
        <f ca="1">IFERROR((R242*(1+$C$13))/(WACC!$G$11-$C$13),"")</f>
        <v>546.76509027627412</v>
      </c>
      <c r="S245" s="171">
        <f ca="1">IFERROR((S242*(1+$C$13))/(WACC!$G$11-$C$13),"")</f>
        <v>215.20342468514519</v>
      </c>
      <c r="T245" s="171">
        <f ca="1">IFERROR((T242*(1+$C$13))/(WACC!$G$11-$C$13),"")</f>
        <v>652.91327306219148</v>
      </c>
      <c r="U245" s="171">
        <f ca="1">IFERROR((U242*(1+$C$13))/(WACC!$G$11-$C$13),"")</f>
        <v>323.6041613442888</v>
      </c>
      <c r="V245" s="171">
        <f ca="1">IFERROR((V242*(1+$C$13))/(WACC!$G$11-$C$13),"")</f>
        <v>762.94566722756758</v>
      </c>
      <c r="W245" s="171">
        <f ca="1">IFERROR((W242*(1+$C$13))/(WACC!$G$11-$C$13),"")</f>
        <v>434.33494585930708</v>
      </c>
      <c r="X245" s="171">
        <f ca="1">IFERROR((X242*(1+$C$13))/(WACC!$G$11-$C$13),"")</f>
        <v>873.72481087416315</v>
      </c>
      <c r="Y245" s="171">
        <f ca="1">IFERROR((Y242*(1+$C$13))/(WACC!$G$11-$C$13),"")</f>
        <v>544.68718382591692</v>
      </c>
      <c r="Z245" s="171">
        <f ca="1">IFERROR((Z242*(1+$C$13))/(WACC!$G$11-$C$13),"")</f>
        <v>983.32510255206114</v>
      </c>
      <c r="AA245" s="171">
        <f ca="1">IFERROR((AA242*(1+$C$13))/(WACC!$G$11-$C$13),"")</f>
        <v>653.53734233407374</v>
      </c>
    </row>
    <row r="246" spans="1:27" ht="15" customHeight="1">
      <c r="B246" s="130" t="s">
        <v>499</v>
      </c>
      <c r="G246" s="151"/>
      <c r="Q246" s="215">
        <f ca="1">IFERROR(Q245/(1+WACC!$G$11)^$Q$193,"")</f>
        <v>36.252577885119024</v>
      </c>
      <c r="R246" s="891">
        <f ca="1">IFERROR(R245/(1+WACC!$G$11)^$Q$193,"")</f>
        <v>176.76579623604931</v>
      </c>
      <c r="S246" s="215">
        <f ca="1">IFERROR(S245/(1+WACC!$G$11)^$Q$193,"")</f>
        <v>69.573945728636176</v>
      </c>
      <c r="T246" s="215">
        <f ca="1">IFERROR(T245/(1+WACC!$G$11)^$Q$193,"")</f>
        <v>211.0828519202033</v>
      </c>
      <c r="U246" s="215">
        <f ca="1">IFERROR(U245/(1+WACC!$G$11)^$Q$193,"")</f>
        <v>104.61923824803553</v>
      </c>
      <c r="V246" s="215">
        <f ca="1">IFERROR(V245/(1+WACC!$G$11)^$Q$193,"")</f>
        <v>246.6556492920576</v>
      </c>
      <c r="W246" s="215">
        <f ca="1">IFERROR(W245/(1+WACC!$G$11)^$Q$193,"")</f>
        <v>140.4178209314131</v>
      </c>
      <c r="X246" s="215">
        <f ca="1">IFERROR(X245/(1+WACC!$G$11)^$Q$193,"")</f>
        <v>282.4698661857214</v>
      </c>
      <c r="Y246" s="215">
        <f ca="1">IFERROR(Y245/(1+WACC!$G$11)^$Q$193,"")</f>
        <v>176.09402184018248</v>
      </c>
      <c r="Z246" s="215">
        <f ca="1">IFERROR(Z245/(1+WACC!$G$11)^$Q$193,"")</f>
        <v>317.9029674767304</v>
      </c>
      <c r="AA246" s="215">
        <f ca="1">IFERROR(AA245/(1+WACC!$G$11)^$Q$193,"")</f>
        <v>211.2846096836607</v>
      </c>
    </row>
    <row r="247" spans="1:27" ht="15" customHeight="1">
      <c r="B247" s="130" t="s">
        <v>229</v>
      </c>
      <c r="G247" s="151"/>
      <c r="Q247" s="171">
        <f t="shared" ref="Q247:AA247" ca="1" si="220">+SUM(Q246,H243:Q243)</f>
        <v>-1189.8378205095264</v>
      </c>
      <c r="R247" s="870">
        <f t="shared" ca="1" si="220"/>
        <v>-903.8478662699697</v>
      </c>
      <c r="S247" s="171">
        <f t="shared" ca="1" si="220"/>
        <v>-1077.099370671712</v>
      </c>
      <c r="T247" s="171">
        <f t="shared" ca="1" si="220"/>
        <v>-833.99355926181079</v>
      </c>
      <c r="U247" s="171">
        <f t="shared" ca="1" si="220"/>
        <v>-965.42570018959009</v>
      </c>
      <c r="V247" s="171">
        <f t="shared" ca="1" si="220"/>
        <v>-744.98663915851171</v>
      </c>
      <c r="W247" s="171">
        <f t="shared" ca="1" si="220"/>
        <v>-865.68250172630212</v>
      </c>
      <c r="X247" s="171">
        <f t="shared" ca="1" si="220"/>
        <v>-658.41861094728279</v>
      </c>
      <c r="Y247" s="171">
        <f t="shared" ca="1" si="220"/>
        <v>-776.35559880604649</v>
      </c>
      <c r="Z247" s="171">
        <f t="shared" ca="1" si="220"/>
        <v>-585.77508974917339</v>
      </c>
      <c r="AA247" s="171">
        <f t="shared" ca="1" si="220"/>
        <v>-717.08008881089052</v>
      </c>
    </row>
    <row r="248" spans="1:27" ht="3.75" customHeight="1">
      <c r="G248" s="151"/>
      <c r="R248" s="856"/>
    </row>
    <row r="249" spans="1:27" ht="15" customHeight="1">
      <c r="B249" s="152" t="s">
        <v>508</v>
      </c>
      <c r="G249" s="151"/>
      <c r="N249" s="204"/>
      <c r="Q249" s="205">
        <f t="shared" ref="Q249:AA249" ca="1" si="221">IFERROR(Q247/Q205,"")</f>
        <v>-2.4585422339242142</v>
      </c>
      <c r="R249" s="892" t="str">
        <f t="shared" ca="1" si="221"/>
        <v/>
      </c>
      <c r="S249" s="205" t="str">
        <f t="shared" ca="1" si="221"/>
        <v/>
      </c>
      <c r="T249" s="205" t="str">
        <f t="shared" ca="1" si="221"/>
        <v/>
      </c>
      <c r="U249" s="205" t="str">
        <f t="shared" ca="1" si="221"/>
        <v/>
      </c>
      <c r="V249" s="205" t="str">
        <f t="shared" ca="1" si="221"/>
        <v/>
      </c>
      <c r="W249" s="205" t="str">
        <f t="shared" ca="1" si="221"/>
        <v/>
      </c>
      <c r="X249" s="205" t="str">
        <f t="shared" ca="1" si="221"/>
        <v/>
      </c>
      <c r="Y249" s="205" t="str">
        <f t="shared" ca="1" si="221"/>
        <v/>
      </c>
      <c r="Z249" s="205" t="str">
        <f t="shared" ca="1" si="221"/>
        <v/>
      </c>
      <c r="AA249" s="205">
        <f t="shared" ca="1" si="221"/>
        <v>-1.4816907422666563</v>
      </c>
    </row>
    <row r="250" spans="1:27" ht="3.75" customHeight="1">
      <c r="G250" s="151"/>
      <c r="R250" s="856"/>
    </row>
    <row r="251" spans="1:27" ht="15" customHeight="1">
      <c r="B251" s="152" t="s">
        <v>510</v>
      </c>
      <c r="C251" s="152"/>
      <c r="D251" s="152"/>
      <c r="E251" s="152"/>
      <c r="F251" s="152"/>
      <c r="G251" s="206"/>
      <c r="H251" s="152"/>
      <c r="I251" s="152"/>
      <c r="J251" s="152"/>
      <c r="K251" s="152"/>
      <c r="L251" s="152"/>
      <c r="M251" s="152"/>
      <c r="N251" s="152"/>
      <c r="O251" s="152"/>
      <c r="P251" s="152"/>
      <c r="Q251" s="207">
        <f t="shared" ref="Q251:AA251" ca="1" si="222">IFERROR(Q249/Q208-1,"")</f>
        <v>-1.0506414730560314</v>
      </c>
      <c r="R251" s="886" t="str">
        <f t="shared" ca="1" si="222"/>
        <v/>
      </c>
      <c r="S251" s="207" t="str">
        <f t="shared" ca="1" si="222"/>
        <v/>
      </c>
      <c r="T251" s="207" t="str">
        <f t="shared" ca="1" si="222"/>
        <v/>
      </c>
      <c r="U251" s="207" t="str">
        <f t="shared" ca="1" si="222"/>
        <v/>
      </c>
      <c r="V251" s="207" t="str">
        <f t="shared" ca="1" si="222"/>
        <v/>
      </c>
      <c r="W251" s="207" t="str">
        <f t="shared" ca="1" si="222"/>
        <v/>
      </c>
      <c r="X251" s="207" t="str">
        <f t="shared" ca="1" si="222"/>
        <v/>
      </c>
      <c r="Y251" s="207" t="str">
        <f t="shared" ca="1" si="222"/>
        <v/>
      </c>
      <c r="Z251" s="207" t="str">
        <f t="shared" ca="1" si="222"/>
        <v/>
      </c>
      <c r="AA251" s="207">
        <f t="shared" ca="1" si="222"/>
        <v>-1.0305201191041167</v>
      </c>
    </row>
    <row r="252" spans="1:27" s="212" customFormat="1" ht="3.75" customHeight="1">
      <c r="G252" s="213"/>
      <c r="R252" s="893"/>
    </row>
    <row r="253" spans="1:27" ht="15" customHeight="1">
      <c r="A253" s="130" t="s">
        <v>405</v>
      </c>
      <c r="B253" s="52" t="s">
        <v>522</v>
      </c>
      <c r="C253" s="52"/>
      <c r="D253" s="52"/>
      <c r="E253" s="141">
        <f>+E226</f>
        <v>2022</v>
      </c>
      <c r="F253" s="141">
        <f>+F226</f>
        <v>2023</v>
      </c>
      <c r="G253" s="142">
        <f>+G226</f>
        <v>2024</v>
      </c>
      <c r="H253" s="104">
        <f t="shared" ref="H253:Q253" si="223">1+G253</f>
        <v>2025</v>
      </c>
      <c r="I253" s="104">
        <f t="shared" si="223"/>
        <v>2026</v>
      </c>
      <c r="J253" s="104">
        <f t="shared" si="223"/>
        <v>2027</v>
      </c>
      <c r="K253" s="104">
        <f t="shared" si="223"/>
        <v>2028</v>
      </c>
      <c r="L253" s="104">
        <f t="shared" si="223"/>
        <v>2029</v>
      </c>
      <c r="M253" s="104">
        <f t="shared" si="223"/>
        <v>2030</v>
      </c>
      <c r="N253" s="104">
        <f t="shared" si="223"/>
        <v>2031</v>
      </c>
      <c r="O253" s="104">
        <f t="shared" si="223"/>
        <v>2032</v>
      </c>
      <c r="P253" s="104">
        <f t="shared" si="223"/>
        <v>2033</v>
      </c>
      <c r="Q253" s="104">
        <f t="shared" si="223"/>
        <v>2034</v>
      </c>
      <c r="R253" s="852">
        <f t="shared" ref="R253:AA253" si="224">+Q253+1</f>
        <v>2035</v>
      </c>
      <c r="S253" s="104">
        <f t="shared" si="224"/>
        <v>2036</v>
      </c>
      <c r="T253" s="104">
        <f t="shared" si="224"/>
        <v>2037</v>
      </c>
      <c r="U253" s="104">
        <f t="shared" si="224"/>
        <v>2038</v>
      </c>
      <c r="V253" s="104">
        <f t="shared" si="224"/>
        <v>2039</v>
      </c>
      <c r="W253" s="104">
        <f t="shared" si="224"/>
        <v>2040</v>
      </c>
      <c r="X253" s="104">
        <f t="shared" si="224"/>
        <v>2041</v>
      </c>
      <c r="Y253" s="104">
        <f t="shared" si="224"/>
        <v>2042</v>
      </c>
      <c r="Z253" s="104">
        <f t="shared" si="224"/>
        <v>2043</v>
      </c>
      <c r="AA253" s="104">
        <f t="shared" si="224"/>
        <v>2044</v>
      </c>
    </row>
    <row r="254" spans="1:27" ht="3.75" customHeight="1">
      <c r="B254" s="53"/>
      <c r="C254" s="53"/>
      <c r="D254" s="53"/>
      <c r="E254" s="53"/>
      <c r="F254" s="53"/>
      <c r="G254" s="208"/>
      <c r="H254" s="53"/>
      <c r="I254" s="53"/>
      <c r="J254" s="53"/>
      <c r="K254" s="53"/>
      <c r="L254" s="53"/>
      <c r="M254" s="53"/>
      <c r="N254" s="53"/>
      <c r="O254" s="53"/>
      <c r="P254" s="53"/>
      <c r="Q254" s="53"/>
      <c r="R254" s="888"/>
      <c r="S254" s="53"/>
      <c r="T254" s="53"/>
      <c r="U254" s="53"/>
      <c r="V254" s="53"/>
      <c r="W254" s="53"/>
      <c r="X254" s="53"/>
      <c r="Y254" s="53"/>
      <c r="Z254" s="53"/>
      <c r="AA254" s="53"/>
    </row>
    <row r="255" spans="1:27" ht="15" customHeight="1">
      <c r="B255" s="130" t="s">
        <v>421</v>
      </c>
      <c r="E255" s="171">
        <f t="shared" ref="E255:G255" si="225">+E148+E145</f>
        <v>3.9</v>
      </c>
      <c r="F255" s="171">
        <f t="shared" si="225"/>
        <v>2.4</v>
      </c>
      <c r="G255" s="209">
        <f t="shared" si="225"/>
        <v>-26.1</v>
      </c>
      <c r="H255" s="171">
        <f>IFERROR(H148+H145,"")</f>
        <v>0</v>
      </c>
      <c r="I255" s="171">
        <f t="shared" ref="I255:Q255" si="226">IFERROR(I148+I145,"")</f>
        <v>0</v>
      </c>
      <c r="J255" s="171">
        <f t="shared" si="226"/>
        <v>0</v>
      </c>
      <c r="K255" s="171">
        <f t="shared" si="226"/>
        <v>0</v>
      </c>
      <c r="L255" s="171">
        <f t="shared" si="226"/>
        <v>0</v>
      </c>
      <c r="M255" s="171">
        <f t="shared" si="226"/>
        <v>0</v>
      </c>
      <c r="N255" s="171">
        <f t="shared" si="226"/>
        <v>0</v>
      </c>
      <c r="O255" s="171">
        <f t="shared" si="226"/>
        <v>0</v>
      </c>
      <c r="P255" s="171">
        <f t="shared" si="226"/>
        <v>0</v>
      </c>
      <c r="Q255" s="171">
        <f t="shared" si="226"/>
        <v>0</v>
      </c>
      <c r="R255" s="870">
        <f t="shared" ref="R255:AA255" si="227">IFERROR(R148+R145,"")</f>
        <v>0</v>
      </c>
      <c r="S255" s="171">
        <f t="shared" si="227"/>
        <v>0</v>
      </c>
      <c r="T255" s="171">
        <f t="shared" si="227"/>
        <v>0</v>
      </c>
      <c r="U255" s="171">
        <f t="shared" si="227"/>
        <v>0</v>
      </c>
      <c r="V255" s="171">
        <f t="shared" si="227"/>
        <v>0</v>
      </c>
      <c r="W255" s="171">
        <f t="shared" si="227"/>
        <v>0</v>
      </c>
      <c r="X255" s="171">
        <f t="shared" si="227"/>
        <v>0</v>
      </c>
      <c r="Y255" s="171">
        <f t="shared" si="227"/>
        <v>0</v>
      </c>
      <c r="Z255" s="171">
        <f t="shared" si="227"/>
        <v>0</v>
      </c>
      <c r="AA255" s="171">
        <f t="shared" si="227"/>
        <v>0</v>
      </c>
    </row>
    <row r="256" spans="1:27" ht="15" customHeight="1">
      <c r="B256" s="155" t="s">
        <v>523</v>
      </c>
      <c r="E256" s="212">
        <f t="shared" ref="E256:Q256" si="228">IFERROR(_xlfn.XLOOKUP("Repurchase payout",$B:$B,E:E)+_xlfn.XLOOKUP("Dividend payout",$B:$B,E:E),"")</f>
        <v>3.6630036630036632E-2</v>
      </c>
      <c r="F256" s="212">
        <f t="shared" si="228"/>
        <v>1.556420233463035E-2</v>
      </c>
      <c r="G256" s="213">
        <f t="shared" si="228"/>
        <v>-0.17315730113447886</v>
      </c>
      <c r="H256" s="212">
        <f t="shared" si="228"/>
        <v>0</v>
      </c>
      <c r="I256" s="212">
        <f t="shared" si="228"/>
        <v>0</v>
      </c>
      <c r="J256" s="212">
        <f t="shared" si="228"/>
        <v>0</v>
      </c>
      <c r="K256" s="212">
        <f t="shared" si="228"/>
        <v>0</v>
      </c>
      <c r="L256" s="212">
        <f t="shared" si="228"/>
        <v>0</v>
      </c>
      <c r="M256" s="212">
        <f t="shared" si="228"/>
        <v>0</v>
      </c>
      <c r="N256" s="212">
        <f t="shared" si="228"/>
        <v>0</v>
      </c>
      <c r="O256" s="212">
        <f t="shared" si="228"/>
        <v>0</v>
      </c>
      <c r="P256" s="212">
        <f t="shared" si="228"/>
        <v>0</v>
      </c>
      <c r="Q256" s="212">
        <f t="shared" si="228"/>
        <v>0</v>
      </c>
      <c r="R256" s="893">
        <f t="shared" ref="R256:AA256" si="229">IFERROR(_xlfn.XLOOKUP("Repurchase payout",$B:$B,R:R)+_xlfn.XLOOKUP("Dividend payout",$B:$B,R:R),"")</f>
        <v>0</v>
      </c>
      <c r="S256" s="212">
        <f t="shared" si="229"/>
        <v>0</v>
      </c>
      <c r="T256" s="212">
        <f t="shared" si="229"/>
        <v>0</v>
      </c>
      <c r="U256" s="212">
        <f t="shared" si="229"/>
        <v>0</v>
      </c>
      <c r="V256" s="212">
        <f t="shared" si="229"/>
        <v>0</v>
      </c>
      <c r="W256" s="212">
        <f t="shared" si="229"/>
        <v>0</v>
      </c>
      <c r="X256" s="212">
        <f t="shared" si="229"/>
        <v>0</v>
      </c>
      <c r="Y256" s="212">
        <f t="shared" si="229"/>
        <v>0</v>
      </c>
      <c r="Z256" s="212">
        <f t="shared" si="229"/>
        <v>0</v>
      </c>
      <c r="AA256" s="212">
        <f t="shared" si="229"/>
        <v>0</v>
      </c>
    </row>
    <row r="257" spans="1:27" ht="15" customHeight="1">
      <c r="B257" s="130" t="s">
        <v>524</v>
      </c>
      <c r="E257" s="212">
        <f>IFERROR(1-E256,"")</f>
        <v>0.96336996336996339</v>
      </c>
      <c r="F257" s="212">
        <f t="shared" ref="F257:Q257" si="230">IFERROR(1-F256,"")</f>
        <v>0.98443579766536971</v>
      </c>
      <c r="G257" s="213">
        <f t="shared" si="230"/>
        <v>1.1731573011344789</v>
      </c>
      <c r="H257" s="212">
        <f t="shared" si="230"/>
        <v>1</v>
      </c>
      <c r="I257" s="212">
        <f t="shared" si="230"/>
        <v>1</v>
      </c>
      <c r="J257" s="212">
        <f t="shared" si="230"/>
        <v>1</v>
      </c>
      <c r="K257" s="212">
        <f t="shared" si="230"/>
        <v>1</v>
      </c>
      <c r="L257" s="212">
        <f t="shared" si="230"/>
        <v>1</v>
      </c>
      <c r="M257" s="212">
        <f t="shared" si="230"/>
        <v>1</v>
      </c>
      <c r="N257" s="212">
        <f t="shared" si="230"/>
        <v>1</v>
      </c>
      <c r="O257" s="212">
        <f t="shared" si="230"/>
        <v>1</v>
      </c>
      <c r="P257" s="212">
        <f t="shared" si="230"/>
        <v>1</v>
      </c>
      <c r="Q257" s="212">
        <f t="shared" si="230"/>
        <v>1</v>
      </c>
      <c r="R257" s="893">
        <f t="shared" ref="R257:AA257" si="231">IFERROR(1-R256,"")</f>
        <v>1</v>
      </c>
      <c r="S257" s="212">
        <f t="shared" si="231"/>
        <v>1</v>
      </c>
      <c r="T257" s="212">
        <f t="shared" si="231"/>
        <v>1</v>
      </c>
      <c r="U257" s="212">
        <f t="shared" si="231"/>
        <v>1</v>
      </c>
      <c r="V257" s="212">
        <f t="shared" si="231"/>
        <v>1</v>
      </c>
      <c r="W257" s="212">
        <f t="shared" si="231"/>
        <v>1</v>
      </c>
      <c r="X257" s="212">
        <f t="shared" si="231"/>
        <v>1</v>
      </c>
      <c r="Y257" s="212">
        <f t="shared" si="231"/>
        <v>1</v>
      </c>
      <c r="Z257" s="212">
        <f t="shared" si="231"/>
        <v>1</v>
      </c>
      <c r="AA257" s="212">
        <f t="shared" si="231"/>
        <v>1</v>
      </c>
    </row>
    <row r="258" spans="1:27" ht="3.75" customHeight="1">
      <c r="G258" s="151"/>
      <c r="R258" s="856"/>
    </row>
    <row r="259" spans="1:27" ht="15" customHeight="1">
      <c r="B259" s="216" t="s">
        <v>525</v>
      </c>
      <c r="C259" s="217"/>
      <c r="D259" s="217"/>
      <c r="E259" s="217"/>
      <c r="F259" s="217"/>
      <c r="G259" s="218"/>
      <c r="H259" s="219">
        <f ca="1">IFERROR(-H255/(1+WACC!$G$11)^H$193,"")</f>
        <v>0</v>
      </c>
      <c r="I259" s="219">
        <f ca="1">IFERROR(-I255/(1+WACC!$G$11)^I$193,"")</f>
        <v>0</v>
      </c>
      <c r="J259" s="219">
        <f ca="1">IFERROR(-J255/(1+WACC!$G$11)^J$193,"")</f>
        <v>0</v>
      </c>
      <c r="K259" s="219">
        <f ca="1">IFERROR(-K255/(1+WACC!$G$11)^K$193,"")</f>
        <v>0</v>
      </c>
      <c r="L259" s="219">
        <f ca="1">IFERROR(-L255/(1+WACC!$G$11)^L$193,"")</f>
        <v>0</v>
      </c>
      <c r="M259" s="219">
        <f ca="1">IFERROR(-M255/(1+WACC!$G$11)^M$193,"")</f>
        <v>0</v>
      </c>
      <c r="N259" s="219">
        <f ca="1">IFERROR(-N255/(1+WACC!$G$11)^N$193,"")</f>
        <v>0</v>
      </c>
      <c r="O259" s="219">
        <f ca="1">IFERROR(-O255/(1+WACC!$G$11)^O$193,"")</f>
        <v>0</v>
      </c>
      <c r="P259" s="219">
        <f ca="1">IFERROR(-P255/(1+WACC!$G$11)^P$193,"")</f>
        <v>0</v>
      </c>
      <c r="Q259" s="219">
        <f ca="1">IFERROR(-Q255/(1+WACC!$G$11)^Q$193,"")</f>
        <v>0</v>
      </c>
      <c r="R259" s="870">
        <f ca="1">IFERROR(-R255/(1+WACC!$G$11)^R$193,"")</f>
        <v>0</v>
      </c>
      <c r="S259" s="494">
        <f ca="1">IFERROR(-S255/(1+WACC!$G$11)^S$193,"")</f>
        <v>0</v>
      </c>
      <c r="T259" s="494">
        <f ca="1">IFERROR(-T255/(1+WACC!$G$11)^T$193,"")</f>
        <v>0</v>
      </c>
      <c r="U259" s="494">
        <f ca="1">IFERROR(-U255/(1+WACC!$G$11)^U$193,"")</f>
        <v>0</v>
      </c>
      <c r="V259" s="494">
        <f ca="1">IFERROR(-V255/(1+WACC!$G$11)^V$193,"")</f>
        <v>0</v>
      </c>
      <c r="W259" s="494">
        <f ca="1">IFERROR(-W255/(1+WACC!$G$11)^W$193,"")</f>
        <v>0</v>
      </c>
      <c r="X259" s="494">
        <f ca="1">IFERROR(-X255/(1+WACC!$G$11)^X$193,"")</f>
        <v>0</v>
      </c>
      <c r="Y259" s="494">
        <f ca="1">IFERROR(-Y255/(1+WACC!$G$11)^Y$193,"")</f>
        <v>0</v>
      </c>
      <c r="Z259" s="494">
        <f ca="1">IFERROR(-Z255/(1+WACC!$G$11)^Z$193,"")</f>
        <v>0</v>
      </c>
      <c r="AA259" s="494">
        <f ca="1">IFERROR(-AA255/(1+WACC!$G$11)^AA$193,"")</f>
        <v>0</v>
      </c>
    </row>
    <row r="260" spans="1:27" ht="3.75" customHeight="1">
      <c r="G260" s="151"/>
      <c r="R260" s="856"/>
    </row>
    <row r="261" spans="1:27" ht="13.5" customHeight="1">
      <c r="B261" s="130" t="s">
        <v>498</v>
      </c>
      <c r="G261" s="151"/>
      <c r="Q261" s="171">
        <f ca="1">IFERROR(+(Q259*(1+$C$13))/(WACC!$G$11-$C$13),"")</f>
        <v>0</v>
      </c>
      <c r="R261" s="870">
        <f ca="1">IFERROR(+(R259*(1+$C$13))/(WACC!$G$11-$C$13),"")</f>
        <v>0</v>
      </c>
      <c r="S261" s="171">
        <f ca="1">IFERROR(+(S259*(1+$C$13))/(WACC!$G$11-$C$13),"")</f>
        <v>0</v>
      </c>
      <c r="T261" s="171">
        <f ca="1">IFERROR(+(T259*(1+$C$13))/(WACC!$G$11-$C$13),"")</f>
        <v>0</v>
      </c>
      <c r="U261" s="171">
        <f ca="1">IFERROR(+(U259*(1+$C$13))/(WACC!$G$11-$C$13),"")</f>
        <v>0</v>
      </c>
      <c r="V261" s="171">
        <f ca="1">IFERROR(+(V259*(1+$C$13))/(WACC!$G$11-$C$13),"")</f>
        <v>0</v>
      </c>
      <c r="W261" s="171">
        <f ca="1">IFERROR(+(W259*(1+$C$13))/(WACC!$G$11-$C$13),"")</f>
        <v>0</v>
      </c>
      <c r="X261" s="171">
        <f ca="1">IFERROR(+(X259*(1+$C$13))/(WACC!$G$11-$C$13),"")</f>
        <v>0</v>
      </c>
      <c r="Y261" s="171">
        <f ca="1">IFERROR(+(Y259*(1+$C$13))/(WACC!$G$11-$C$13),"")</f>
        <v>0</v>
      </c>
      <c r="Z261" s="171">
        <f ca="1">IFERROR(+(Z259*(1+$C$13))/(WACC!$G$11-$C$13),"")</f>
        <v>0</v>
      </c>
      <c r="AA261" s="171">
        <f ca="1">IFERROR(+(AA259*(1+$C$13))/(WACC!$G$11-$C$13),"")</f>
        <v>0</v>
      </c>
    </row>
    <row r="262" spans="1:27" ht="15" customHeight="1">
      <c r="B262" s="130" t="s">
        <v>499</v>
      </c>
      <c r="G262" s="151"/>
      <c r="Q262" s="215">
        <f t="shared" ref="Q262:AA262" ca="1" si="232">IFERROR(Q261/(1+$C$12)^$Q$193,"")</f>
        <v>0</v>
      </c>
      <c r="R262" s="891">
        <f t="shared" ca="1" si="232"/>
        <v>0</v>
      </c>
      <c r="S262" s="215">
        <f t="shared" ca="1" si="232"/>
        <v>0</v>
      </c>
      <c r="T262" s="215">
        <f t="shared" ca="1" si="232"/>
        <v>0</v>
      </c>
      <c r="U262" s="215">
        <f t="shared" ca="1" si="232"/>
        <v>0</v>
      </c>
      <c r="V262" s="215">
        <f t="shared" ca="1" si="232"/>
        <v>0</v>
      </c>
      <c r="W262" s="215">
        <f t="shared" ca="1" si="232"/>
        <v>0</v>
      </c>
      <c r="X262" s="215">
        <f t="shared" ca="1" si="232"/>
        <v>0</v>
      </c>
      <c r="Y262" s="215">
        <f t="shared" ca="1" si="232"/>
        <v>0</v>
      </c>
      <c r="Z262" s="215">
        <f t="shared" ca="1" si="232"/>
        <v>0</v>
      </c>
      <c r="AA262" s="215">
        <f t="shared" ca="1" si="232"/>
        <v>0</v>
      </c>
    </row>
    <row r="263" spans="1:27" ht="15" customHeight="1">
      <c r="B263" s="130" t="s">
        <v>229</v>
      </c>
      <c r="G263" s="151"/>
      <c r="Q263" s="171">
        <f t="shared" ref="Q263:AA263" ca="1" si="233">+SUM(Q262,H259:Q259)</f>
        <v>0</v>
      </c>
      <c r="R263" s="870">
        <f t="shared" ca="1" si="233"/>
        <v>0</v>
      </c>
      <c r="S263" s="171">
        <f t="shared" ca="1" si="233"/>
        <v>0</v>
      </c>
      <c r="T263" s="171">
        <f t="shared" ca="1" si="233"/>
        <v>0</v>
      </c>
      <c r="U263" s="171">
        <f t="shared" ca="1" si="233"/>
        <v>0</v>
      </c>
      <c r="V263" s="171">
        <f t="shared" ca="1" si="233"/>
        <v>0</v>
      </c>
      <c r="W263" s="171">
        <f t="shared" ca="1" si="233"/>
        <v>0</v>
      </c>
      <c r="X263" s="171">
        <f t="shared" ca="1" si="233"/>
        <v>0</v>
      </c>
      <c r="Y263" s="171">
        <f t="shared" ca="1" si="233"/>
        <v>0</v>
      </c>
      <c r="Z263" s="171">
        <f t="shared" ca="1" si="233"/>
        <v>0</v>
      </c>
      <c r="AA263" s="171">
        <f t="shared" ca="1" si="233"/>
        <v>0</v>
      </c>
    </row>
    <row r="264" spans="1:27" ht="3.75" customHeight="1">
      <c r="G264" s="151"/>
      <c r="N264" s="204"/>
      <c r="R264" s="856"/>
    </row>
    <row r="265" spans="1:27" ht="15" customHeight="1">
      <c r="B265" s="152" t="s">
        <v>508</v>
      </c>
      <c r="G265" s="151"/>
      <c r="Q265" s="205">
        <f t="shared" ref="Q265:AA265" ca="1" si="234">IFERROR(Q262/Q$205,"")</f>
        <v>0</v>
      </c>
      <c r="R265" s="892" t="str">
        <f t="shared" ca="1" si="234"/>
        <v/>
      </c>
      <c r="S265" s="205" t="str">
        <f t="shared" ca="1" si="234"/>
        <v/>
      </c>
      <c r="T265" s="205" t="str">
        <f t="shared" ca="1" si="234"/>
        <v/>
      </c>
      <c r="U265" s="205" t="str">
        <f t="shared" ca="1" si="234"/>
        <v/>
      </c>
      <c r="V265" s="205" t="str">
        <f t="shared" ca="1" si="234"/>
        <v/>
      </c>
      <c r="W265" s="205" t="str">
        <f t="shared" ca="1" si="234"/>
        <v/>
      </c>
      <c r="X265" s="205" t="str">
        <f t="shared" ca="1" si="234"/>
        <v/>
      </c>
      <c r="Y265" s="205" t="str">
        <f t="shared" ca="1" si="234"/>
        <v/>
      </c>
      <c r="Z265" s="205" t="str">
        <f t="shared" ca="1" si="234"/>
        <v/>
      </c>
      <c r="AA265" s="205">
        <f t="shared" ca="1" si="234"/>
        <v>0</v>
      </c>
    </row>
    <row r="266" spans="1:27" ht="3.75" customHeight="1">
      <c r="B266" s="152"/>
      <c r="G266" s="151"/>
      <c r="R266" s="856"/>
    </row>
    <row r="267" spans="1:27" ht="15" customHeight="1">
      <c r="B267" s="152" t="s">
        <v>510</v>
      </c>
      <c r="C267" s="152"/>
      <c r="D267" s="152"/>
      <c r="E267" s="152"/>
      <c r="F267" s="152"/>
      <c r="G267" s="206"/>
      <c r="H267" s="152"/>
      <c r="I267" s="152"/>
      <c r="J267" s="152"/>
      <c r="K267" s="152"/>
      <c r="L267" s="152"/>
      <c r="M267" s="152"/>
      <c r="N267" s="152"/>
      <c r="O267" s="152"/>
      <c r="P267" s="152"/>
      <c r="Q267" s="220">
        <f t="shared" ref="Q267:AA267" ca="1" si="235">IFERROR(Q265/Q208-1,"")</f>
        <v>-1</v>
      </c>
      <c r="R267" s="894" t="str">
        <f t="shared" ca="1" si="235"/>
        <v/>
      </c>
      <c r="S267" s="220" t="str">
        <f t="shared" ca="1" si="235"/>
        <v/>
      </c>
      <c r="T267" s="220" t="str">
        <f t="shared" ca="1" si="235"/>
        <v/>
      </c>
      <c r="U267" s="220" t="str">
        <f t="shared" ca="1" si="235"/>
        <v/>
      </c>
      <c r="V267" s="220" t="str">
        <f t="shared" ca="1" si="235"/>
        <v/>
      </c>
      <c r="W267" s="220" t="str">
        <f t="shared" ca="1" si="235"/>
        <v/>
      </c>
      <c r="X267" s="220" t="str">
        <f t="shared" ca="1" si="235"/>
        <v/>
      </c>
      <c r="Y267" s="220" t="str">
        <f t="shared" ca="1" si="235"/>
        <v/>
      </c>
      <c r="Z267" s="220" t="str">
        <f t="shared" ca="1" si="235"/>
        <v/>
      </c>
      <c r="AA267" s="220">
        <f t="shared" ca="1" si="235"/>
        <v>-1</v>
      </c>
    </row>
    <row r="269" spans="1:27" ht="15" customHeight="1">
      <c r="A269" s="130" t="s">
        <v>405</v>
      </c>
      <c r="B269" s="69" t="s">
        <v>172</v>
      </c>
      <c r="C269" s="70"/>
      <c r="D269" s="69"/>
      <c r="E269" s="70"/>
      <c r="F269" s="70"/>
      <c r="G269" s="70"/>
      <c r="H269" s="70"/>
      <c r="I269" s="70"/>
      <c r="J269" s="99"/>
      <c r="K269" s="100"/>
      <c r="L269" s="100"/>
      <c r="M269" s="100"/>
      <c r="N269" s="100"/>
      <c r="O269" s="100"/>
    </row>
    <row r="270" spans="1:27" ht="3.75" customHeight="1">
      <c r="B270" s="71"/>
      <c r="C270" s="71"/>
      <c r="D270" s="71"/>
      <c r="E270" s="71"/>
      <c r="F270" s="71"/>
      <c r="G270" s="71"/>
      <c r="H270" s="71"/>
      <c r="I270" s="71"/>
      <c r="J270" s="101"/>
      <c r="K270" s="101"/>
      <c r="L270" s="101"/>
      <c r="M270" s="101"/>
      <c r="N270" s="101"/>
      <c r="O270" s="101"/>
    </row>
    <row r="271" spans="1:27" ht="51" customHeight="1">
      <c r="B271" s="942" t="s">
        <v>526</v>
      </c>
      <c r="C271" s="942"/>
      <c r="D271" s="947" t="s">
        <v>527</v>
      </c>
      <c r="E271" s="947"/>
      <c r="F271" s="947"/>
      <c r="G271" s="947"/>
      <c r="H271" s="947"/>
      <c r="I271" s="947"/>
      <c r="J271" s="947"/>
      <c r="K271" s="947"/>
      <c r="L271" s="947"/>
      <c r="M271" s="947"/>
      <c r="N271" s="947"/>
      <c r="O271" s="947"/>
    </row>
    <row r="272" spans="1:27" ht="51" customHeight="1">
      <c r="B272" s="942" t="s">
        <v>528</v>
      </c>
      <c r="C272" s="942"/>
      <c r="D272" s="948" t="s">
        <v>529</v>
      </c>
      <c r="E272" s="949"/>
      <c r="F272" s="949"/>
      <c r="G272" s="949"/>
      <c r="H272" s="949"/>
      <c r="I272" s="949"/>
      <c r="J272" s="949"/>
      <c r="K272" s="949"/>
      <c r="L272" s="949"/>
      <c r="M272" s="949"/>
      <c r="N272" s="949"/>
      <c r="O272" s="950"/>
    </row>
    <row r="273" spans="1:56" ht="51" customHeight="1">
      <c r="B273" s="942" t="s">
        <v>530</v>
      </c>
      <c r="C273" s="942"/>
      <c r="D273" s="943" t="s">
        <v>531</v>
      </c>
      <c r="E273" s="944"/>
      <c r="F273" s="944"/>
      <c r="G273" s="944"/>
      <c r="H273" s="944"/>
      <c r="I273" s="944"/>
      <c r="J273" s="944"/>
      <c r="K273" s="944"/>
      <c r="L273" s="944"/>
      <c r="M273" s="944"/>
      <c r="N273" s="944"/>
      <c r="O273" s="945"/>
    </row>
    <row r="274" spans="1:56" ht="51" customHeight="1">
      <c r="B274" s="942" t="s">
        <v>532</v>
      </c>
      <c r="C274" s="942"/>
      <c r="D274" s="943" t="s">
        <v>533</v>
      </c>
      <c r="E274" s="944"/>
      <c r="F274" s="944"/>
      <c r="G274" s="944"/>
      <c r="H274" s="944"/>
      <c r="I274" s="944"/>
      <c r="J274" s="944"/>
      <c r="K274" s="944"/>
      <c r="L274" s="944"/>
      <c r="M274" s="944"/>
      <c r="N274" s="944"/>
      <c r="O274" s="945"/>
    </row>
    <row r="275" spans="1:56" ht="39.75" customHeight="1">
      <c r="B275" s="946"/>
      <c r="C275" s="946"/>
      <c r="D275" s="912"/>
      <c r="E275" s="912"/>
      <c r="F275" s="912"/>
      <c r="G275" s="912"/>
      <c r="H275" s="912"/>
      <c r="I275" s="912"/>
      <c r="J275" s="912"/>
      <c r="K275" s="912"/>
      <c r="L275" s="912"/>
      <c r="M275" s="912"/>
      <c r="N275" s="912"/>
      <c r="O275" s="912"/>
    </row>
    <row r="276" spans="1:56" ht="39.75" customHeight="1">
      <c r="B276" s="946"/>
      <c r="C276" s="946"/>
      <c r="D276" s="912"/>
      <c r="E276" s="912"/>
      <c r="F276" s="912"/>
      <c r="G276" s="912"/>
      <c r="H276" s="912"/>
      <c r="I276" s="912"/>
      <c r="J276" s="912"/>
      <c r="K276" s="912"/>
      <c r="L276" s="912"/>
      <c r="M276" s="912"/>
      <c r="N276" s="912"/>
      <c r="O276" s="912"/>
    </row>
    <row r="277" spans="1:56" ht="15" customHeight="1">
      <c r="D277" s="906"/>
      <c r="E277" s="906"/>
      <c r="F277" s="906"/>
      <c r="G277" s="906"/>
      <c r="H277" s="906"/>
      <c r="I277" s="906"/>
      <c r="J277" s="906"/>
      <c r="K277" s="906"/>
      <c r="L277" s="906"/>
      <c r="M277" s="906"/>
      <c r="N277" s="906"/>
      <c r="O277"/>
    </row>
    <row r="278" spans="1:56" s="41" customFormat="1" ht="20.100000000000001" customHeight="1">
      <c r="A278" s="130"/>
      <c r="B278" s="910"/>
      <c r="C278" s="910"/>
      <c r="D278" s="906"/>
      <c r="E278" s="906"/>
      <c r="F278" s="906"/>
      <c r="G278" s="906"/>
      <c r="H278" s="906"/>
      <c r="I278" s="906"/>
      <c r="J278" s="906"/>
      <c r="K278" s="906"/>
      <c r="L278" s="906"/>
      <c r="M278" s="906"/>
      <c r="N278" s="906"/>
      <c r="O278"/>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U278" s="727" t="s">
        <v>534</v>
      </c>
    </row>
    <row r="280" spans="1:56" ht="15" customHeight="1">
      <c r="AU280" s="640" t="str">
        <f>Peers!AM286&amp;" Stock Price - Blended Discount Rate and Terminal Growth Rate"</f>
        <v xml:space="preserve"> Stock Price - Blended Discount Rate and Terminal Growth Rate</v>
      </c>
      <c r="AV280"/>
      <c r="AW280"/>
      <c r="AX280"/>
      <c r="AY280"/>
      <c r="AZ280"/>
      <c r="BA280"/>
      <c r="BD280" s="130">
        <v>1</v>
      </c>
    </row>
    <row r="281" spans="1:56" ht="15" customHeight="1" thickBot="1">
      <c r="AU281" t="s">
        <v>535</v>
      </c>
      <c r="AV281"/>
      <c r="AW281"/>
      <c r="AX281"/>
      <c r="AY281"/>
      <c r="AZ281"/>
      <c r="BA281"/>
      <c r="BD281" s="130">
        <v>2</v>
      </c>
    </row>
    <row r="282" spans="1:56" ht="15" customHeight="1">
      <c r="AU282" s="638"/>
      <c r="AV282" s="639"/>
      <c r="AW282" s="728"/>
      <c r="AX282" s="638"/>
      <c r="AY282" s="729" t="s">
        <v>426</v>
      </c>
      <c r="AZ282" s="638"/>
      <c r="BA282" s="638"/>
      <c r="BD282" s="130">
        <v>3</v>
      </c>
    </row>
    <row r="283" spans="1:56" ht="15" customHeight="1" thickBot="1">
      <c r="AU283" s="631"/>
      <c r="AV283" s="736">
        <f ca="1">Q206</f>
        <v>0.45241632488358791</v>
      </c>
      <c r="AW283" s="643"/>
      <c r="AX283" s="643"/>
      <c r="AY283" s="643"/>
      <c r="AZ283" s="643"/>
      <c r="BA283" s="643"/>
      <c r="BD283" s="130">
        <v>4</v>
      </c>
    </row>
    <row r="284" spans="1:56" ht="15" customHeight="1">
      <c r="AU284"/>
      <c r="AV284" s="635">
        <v>0.01</v>
      </c>
      <c r="AW284" s="641"/>
      <c r="AX284" s="641"/>
      <c r="AY284" s="641"/>
      <c r="AZ284" s="641"/>
      <c r="BA284" s="641"/>
      <c r="BD284" s="130">
        <v>5</v>
      </c>
    </row>
    <row r="285" spans="1:56" ht="15" customHeight="1">
      <c r="AU285" s="726"/>
      <c r="AV285" s="635">
        <v>0.02</v>
      </c>
      <c r="AW285" s="641"/>
      <c r="AX285" s="641"/>
      <c r="AY285" s="641"/>
      <c r="AZ285" s="641"/>
      <c r="BA285" s="641"/>
      <c r="BD285" s="130">
        <v>6</v>
      </c>
    </row>
    <row r="286" spans="1:56" ht="15" customHeight="1">
      <c r="AU286" s="24" t="s">
        <v>536</v>
      </c>
      <c r="AV286" s="635">
        <v>0.03</v>
      </c>
      <c r="AW286" s="641"/>
      <c r="AX286" s="641"/>
      <c r="AY286" s="641"/>
      <c r="AZ286" s="641"/>
      <c r="BA286" s="641"/>
      <c r="BD286" s="130">
        <v>7</v>
      </c>
    </row>
    <row r="287" spans="1:56" ht="15" customHeight="1">
      <c r="AU287"/>
      <c r="AV287" s="635">
        <v>0.04</v>
      </c>
      <c r="AW287" s="641"/>
      <c r="AX287" s="641"/>
      <c r="AY287" s="641"/>
      <c r="AZ287" s="641"/>
      <c r="BA287" s="641"/>
      <c r="BD287" s="130">
        <v>8</v>
      </c>
    </row>
    <row r="288" spans="1:56" ht="15" customHeight="1" thickBot="1">
      <c r="AU288" s="631"/>
      <c r="AV288" s="636">
        <v>0.05</v>
      </c>
      <c r="AW288" s="642"/>
      <c r="AX288" s="642"/>
      <c r="AY288" s="642"/>
      <c r="AZ288" s="642"/>
      <c r="BA288" s="642"/>
      <c r="BD288" s="130">
        <v>9</v>
      </c>
    </row>
    <row r="289" spans="47:56" ht="15" customHeight="1">
      <c r="AU289"/>
      <c r="AV289" s="738"/>
      <c r="AW289"/>
      <c r="AX289"/>
      <c r="AY289"/>
      <c r="AZ289"/>
      <c r="BA289"/>
      <c r="BD289" s="130">
        <v>10</v>
      </c>
    </row>
    <row r="290" spans="47:56" ht="15" customHeight="1">
      <c r="AU290" s="640" t="str">
        <f>Peers!AM286&amp;" Stock Price - Blended Revenue Growth and Operating Margin"</f>
        <v xml:space="preserve"> Stock Price - Blended Revenue Growth and Operating Margin</v>
      </c>
      <c r="AV290"/>
      <c r="AW290"/>
      <c r="AX290"/>
      <c r="AY290"/>
      <c r="AZ290"/>
      <c r="BA290"/>
      <c r="BD290" s="130">
        <v>11</v>
      </c>
    </row>
    <row r="291" spans="47:56" ht="15" customHeight="1" thickBot="1">
      <c r="AU291" t="s">
        <v>535</v>
      </c>
      <c r="AV291"/>
      <c r="AW291"/>
      <c r="AX291"/>
      <c r="AY291"/>
      <c r="AZ291"/>
      <c r="BA291"/>
      <c r="BD291" s="130">
        <v>12</v>
      </c>
    </row>
    <row r="292" spans="47:56" ht="15" customHeight="1">
      <c r="AU292" s="638"/>
      <c r="AV292" s="639"/>
      <c r="AW292" s="638"/>
      <c r="AX292" s="644" t="s">
        <v>232</v>
      </c>
      <c r="AY292" s="638"/>
      <c r="AZ292"/>
      <c r="BA292"/>
      <c r="BD292" s="130">
        <v>13</v>
      </c>
    </row>
    <row r="293" spans="47:56" ht="15" customHeight="1" thickBot="1">
      <c r="AU293" s="631"/>
      <c r="AV293" s="736">
        <f ca="1">Q206</f>
        <v>0.45241632488358791</v>
      </c>
      <c r="AW293" s="730">
        <v>1</v>
      </c>
      <c r="AX293" s="730">
        <v>2</v>
      </c>
      <c r="AY293" s="730">
        <v>3</v>
      </c>
      <c r="AZ293"/>
      <c r="BA293"/>
      <c r="BD293" s="130">
        <v>14</v>
      </c>
    </row>
    <row r="294" spans="47:56" ht="15" customHeight="1">
      <c r="AU294"/>
      <c r="AV294" s="731">
        <v>1</v>
      </c>
      <c r="AW294"/>
      <c r="AX294"/>
      <c r="AY294"/>
      <c r="AZ294"/>
      <c r="BA294"/>
      <c r="BD294" s="130">
        <v>15</v>
      </c>
    </row>
    <row r="295" spans="47:56" ht="15" customHeight="1">
      <c r="AU295" s="24" t="s">
        <v>425</v>
      </c>
      <c r="AV295" s="731">
        <v>2</v>
      </c>
      <c r="AW295"/>
      <c r="AX295"/>
      <c r="AY295"/>
      <c r="AZ295"/>
      <c r="BA295"/>
      <c r="BD295" s="130">
        <v>16</v>
      </c>
    </row>
    <row r="296" spans="47:56" ht="15" customHeight="1" thickBot="1">
      <c r="AU296" s="631"/>
      <c r="AV296" s="732">
        <v>3</v>
      </c>
      <c r="AW296" s="631"/>
      <c r="AX296" s="631"/>
      <c r="AY296" s="631"/>
      <c r="AZ296"/>
      <c r="BA296"/>
      <c r="BD296" s="130">
        <v>17</v>
      </c>
    </row>
    <row r="297" spans="47:56" ht="15" customHeight="1">
      <c r="AU297"/>
      <c r="AV297" s="733"/>
      <c r="AW297"/>
      <c r="AX297"/>
      <c r="AY297"/>
      <c r="AZ297"/>
      <c r="BA297"/>
      <c r="BD297" s="130">
        <v>18</v>
      </c>
    </row>
    <row r="298" spans="47:56" ht="15" customHeight="1">
      <c r="AU298" s="648" t="s">
        <v>537</v>
      </c>
      <c r="AV298" s="37"/>
      <c r="AW298" s="37"/>
      <c r="AX298" s="37"/>
      <c r="AY298" s="37"/>
      <c r="AZ298" s="37"/>
      <c r="BA298" s="37"/>
      <c r="BD298" s="130">
        <v>19</v>
      </c>
    </row>
    <row r="299" spans="47:56" ht="15" customHeight="1">
      <c r="BD299" s="130">
        <v>20</v>
      </c>
    </row>
    <row r="300" spans="47:56" ht="15" customHeight="1">
      <c r="BD300" s="130">
        <v>21</v>
      </c>
    </row>
    <row r="301" spans="47:56" ht="15" customHeight="1">
      <c r="AY301" s="137"/>
      <c r="AZ301" s="137"/>
      <c r="BD301" s="130">
        <v>22</v>
      </c>
    </row>
    <row r="302" spans="47:56" ht="15" customHeight="1">
      <c r="AY302" s="137"/>
      <c r="AZ302" s="137"/>
      <c r="BD302" s="130">
        <v>23</v>
      </c>
    </row>
    <row r="303" spans="47:56" ht="15" customHeight="1">
      <c r="AY303" s="180"/>
      <c r="AZ303" s="180"/>
      <c r="BD303" s="130">
        <v>24</v>
      </c>
    </row>
    <row r="304" spans="47:56" ht="15" customHeight="1">
      <c r="BD304" s="130">
        <v>25</v>
      </c>
    </row>
    <row r="305" spans="47:56" ht="15" customHeight="1">
      <c r="AU305" s="152"/>
      <c r="BD305" s="130">
        <v>26</v>
      </c>
    </row>
    <row r="306" spans="47:56" ht="15" customHeight="1">
      <c r="BD306" s="130">
        <v>27</v>
      </c>
    </row>
    <row r="307" spans="47:56" ht="15" customHeight="1">
      <c r="BD307" s="130">
        <v>28</v>
      </c>
    </row>
    <row r="308" spans="47:56" ht="15" customHeight="1">
      <c r="BD308" s="130">
        <v>29</v>
      </c>
    </row>
    <row r="309" spans="47:56" ht="15" customHeight="1">
      <c r="BD309" s="130">
        <v>30</v>
      </c>
    </row>
    <row r="310" spans="47:56" ht="15" customHeight="1">
      <c r="BD310" s="130">
        <v>31</v>
      </c>
    </row>
    <row r="311" spans="47:56" ht="15" customHeight="1">
      <c r="BD311" s="130">
        <v>32</v>
      </c>
    </row>
    <row r="312" spans="47:56" ht="15" customHeight="1">
      <c r="BD312" s="130">
        <v>33</v>
      </c>
    </row>
    <row r="313" spans="47:56" ht="15" customHeight="1">
      <c r="BD313" s="130">
        <v>34</v>
      </c>
    </row>
    <row r="314" spans="47:56" ht="15" customHeight="1">
      <c r="BD314" s="130">
        <v>35</v>
      </c>
    </row>
    <row r="315" spans="47:56" ht="15" customHeight="1">
      <c r="BD315" s="130">
        <v>36</v>
      </c>
    </row>
    <row r="316" spans="47:56" ht="15" customHeight="1">
      <c r="BD316" s="130">
        <v>37</v>
      </c>
    </row>
    <row r="317" spans="47:56" ht="15" customHeight="1">
      <c r="BD317" s="130">
        <v>38</v>
      </c>
    </row>
    <row r="318" spans="47:56" ht="15" customHeight="1">
      <c r="BD318" s="130">
        <v>39</v>
      </c>
    </row>
    <row r="319" spans="47:56" ht="15" customHeight="1">
      <c r="BD319" s="130">
        <v>40</v>
      </c>
    </row>
    <row r="320" spans="47:56" ht="15" customHeight="1">
      <c r="BD320" s="130">
        <v>41</v>
      </c>
    </row>
    <row r="321" spans="56:56" ht="15" customHeight="1">
      <c r="BD321" s="130">
        <v>42</v>
      </c>
    </row>
    <row r="322" spans="56:56" ht="15" customHeight="1">
      <c r="BD322" s="130">
        <v>43</v>
      </c>
    </row>
    <row r="323" spans="56:56" ht="15" customHeight="1">
      <c r="BD323" s="130">
        <v>44</v>
      </c>
    </row>
    <row r="324" spans="56:56" ht="15" customHeight="1">
      <c r="BD324" s="130">
        <v>45</v>
      </c>
    </row>
    <row r="325" spans="56:56" ht="15" customHeight="1">
      <c r="BD325" s="130">
        <v>46</v>
      </c>
    </row>
    <row r="326" spans="56:56" ht="15" customHeight="1">
      <c r="BD326" s="130">
        <v>47</v>
      </c>
    </row>
    <row r="327" spans="56:56" ht="15" customHeight="1">
      <c r="BD327" s="130">
        <v>48</v>
      </c>
    </row>
    <row r="328" spans="56:56" ht="15" customHeight="1">
      <c r="BD328" s="130">
        <v>49</v>
      </c>
    </row>
    <row r="329" spans="56:56" ht="15" customHeight="1">
      <c r="BD329" s="130">
        <v>50</v>
      </c>
    </row>
    <row r="330" spans="56:56" ht="15" customHeight="1">
      <c r="BD330" s="130">
        <v>51</v>
      </c>
    </row>
    <row r="331" spans="56:56" ht="15" customHeight="1">
      <c r="BD331" s="130">
        <v>52</v>
      </c>
    </row>
    <row r="332" spans="56:56" ht="15" customHeight="1">
      <c r="BD332" s="130">
        <v>53</v>
      </c>
    </row>
    <row r="333" spans="56:56" ht="15" customHeight="1">
      <c r="BD333" s="130">
        <v>54</v>
      </c>
    </row>
    <row r="334" spans="56:56" ht="15" customHeight="1">
      <c r="BD334" s="130">
        <v>55</v>
      </c>
    </row>
    <row r="335" spans="56:56" ht="15" customHeight="1">
      <c r="BD335" s="130">
        <v>56</v>
      </c>
    </row>
    <row r="336" spans="56:56" ht="15" customHeight="1">
      <c r="BD336" s="130">
        <v>57</v>
      </c>
    </row>
    <row r="337" spans="56:56" ht="15" customHeight="1">
      <c r="BD337" s="130">
        <v>58</v>
      </c>
    </row>
    <row r="338" spans="56:56" ht="15" customHeight="1">
      <c r="BD338" s="130">
        <v>59</v>
      </c>
    </row>
    <row r="339" spans="56:56" ht="15" customHeight="1">
      <c r="BD339" s="130">
        <v>60</v>
      </c>
    </row>
    <row r="340" spans="56:56" ht="15" customHeight="1">
      <c r="BD340" s="130">
        <v>61</v>
      </c>
    </row>
    <row r="341" spans="56:56" ht="15" customHeight="1">
      <c r="BD341" s="130">
        <v>62</v>
      </c>
    </row>
    <row r="342" spans="56:56" ht="15" customHeight="1">
      <c r="BD342" s="130">
        <v>63</v>
      </c>
    </row>
    <row r="343" spans="56:56" ht="15" customHeight="1">
      <c r="BD343" s="130">
        <v>64</v>
      </c>
    </row>
    <row r="344" spans="56:56" ht="15" customHeight="1">
      <c r="BD344" s="130">
        <v>65</v>
      </c>
    </row>
    <row r="345" spans="56:56" ht="15" customHeight="1">
      <c r="BD345" s="130">
        <v>66</v>
      </c>
    </row>
    <row r="346" spans="56:56" ht="15" customHeight="1">
      <c r="BD346" s="130">
        <v>67</v>
      </c>
    </row>
    <row r="347" spans="56:56" ht="15" customHeight="1">
      <c r="BD347" s="130">
        <v>68</v>
      </c>
    </row>
    <row r="348" spans="56:56" ht="15" customHeight="1">
      <c r="BD348" s="130">
        <v>69</v>
      </c>
    </row>
    <row r="349" spans="56:56" ht="15" customHeight="1">
      <c r="BD349" s="130">
        <v>70</v>
      </c>
    </row>
    <row r="350" spans="56:56" ht="15" customHeight="1">
      <c r="BD350" s="130">
        <v>71</v>
      </c>
    </row>
    <row r="351" spans="56:56" ht="15" customHeight="1">
      <c r="BD351" s="130">
        <v>72</v>
      </c>
    </row>
    <row r="352" spans="56:56" ht="15" customHeight="1">
      <c r="BD352" s="130">
        <v>73</v>
      </c>
    </row>
    <row r="353" spans="56:56" ht="15" customHeight="1">
      <c r="BD353" s="130">
        <v>74</v>
      </c>
    </row>
    <row r="354" spans="56:56" ht="15" customHeight="1">
      <c r="BD354" s="130">
        <v>75</v>
      </c>
    </row>
    <row r="355" spans="56:56" ht="15" customHeight="1">
      <c r="BD355" s="130">
        <v>76</v>
      </c>
    </row>
    <row r="356" spans="56:56" ht="15" customHeight="1">
      <c r="BD356" s="130">
        <v>77</v>
      </c>
    </row>
    <row r="357" spans="56:56" ht="15" customHeight="1">
      <c r="BD357" s="130">
        <v>78</v>
      </c>
    </row>
    <row r="358" spans="56:56" ht="15" customHeight="1">
      <c r="BD358" s="130">
        <v>79</v>
      </c>
    </row>
    <row r="359" spans="56:56" ht="15" customHeight="1">
      <c r="BD359" s="130">
        <v>80</v>
      </c>
    </row>
    <row r="360" spans="56:56" ht="15" customHeight="1">
      <c r="BD360" s="130">
        <v>81</v>
      </c>
    </row>
    <row r="361" spans="56:56" ht="15" customHeight="1">
      <c r="BD361" s="130">
        <v>82</v>
      </c>
    </row>
    <row r="362" spans="56:56" ht="15" customHeight="1">
      <c r="BD362" s="130">
        <v>83</v>
      </c>
    </row>
    <row r="363" spans="56:56" ht="15" customHeight="1">
      <c r="BD363" s="130">
        <v>84</v>
      </c>
    </row>
    <row r="364" spans="56:56" ht="15" customHeight="1">
      <c r="BD364" s="130">
        <v>85</v>
      </c>
    </row>
    <row r="365" spans="56:56" ht="15" customHeight="1">
      <c r="BD365" s="130">
        <v>86</v>
      </c>
    </row>
    <row r="366" spans="56:56" ht="15" customHeight="1">
      <c r="BD366" s="130">
        <v>87</v>
      </c>
    </row>
    <row r="367" spans="56:56" ht="15" customHeight="1">
      <c r="BD367" s="130">
        <v>88</v>
      </c>
    </row>
    <row r="368" spans="56:56" ht="15" customHeight="1">
      <c r="BD368" s="130">
        <v>89</v>
      </c>
    </row>
    <row r="369" spans="56:56" ht="15" customHeight="1">
      <c r="BD369" s="130">
        <v>90</v>
      </c>
    </row>
    <row r="370" spans="56:56" ht="15" customHeight="1">
      <c r="BD370" s="130">
        <v>91</v>
      </c>
    </row>
    <row r="371" spans="56:56" ht="15" customHeight="1">
      <c r="BD371" s="130">
        <v>92</v>
      </c>
    </row>
    <row r="372" spans="56:56" ht="15" customHeight="1">
      <c r="BD372" s="130">
        <v>93</v>
      </c>
    </row>
    <row r="373" spans="56:56" ht="15" customHeight="1">
      <c r="BD373" s="130">
        <v>94</v>
      </c>
    </row>
    <row r="374" spans="56:56" ht="15" customHeight="1">
      <c r="BD374" s="130">
        <v>95</v>
      </c>
    </row>
    <row r="375" spans="56:56" ht="15" customHeight="1">
      <c r="BD375" s="130">
        <v>96</v>
      </c>
    </row>
    <row r="376" spans="56:56" ht="15" customHeight="1">
      <c r="BD376" s="130">
        <v>97</v>
      </c>
    </row>
    <row r="377" spans="56:56" ht="15" customHeight="1">
      <c r="BD377" s="130">
        <v>98</v>
      </c>
    </row>
    <row r="378" spans="56:56" ht="15" customHeight="1">
      <c r="BD378" s="130">
        <v>99</v>
      </c>
    </row>
    <row r="379" spans="56:56" ht="15" customHeight="1">
      <c r="BD379" s="130">
        <v>100</v>
      </c>
    </row>
    <row r="380" spans="56:56" ht="15" customHeight="1">
      <c r="BD380" s="130">
        <v>101</v>
      </c>
    </row>
    <row r="381" spans="56:56" ht="15" customHeight="1">
      <c r="BD381" s="130">
        <v>102</v>
      </c>
    </row>
    <row r="382" spans="56:56" ht="15" customHeight="1">
      <c r="BD382" s="130">
        <v>103</v>
      </c>
    </row>
    <row r="383" spans="56:56" ht="15" customHeight="1">
      <c r="BD383" s="130">
        <v>104</v>
      </c>
    </row>
    <row r="384" spans="56:56" ht="15" customHeight="1">
      <c r="BD384" s="130">
        <v>105</v>
      </c>
    </row>
    <row r="385" spans="56:56" ht="15" customHeight="1">
      <c r="BD385" s="130">
        <v>106</v>
      </c>
    </row>
    <row r="386" spans="56:56" ht="15" customHeight="1">
      <c r="BD386" s="130">
        <v>107</v>
      </c>
    </row>
    <row r="387" spans="56:56" ht="15" customHeight="1">
      <c r="BD387" s="130">
        <v>108</v>
      </c>
    </row>
    <row r="388" spans="56:56" ht="15" customHeight="1">
      <c r="BD388" s="130">
        <v>109</v>
      </c>
    </row>
    <row r="389" spans="56:56" ht="15" customHeight="1">
      <c r="BD389" s="130">
        <v>110</v>
      </c>
    </row>
    <row r="390" spans="56:56" ht="15" customHeight="1">
      <c r="BD390" s="130">
        <v>111</v>
      </c>
    </row>
    <row r="391" spans="56:56" ht="15" customHeight="1">
      <c r="BD391" s="130">
        <v>112</v>
      </c>
    </row>
    <row r="392" spans="56:56" ht="15" customHeight="1">
      <c r="BD392" s="130">
        <v>113</v>
      </c>
    </row>
    <row r="393" spans="56:56" ht="15" customHeight="1">
      <c r="BD393" s="130">
        <v>114</v>
      </c>
    </row>
    <row r="394" spans="56:56" ht="15" customHeight="1">
      <c r="BD394" s="130">
        <v>115</v>
      </c>
    </row>
    <row r="395" spans="56:56" ht="15" customHeight="1">
      <c r="BD395" s="130">
        <v>116</v>
      </c>
    </row>
    <row r="396" spans="56:56" ht="15" customHeight="1">
      <c r="BD396" s="130">
        <v>117</v>
      </c>
    </row>
    <row r="397" spans="56:56" ht="15" customHeight="1">
      <c r="BD397" s="130">
        <v>118</v>
      </c>
    </row>
    <row r="398" spans="56:56" ht="15" customHeight="1">
      <c r="BD398" s="130">
        <v>119</v>
      </c>
    </row>
    <row r="399" spans="56:56" ht="15" customHeight="1">
      <c r="BD399" s="130">
        <v>120</v>
      </c>
    </row>
    <row r="400" spans="56:56" ht="15" customHeight="1">
      <c r="BD400" s="130">
        <v>121</v>
      </c>
    </row>
    <row r="401" spans="56:56" ht="15" customHeight="1">
      <c r="BD401" s="130">
        <v>122</v>
      </c>
    </row>
    <row r="402" spans="56:56" ht="15" customHeight="1">
      <c r="BD402" s="130">
        <v>123</v>
      </c>
    </row>
    <row r="403" spans="56:56" ht="15" customHeight="1">
      <c r="BD403" s="130">
        <v>124</v>
      </c>
    </row>
    <row r="404" spans="56:56" ht="15" customHeight="1">
      <c r="BD404" s="130">
        <v>125</v>
      </c>
    </row>
    <row r="405" spans="56:56" ht="15" customHeight="1">
      <c r="BD405" s="130">
        <v>126</v>
      </c>
    </row>
    <row r="406" spans="56:56" ht="15" customHeight="1">
      <c r="BD406" s="130">
        <v>127</v>
      </c>
    </row>
    <row r="407" spans="56:56" ht="15" customHeight="1">
      <c r="BD407" s="130">
        <v>128</v>
      </c>
    </row>
    <row r="408" spans="56:56" ht="15" customHeight="1">
      <c r="BD408" s="130">
        <v>129</v>
      </c>
    </row>
    <row r="409" spans="56:56" ht="15" customHeight="1">
      <c r="BD409" s="130">
        <v>130</v>
      </c>
    </row>
    <row r="410" spans="56:56" ht="15" customHeight="1">
      <c r="BD410" s="130">
        <v>131</v>
      </c>
    </row>
    <row r="411" spans="56:56" ht="15" customHeight="1">
      <c r="BD411" s="130">
        <v>132</v>
      </c>
    </row>
    <row r="412" spans="56:56" ht="15" customHeight="1">
      <c r="BD412" s="130">
        <v>133</v>
      </c>
    </row>
    <row r="413" spans="56:56" ht="15" customHeight="1">
      <c r="BD413" s="130">
        <v>134</v>
      </c>
    </row>
    <row r="414" spans="56:56" ht="15" customHeight="1">
      <c r="BD414" s="130">
        <v>135</v>
      </c>
    </row>
    <row r="415" spans="56:56" ht="15" customHeight="1">
      <c r="BD415" s="130">
        <v>136</v>
      </c>
    </row>
    <row r="416" spans="56:56" ht="15" customHeight="1">
      <c r="BD416" s="130">
        <v>137</v>
      </c>
    </row>
    <row r="417" spans="56:56" ht="15" customHeight="1">
      <c r="BD417" s="130">
        <v>138</v>
      </c>
    </row>
    <row r="418" spans="56:56" ht="15" customHeight="1">
      <c r="BD418" s="130">
        <v>139</v>
      </c>
    </row>
    <row r="419" spans="56:56" ht="15" customHeight="1">
      <c r="BD419" s="130">
        <v>140</v>
      </c>
    </row>
    <row r="420" spans="56:56" ht="15" customHeight="1">
      <c r="BD420" s="130">
        <v>141</v>
      </c>
    </row>
    <row r="421" spans="56:56" ht="15" customHeight="1">
      <c r="BD421" s="130">
        <v>142</v>
      </c>
    </row>
    <row r="422" spans="56:56" ht="15" customHeight="1">
      <c r="BD422" s="130">
        <v>143</v>
      </c>
    </row>
    <row r="423" spans="56:56" ht="15" customHeight="1">
      <c r="BD423" s="130">
        <v>144</v>
      </c>
    </row>
    <row r="424" spans="56:56" ht="15" customHeight="1">
      <c r="BD424" s="130">
        <v>145</v>
      </c>
    </row>
    <row r="425" spans="56:56" ht="15" customHeight="1">
      <c r="BD425" s="130">
        <v>146</v>
      </c>
    </row>
    <row r="426" spans="56:56" ht="15" customHeight="1">
      <c r="BD426" s="130">
        <v>147</v>
      </c>
    </row>
    <row r="427" spans="56:56" ht="15" customHeight="1">
      <c r="BD427" s="130">
        <v>148</v>
      </c>
    </row>
    <row r="428" spans="56:56" ht="15" customHeight="1">
      <c r="BD428" s="130">
        <v>149</v>
      </c>
    </row>
    <row r="429" spans="56:56" ht="15" customHeight="1">
      <c r="BD429" s="130">
        <v>150</v>
      </c>
    </row>
    <row r="430" spans="56:56" ht="15" customHeight="1">
      <c r="BD430" s="130">
        <v>151</v>
      </c>
    </row>
    <row r="431" spans="56:56" ht="15" customHeight="1">
      <c r="BD431" s="130">
        <v>152</v>
      </c>
    </row>
    <row r="432" spans="56:56" ht="15" customHeight="1">
      <c r="BD432" s="130">
        <v>153</v>
      </c>
    </row>
    <row r="433" spans="56:56" ht="15" customHeight="1">
      <c r="BD433" s="130">
        <v>154</v>
      </c>
    </row>
    <row r="434" spans="56:56" ht="15" customHeight="1">
      <c r="BD434" s="130">
        <v>155</v>
      </c>
    </row>
    <row r="435" spans="56:56" ht="15" customHeight="1">
      <c r="BD435" s="130">
        <v>156</v>
      </c>
    </row>
    <row r="436" spans="56:56" ht="15" customHeight="1">
      <c r="BD436" s="130">
        <v>157</v>
      </c>
    </row>
    <row r="437" spans="56:56" ht="15" customHeight="1">
      <c r="BD437" s="130">
        <v>158</v>
      </c>
    </row>
    <row r="438" spans="56:56" ht="15" customHeight="1">
      <c r="BD438" s="130">
        <v>159</v>
      </c>
    </row>
    <row r="439" spans="56:56" ht="15" customHeight="1">
      <c r="BD439" s="130">
        <v>160</v>
      </c>
    </row>
    <row r="440" spans="56:56" ht="15" customHeight="1">
      <c r="BD440" s="130">
        <v>161</v>
      </c>
    </row>
    <row r="441" spans="56:56" ht="15" customHeight="1">
      <c r="BD441" s="130">
        <v>162</v>
      </c>
    </row>
    <row r="442" spans="56:56" ht="15" customHeight="1">
      <c r="BD442" s="130">
        <v>163</v>
      </c>
    </row>
    <row r="443" spans="56:56" ht="15" customHeight="1">
      <c r="BD443" s="130">
        <v>164</v>
      </c>
    </row>
    <row r="444" spans="56:56" ht="15" customHeight="1">
      <c r="BD444" s="130">
        <v>165</v>
      </c>
    </row>
    <row r="445" spans="56:56" ht="15" customHeight="1">
      <c r="BD445" s="130">
        <v>166</v>
      </c>
    </row>
    <row r="446" spans="56:56" ht="15" customHeight="1">
      <c r="BD446" s="130">
        <v>167</v>
      </c>
    </row>
    <row r="447" spans="56:56" ht="15" customHeight="1">
      <c r="BD447" s="130">
        <v>168</v>
      </c>
    </row>
    <row r="448" spans="56:56" ht="15" customHeight="1">
      <c r="BD448" s="130">
        <v>169</v>
      </c>
    </row>
    <row r="449" spans="56:56" ht="15" customHeight="1">
      <c r="BD449" s="130">
        <v>170</v>
      </c>
    </row>
    <row r="450" spans="56:56" ht="15" customHeight="1">
      <c r="BD450" s="130">
        <v>171</v>
      </c>
    </row>
    <row r="451" spans="56:56" ht="15" customHeight="1">
      <c r="BD451" s="130">
        <v>172</v>
      </c>
    </row>
    <row r="452" spans="56:56" ht="15" customHeight="1">
      <c r="BD452" s="130">
        <v>173</v>
      </c>
    </row>
    <row r="453" spans="56:56" ht="15" customHeight="1">
      <c r="BD453" s="130">
        <v>174</v>
      </c>
    </row>
    <row r="454" spans="56:56" ht="15" customHeight="1">
      <c r="BD454" s="130">
        <v>175</v>
      </c>
    </row>
    <row r="455" spans="56:56" ht="15" customHeight="1">
      <c r="BD455" s="130">
        <v>176</v>
      </c>
    </row>
    <row r="456" spans="56:56" ht="15" customHeight="1">
      <c r="BD456" s="130">
        <v>177</v>
      </c>
    </row>
    <row r="457" spans="56:56" ht="15" customHeight="1">
      <c r="BD457" s="130">
        <v>178</v>
      </c>
    </row>
    <row r="458" spans="56:56" ht="15" customHeight="1">
      <c r="BD458" s="130">
        <v>179</v>
      </c>
    </row>
    <row r="459" spans="56:56" ht="15" customHeight="1">
      <c r="BD459" s="130">
        <v>180</v>
      </c>
    </row>
    <row r="460" spans="56:56" ht="15" customHeight="1">
      <c r="BD460" s="130">
        <v>181</v>
      </c>
    </row>
    <row r="461" spans="56:56" ht="15" customHeight="1">
      <c r="BD461" s="130">
        <v>182</v>
      </c>
    </row>
    <row r="462" spans="56:56" ht="15" customHeight="1">
      <c r="BD462" s="130">
        <v>183</v>
      </c>
    </row>
    <row r="463" spans="56:56" ht="15" customHeight="1">
      <c r="BD463" s="130">
        <v>184</v>
      </c>
    </row>
    <row r="464" spans="56:56" ht="15" customHeight="1">
      <c r="BD464" s="130">
        <v>185</v>
      </c>
    </row>
    <row r="465" spans="56:56" ht="15" customHeight="1">
      <c r="BD465" s="130">
        <v>186</v>
      </c>
    </row>
    <row r="466" spans="56:56" ht="15" customHeight="1">
      <c r="BD466" s="130">
        <v>187</v>
      </c>
    </row>
    <row r="467" spans="56:56" ht="15" customHeight="1">
      <c r="BD467" s="130">
        <v>188</v>
      </c>
    </row>
    <row r="468" spans="56:56" ht="15" customHeight="1">
      <c r="BD468" s="130">
        <v>189</v>
      </c>
    </row>
    <row r="469" spans="56:56" ht="15" customHeight="1">
      <c r="BD469" s="130">
        <v>190</v>
      </c>
    </row>
    <row r="470" spans="56:56" ht="15" customHeight="1">
      <c r="BD470" s="130">
        <v>191</v>
      </c>
    </row>
    <row r="471" spans="56:56" ht="15" customHeight="1">
      <c r="BD471" s="130">
        <v>192</v>
      </c>
    </row>
    <row r="472" spans="56:56" ht="15" customHeight="1">
      <c r="BD472" s="130">
        <v>193</v>
      </c>
    </row>
    <row r="473" spans="56:56" ht="15" customHeight="1">
      <c r="BD473" s="130">
        <v>194</v>
      </c>
    </row>
    <row r="474" spans="56:56" ht="15" customHeight="1">
      <c r="BD474" s="130">
        <v>195</v>
      </c>
    </row>
    <row r="475" spans="56:56" ht="15" customHeight="1">
      <c r="BD475" s="130">
        <v>196</v>
      </c>
    </row>
    <row r="476" spans="56:56" ht="15" customHeight="1">
      <c r="BD476" s="130">
        <v>197</v>
      </c>
    </row>
    <row r="477" spans="56:56" ht="15" customHeight="1">
      <c r="BD477" s="130">
        <v>198</v>
      </c>
    </row>
    <row r="478" spans="56:56" ht="15" customHeight="1">
      <c r="BD478" s="130">
        <v>199</v>
      </c>
    </row>
    <row r="479" spans="56:56" ht="15" customHeight="1">
      <c r="BD479" s="130">
        <v>200</v>
      </c>
    </row>
    <row r="480" spans="56:56" ht="15" customHeight="1">
      <c r="BD480" s="130">
        <v>201</v>
      </c>
    </row>
    <row r="481" spans="56:56" ht="15" customHeight="1">
      <c r="BD481" s="130">
        <v>202</v>
      </c>
    </row>
    <row r="482" spans="56:56" ht="15" customHeight="1">
      <c r="BD482" s="130">
        <v>203</v>
      </c>
    </row>
    <row r="483" spans="56:56" ht="15" customHeight="1">
      <c r="BD483" s="130">
        <v>204</v>
      </c>
    </row>
    <row r="484" spans="56:56" ht="15" customHeight="1">
      <c r="BD484" s="130">
        <v>205</v>
      </c>
    </row>
    <row r="485" spans="56:56" ht="15" customHeight="1">
      <c r="BD485" s="130">
        <v>206</v>
      </c>
    </row>
    <row r="486" spans="56:56" ht="15" customHeight="1">
      <c r="BD486" s="130">
        <v>207</v>
      </c>
    </row>
    <row r="487" spans="56:56" ht="15" customHeight="1">
      <c r="BD487" s="130">
        <v>208</v>
      </c>
    </row>
    <row r="488" spans="56:56" ht="15" customHeight="1">
      <c r="BD488" s="130">
        <v>209</v>
      </c>
    </row>
    <row r="489" spans="56:56" ht="15" customHeight="1">
      <c r="BD489" s="130">
        <v>210</v>
      </c>
    </row>
    <row r="490" spans="56:56" ht="15" customHeight="1">
      <c r="BD490" s="130">
        <v>211</v>
      </c>
    </row>
    <row r="491" spans="56:56" ht="15" customHeight="1">
      <c r="BD491" s="130">
        <v>212</v>
      </c>
    </row>
    <row r="492" spans="56:56" ht="15" customHeight="1">
      <c r="BD492" s="130">
        <v>213</v>
      </c>
    </row>
    <row r="493" spans="56:56" ht="15" customHeight="1">
      <c r="BD493" s="130">
        <v>214</v>
      </c>
    </row>
    <row r="494" spans="56:56" ht="15" customHeight="1">
      <c r="BD494" s="130">
        <v>215</v>
      </c>
    </row>
    <row r="495" spans="56:56" ht="15" customHeight="1">
      <c r="BD495" s="130">
        <v>216</v>
      </c>
    </row>
    <row r="496" spans="56:56" ht="15" customHeight="1">
      <c r="BD496" s="130">
        <v>217</v>
      </c>
    </row>
    <row r="497" spans="56:56" ht="15" customHeight="1">
      <c r="BD497" s="130">
        <v>218</v>
      </c>
    </row>
    <row r="498" spans="56:56" ht="15" customHeight="1">
      <c r="BD498" s="130">
        <v>219</v>
      </c>
    </row>
    <row r="499" spans="56:56" ht="15" customHeight="1">
      <c r="BD499" s="130">
        <v>220</v>
      </c>
    </row>
    <row r="500" spans="56:56" ht="15" customHeight="1">
      <c r="BD500" s="130">
        <v>221</v>
      </c>
    </row>
    <row r="501" spans="56:56" ht="15" customHeight="1">
      <c r="BD501" s="130">
        <v>222</v>
      </c>
    </row>
    <row r="502" spans="56:56" ht="15" customHeight="1">
      <c r="BD502" s="130">
        <v>223</v>
      </c>
    </row>
    <row r="503" spans="56:56" ht="15" customHeight="1">
      <c r="BD503" s="130">
        <v>224</v>
      </c>
    </row>
    <row r="504" spans="56:56" ht="15" customHeight="1">
      <c r="BD504" s="130">
        <v>225</v>
      </c>
    </row>
    <row r="505" spans="56:56" ht="15" customHeight="1">
      <c r="BD505" s="130">
        <v>226</v>
      </c>
    </row>
    <row r="506" spans="56:56" ht="15" customHeight="1">
      <c r="BD506" s="130">
        <v>227</v>
      </c>
    </row>
    <row r="507" spans="56:56" ht="15" customHeight="1">
      <c r="BD507" s="130">
        <v>228</v>
      </c>
    </row>
    <row r="508" spans="56:56" ht="15" customHeight="1">
      <c r="BD508" s="130">
        <v>229</v>
      </c>
    </row>
    <row r="509" spans="56:56" ht="15" customHeight="1">
      <c r="BD509" s="130">
        <v>230</v>
      </c>
    </row>
    <row r="510" spans="56:56" ht="15" customHeight="1">
      <c r="BD510" s="130">
        <v>231</v>
      </c>
    </row>
    <row r="511" spans="56:56" ht="15" customHeight="1">
      <c r="BD511" s="130">
        <v>232</v>
      </c>
    </row>
    <row r="512" spans="56:56" ht="15" customHeight="1">
      <c r="BD512" s="130">
        <v>233</v>
      </c>
    </row>
    <row r="513" spans="56:56" ht="15" customHeight="1">
      <c r="BD513" s="130">
        <v>234</v>
      </c>
    </row>
    <row r="514" spans="56:56" ht="15" customHeight="1">
      <c r="BD514" s="130">
        <v>235</v>
      </c>
    </row>
    <row r="515" spans="56:56" ht="15" customHeight="1">
      <c r="BD515" s="130">
        <v>236</v>
      </c>
    </row>
    <row r="516" spans="56:56" ht="15" customHeight="1">
      <c r="BD516" s="130">
        <v>237</v>
      </c>
    </row>
    <row r="517" spans="56:56" ht="15" customHeight="1">
      <c r="BD517" s="130">
        <v>238</v>
      </c>
    </row>
    <row r="518" spans="56:56" ht="15" customHeight="1">
      <c r="BD518" s="130">
        <v>239</v>
      </c>
    </row>
    <row r="519" spans="56:56" ht="15" customHeight="1">
      <c r="BD519" s="130">
        <v>240</v>
      </c>
    </row>
    <row r="520" spans="56:56" ht="15" customHeight="1">
      <c r="BD520" s="130">
        <v>241</v>
      </c>
    </row>
    <row r="521" spans="56:56" ht="15" customHeight="1">
      <c r="BD521" s="130">
        <v>242</v>
      </c>
    </row>
    <row r="522" spans="56:56" ht="15" customHeight="1">
      <c r="BD522" s="130">
        <v>243</v>
      </c>
    </row>
    <row r="523" spans="56:56" ht="15" customHeight="1">
      <c r="BD523" s="130">
        <v>244</v>
      </c>
    </row>
    <row r="524" spans="56:56" ht="15" customHeight="1">
      <c r="BD524" s="130">
        <v>245</v>
      </c>
    </row>
    <row r="525" spans="56:56" ht="15" customHeight="1">
      <c r="BD525" s="130">
        <v>246</v>
      </c>
    </row>
    <row r="526" spans="56:56" ht="15" customHeight="1">
      <c r="BD526" s="130">
        <v>247</v>
      </c>
    </row>
    <row r="527" spans="56:56" ht="15" customHeight="1">
      <c r="BD527" s="130">
        <v>248</v>
      </c>
    </row>
    <row r="528" spans="56:56" ht="15" customHeight="1">
      <c r="BD528" s="130">
        <v>249</v>
      </c>
    </row>
    <row r="529" spans="56:56" ht="15" customHeight="1">
      <c r="BD529" s="130">
        <v>250</v>
      </c>
    </row>
    <row r="530" spans="56:56" ht="15" customHeight="1">
      <c r="BD530" s="130">
        <v>251</v>
      </c>
    </row>
    <row r="531" spans="56:56" ht="15" customHeight="1">
      <c r="BD531" s="130">
        <v>252</v>
      </c>
    </row>
    <row r="532" spans="56:56" ht="15" customHeight="1">
      <c r="BD532" s="130">
        <v>253</v>
      </c>
    </row>
    <row r="533" spans="56:56" ht="15" customHeight="1">
      <c r="BD533" s="130">
        <v>254</v>
      </c>
    </row>
    <row r="534" spans="56:56" ht="15" customHeight="1">
      <c r="BD534" s="130">
        <v>255</v>
      </c>
    </row>
    <row r="535" spans="56:56" ht="15" customHeight="1">
      <c r="BD535" s="130">
        <v>256</v>
      </c>
    </row>
    <row r="536" spans="56:56" ht="15" customHeight="1">
      <c r="BD536" s="130">
        <v>257</v>
      </c>
    </row>
    <row r="537" spans="56:56" ht="15" customHeight="1">
      <c r="BD537" s="130">
        <v>258</v>
      </c>
    </row>
    <row r="538" spans="56:56" ht="15" customHeight="1">
      <c r="BD538" s="130">
        <v>259</v>
      </c>
    </row>
    <row r="539" spans="56:56" ht="15" customHeight="1">
      <c r="BD539" s="130">
        <v>260</v>
      </c>
    </row>
    <row r="540" spans="56:56" ht="15" customHeight="1">
      <c r="BD540" s="130">
        <v>261</v>
      </c>
    </row>
    <row r="541" spans="56:56" ht="15" customHeight="1">
      <c r="BD541" s="130">
        <v>262</v>
      </c>
    </row>
    <row r="542" spans="56:56" ht="15" customHeight="1">
      <c r="BD542" s="130">
        <v>263</v>
      </c>
    </row>
    <row r="543" spans="56:56" ht="15" customHeight="1">
      <c r="BD543" s="130">
        <v>264</v>
      </c>
    </row>
    <row r="544" spans="56:56" ht="15" customHeight="1">
      <c r="BD544" s="130">
        <v>265</v>
      </c>
    </row>
    <row r="545" spans="56:56" ht="15" customHeight="1">
      <c r="BD545" s="130">
        <v>266</v>
      </c>
    </row>
    <row r="546" spans="56:56" ht="15" customHeight="1">
      <c r="BD546" s="130">
        <v>267</v>
      </c>
    </row>
    <row r="547" spans="56:56" ht="15" customHeight="1">
      <c r="BD547" s="130">
        <v>268</v>
      </c>
    </row>
    <row r="548" spans="56:56" ht="15" customHeight="1">
      <c r="BD548" s="130">
        <v>269</v>
      </c>
    </row>
    <row r="549" spans="56:56" ht="15" customHeight="1">
      <c r="BD549" s="130">
        <v>270</v>
      </c>
    </row>
    <row r="550" spans="56:56" ht="15" customHeight="1">
      <c r="BD550" s="130">
        <v>271</v>
      </c>
    </row>
    <row r="551" spans="56:56" ht="15" customHeight="1">
      <c r="BD551" s="130">
        <v>272</v>
      </c>
    </row>
    <row r="552" spans="56:56" ht="15" customHeight="1">
      <c r="BD552" s="130">
        <v>273</v>
      </c>
    </row>
    <row r="553" spans="56:56" ht="15" customHeight="1">
      <c r="BD553" s="130">
        <v>274</v>
      </c>
    </row>
    <row r="554" spans="56:56" ht="15" customHeight="1">
      <c r="BD554" s="130">
        <v>275</v>
      </c>
    </row>
    <row r="555" spans="56:56" ht="15" customHeight="1">
      <c r="BD555" s="130">
        <v>276</v>
      </c>
    </row>
    <row r="556" spans="56:56" ht="15" customHeight="1">
      <c r="BD556" s="130">
        <v>277</v>
      </c>
    </row>
    <row r="557" spans="56:56" ht="15" customHeight="1">
      <c r="BD557" s="130">
        <v>278</v>
      </c>
    </row>
    <row r="558" spans="56:56" ht="15" customHeight="1">
      <c r="BD558" s="130">
        <v>279</v>
      </c>
    </row>
    <row r="559" spans="56:56" ht="15" customHeight="1">
      <c r="BD559" s="130">
        <v>280</v>
      </c>
    </row>
    <row r="560" spans="56:56" ht="15" customHeight="1">
      <c r="BD560" s="130">
        <v>281</v>
      </c>
    </row>
    <row r="561" spans="56:56" ht="15" customHeight="1">
      <c r="BD561" s="130">
        <v>282</v>
      </c>
    </row>
    <row r="562" spans="56:56" ht="15" customHeight="1">
      <c r="BD562" s="130">
        <v>283</v>
      </c>
    </row>
    <row r="563" spans="56:56" ht="15" customHeight="1">
      <c r="BD563" s="130">
        <v>284</v>
      </c>
    </row>
    <row r="564" spans="56:56" ht="15" customHeight="1">
      <c r="BD564" s="130">
        <v>285</v>
      </c>
    </row>
    <row r="565" spans="56:56" ht="15" customHeight="1">
      <c r="BD565" s="130">
        <v>286</v>
      </c>
    </row>
    <row r="566" spans="56:56" ht="15" customHeight="1">
      <c r="BD566" s="130">
        <v>287</v>
      </c>
    </row>
    <row r="567" spans="56:56" ht="15" customHeight="1">
      <c r="BD567" s="130">
        <v>288</v>
      </c>
    </row>
    <row r="568" spans="56:56" ht="15" customHeight="1">
      <c r="BD568" s="130">
        <v>289</v>
      </c>
    </row>
    <row r="569" spans="56:56" ht="15" customHeight="1">
      <c r="BD569" s="130">
        <v>290</v>
      </c>
    </row>
    <row r="570" spans="56:56" ht="15" customHeight="1">
      <c r="BD570" s="130">
        <v>291</v>
      </c>
    </row>
    <row r="571" spans="56:56" ht="15" customHeight="1">
      <c r="BD571" s="130">
        <v>292</v>
      </c>
    </row>
    <row r="572" spans="56:56" ht="15" customHeight="1">
      <c r="BD572" s="130">
        <v>293</v>
      </c>
    </row>
    <row r="573" spans="56:56" ht="15" customHeight="1">
      <c r="BD573" s="130">
        <v>294</v>
      </c>
    </row>
    <row r="574" spans="56:56" ht="15" customHeight="1">
      <c r="BD574" s="130">
        <v>295</v>
      </c>
    </row>
    <row r="575" spans="56:56" ht="15" customHeight="1">
      <c r="BD575" s="130">
        <v>296</v>
      </c>
    </row>
    <row r="576" spans="56:56" ht="15" customHeight="1">
      <c r="BD576" s="130">
        <v>297</v>
      </c>
    </row>
    <row r="577" spans="56:56" ht="15" customHeight="1">
      <c r="BD577" s="130">
        <v>298</v>
      </c>
    </row>
    <row r="578" spans="56:56" ht="15" customHeight="1">
      <c r="BD578" s="130">
        <v>299</v>
      </c>
    </row>
    <row r="579" spans="56:56" ht="15" customHeight="1">
      <c r="BD579" s="130">
        <v>300</v>
      </c>
    </row>
    <row r="580" spans="56:56" ht="15" customHeight="1">
      <c r="BD580" s="130">
        <v>301</v>
      </c>
    </row>
    <row r="581" spans="56:56" ht="15" customHeight="1">
      <c r="BD581" s="130">
        <v>302</v>
      </c>
    </row>
    <row r="582" spans="56:56" ht="15" customHeight="1">
      <c r="BD582" s="130">
        <v>303</v>
      </c>
    </row>
    <row r="583" spans="56:56" ht="15" customHeight="1">
      <c r="BD583" s="130">
        <v>304</v>
      </c>
    </row>
    <row r="584" spans="56:56" ht="15" customHeight="1">
      <c r="BD584" s="130">
        <v>305</v>
      </c>
    </row>
    <row r="585" spans="56:56" ht="15" customHeight="1">
      <c r="BD585" s="130">
        <v>306</v>
      </c>
    </row>
    <row r="586" spans="56:56" ht="15" customHeight="1">
      <c r="BD586" s="130">
        <v>307</v>
      </c>
    </row>
    <row r="587" spans="56:56" ht="15" customHeight="1">
      <c r="BD587" s="130">
        <v>308</v>
      </c>
    </row>
    <row r="588" spans="56:56" ht="15" customHeight="1">
      <c r="BD588" s="130">
        <v>309</v>
      </c>
    </row>
    <row r="589" spans="56:56" ht="15" customHeight="1">
      <c r="BD589" s="130">
        <v>310</v>
      </c>
    </row>
    <row r="590" spans="56:56" ht="15" customHeight="1">
      <c r="BD590" s="130">
        <v>311</v>
      </c>
    </row>
    <row r="591" spans="56:56" ht="15" customHeight="1">
      <c r="BD591" s="130">
        <v>312</v>
      </c>
    </row>
    <row r="592" spans="56:56" ht="15" customHeight="1">
      <c r="BD592" s="130">
        <v>313</v>
      </c>
    </row>
    <row r="593" spans="56:56" ht="15" customHeight="1">
      <c r="BD593" s="130">
        <v>314</v>
      </c>
    </row>
    <row r="594" spans="56:56" ht="15" customHeight="1">
      <c r="BD594" s="130">
        <v>315</v>
      </c>
    </row>
    <row r="595" spans="56:56" ht="15" customHeight="1">
      <c r="BD595" s="130">
        <v>316</v>
      </c>
    </row>
    <row r="596" spans="56:56" ht="15" customHeight="1">
      <c r="BD596" s="130">
        <v>317</v>
      </c>
    </row>
    <row r="597" spans="56:56" ht="15" customHeight="1">
      <c r="BD597" s="130">
        <v>318</v>
      </c>
    </row>
    <row r="598" spans="56:56" ht="15" customHeight="1">
      <c r="BD598" s="130">
        <v>319</v>
      </c>
    </row>
    <row r="599" spans="56:56" ht="15" customHeight="1">
      <c r="BD599" s="130">
        <v>320</v>
      </c>
    </row>
    <row r="600" spans="56:56" ht="15" customHeight="1">
      <c r="BD600" s="130">
        <v>321</v>
      </c>
    </row>
    <row r="601" spans="56:56" ht="15" customHeight="1">
      <c r="BD601" s="130">
        <v>322</v>
      </c>
    </row>
    <row r="602" spans="56:56" ht="15" customHeight="1">
      <c r="BD602" s="130">
        <v>323</v>
      </c>
    </row>
    <row r="603" spans="56:56" ht="15" customHeight="1">
      <c r="BD603" s="130">
        <v>324</v>
      </c>
    </row>
    <row r="604" spans="56:56" ht="15" customHeight="1">
      <c r="BD604" s="130">
        <v>325</v>
      </c>
    </row>
    <row r="605" spans="56:56" ht="15" customHeight="1">
      <c r="BD605" s="130">
        <v>326</v>
      </c>
    </row>
    <row r="606" spans="56:56" ht="15" customHeight="1">
      <c r="BD606" s="130">
        <v>327</v>
      </c>
    </row>
    <row r="607" spans="56:56" ht="15" customHeight="1">
      <c r="BD607" s="130">
        <v>328</v>
      </c>
    </row>
    <row r="608" spans="56:56" ht="15" customHeight="1">
      <c r="BD608" s="130">
        <v>329</v>
      </c>
    </row>
    <row r="609" spans="56:56" ht="15" customHeight="1">
      <c r="BD609" s="130">
        <v>330</v>
      </c>
    </row>
    <row r="610" spans="56:56" ht="15" customHeight="1">
      <c r="BD610" s="130">
        <v>331</v>
      </c>
    </row>
    <row r="611" spans="56:56" ht="15" customHeight="1">
      <c r="BD611" s="130">
        <v>332</v>
      </c>
    </row>
    <row r="612" spans="56:56" ht="15" customHeight="1">
      <c r="BD612" s="130">
        <v>333</v>
      </c>
    </row>
    <row r="613" spans="56:56" ht="15" customHeight="1">
      <c r="BD613" s="130">
        <v>334</v>
      </c>
    </row>
    <row r="614" spans="56:56" ht="15" customHeight="1">
      <c r="BD614" s="130">
        <v>335</v>
      </c>
    </row>
    <row r="615" spans="56:56" ht="15" customHeight="1">
      <c r="BD615" s="130">
        <v>336</v>
      </c>
    </row>
    <row r="616" spans="56:56" ht="15" customHeight="1">
      <c r="BD616" s="130">
        <v>337</v>
      </c>
    </row>
    <row r="617" spans="56:56" ht="15" customHeight="1">
      <c r="BD617" s="130">
        <v>338</v>
      </c>
    </row>
    <row r="618" spans="56:56" ht="15" customHeight="1">
      <c r="BD618" s="130">
        <v>339</v>
      </c>
    </row>
    <row r="619" spans="56:56" ht="15" customHeight="1">
      <c r="BD619" s="130">
        <v>340</v>
      </c>
    </row>
    <row r="620" spans="56:56" ht="15" customHeight="1">
      <c r="BD620" s="130">
        <v>341</v>
      </c>
    </row>
    <row r="621" spans="56:56" ht="15" customHeight="1">
      <c r="BD621" s="130">
        <v>342</v>
      </c>
    </row>
    <row r="622" spans="56:56" ht="15" customHeight="1">
      <c r="BD622" s="130">
        <v>343</v>
      </c>
    </row>
    <row r="623" spans="56:56" ht="15" customHeight="1">
      <c r="BD623" s="130">
        <v>344</v>
      </c>
    </row>
    <row r="624" spans="56:56" ht="15" customHeight="1">
      <c r="BD624" s="130">
        <v>345</v>
      </c>
    </row>
    <row r="625" spans="56:56" ht="15" customHeight="1">
      <c r="BD625" s="130">
        <v>346</v>
      </c>
    </row>
    <row r="626" spans="56:56" ht="15" customHeight="1">
      <c r="BD626" s="130">
        <v>347</v>
      </c>
    </row>
    <row r="627" spans="56:56" ht="15" customHeight="1">
      <c r="BD627" s="130">
        <v>348</v>
      </c>
    </row>
    <row r="628" spans="56:56" ht="15" customHeight="1">
      <c r="BD628" s="130">
        <v>349</v>
      </c>
    </row>
    <row r="629" spans="56:56" ht="15" customHeight="1">
      <c r="BD629" s="130">
        <v>350</v>
      </c>
    </row>
    <row r="630" spans="56:56" ht="15" customHeight="1">
      <c r="BD630" s="130">
        <v>351</v>
      </c>
    </row>
    <row r="631" spans="56:56" ht="15" customHeight="1">
      <c r="BD631" s="130">
        <v>352</v>
      </c>
    </row>
    <row r="632" spans="56:56" ht="15" customHeight="1">
      <c r="BD632" s="130">
        <v>353</v>
      </c>
    </row>
    <row r="633" spans="56:56" ht="15" customHeight="1">
      <c r="BD633" s="130">
        <v>354</v>
      </c>
    </row>
    <row r="634" spans="56:56" ht="15" customHeight="1">
      <c r="BD634" s="130">
        <v>355</v>
      </c>
    </row>
    <row r="635" spans="56:56" ht="15" customHeight="1">
      <c r="BD635" s="130">
        <v>356</v>
      </c>
    </row>
    <row r="636" spans="56:56" ht="15" customHeight="1">
      <c r="BD636" s="130">
        <v>357</v>
      </c>
    </row>
    <row r="637" spans="56:56" ht="15" customHeight="1">
      <c r="BD637" s="130">
        <v>358</v>
      </c>
    </row>
    <row r="638" spans="56:56" ht="15" customHeight="1">
      <c r="BD638" s="130">
        <v>359</v>
      </c>
    </row>
    <row r="639" spans="56:56" ht="15" customHeight="1">
      <c r="BD639" s="130">
        <v>360</v>
      </c>
    </row>
    <row r="640" spans="56:56" ht="15" customHeight="1">
      <c r="BD640" s="130">
        <v>361</v>
      </c>
    </row>
    <row r="641" spans="56:56" ht="15" customHeight="1">
      <c r="BD641" s="130">
        <v>362</v>
      </c>
    </row>
    <row r="642" spans="56:56" ht="15" customHeight="1">
      <c r="BD642" s="130">
        <v>363</v>
      </c>
    </row>
    <row r="643" spans="56:56" ht="15" customHeight="1">
      <c r="BD643" s="130">
        <v>364</v>
      </c>
    </row>
    <row r="644" spans="56:56" ht="15" customHeight="1">
      <c r="BD644" s="130">
        <v>365</v>
      </c>
    </row>
    <row r="645" spans="56:56" ht="15" customHeight="1">
      <c r="BD645" s="130">
        <v>366</v>
      </c>
    </row>
    <row r="646" spans="56:56" ht="15" customHeight="1">
      <c r="BD646" s="130">
        <v>367</v>
      </c>
    </row>
    <row r="647" spans="56:56" ht="15" customHeight="1">
      <c r="BD647" s="130">
        <v>368</v>
      </c>
    </row>
    <row r="648" spans="56:56" ht="15" customHeight="1">
      <c r="BD648" s="130">
        <v>369</v>
      </c>
    </row>
    <row r="649" spans="56:56" ht="15" customHeight="1">
      <c r="BD649" s="130">
        <v>370</v>
      </c>
    </row>
    <row r="650" spans="56:56" ht="15" customHeight="1">
      <c r="BD650" s="130">
        <v>371</v>
      </c>
    </row>
    <row r="651" spans="56:56" ht="15" customHeight="1">
      <c r="BD651" s="130">
        <v>372</v>
      </c>
    </row>
    <row r="652" spans="56:56" ht="15" customHeight="1">
      <c r="BD652" s="130">
        <v>373</v>
      </c>
    </row>
    <row r="653" spans="56:56" ht="15" customHeight="1">
      <c r="BD653" s="130">
        <v>374</v>
      </c>
    </row>
    <row r="654" spans="56:56" ht="15" customHeight="1">
      <c r="BD654" s="130">
        <v>375</v>
      </c>
    </row>
    <row r="655" spans="56:56" ht="15" customHeight="1">
      <c r="BD655" s="130">
        <v>376</v>
      </c>
    </row>
    <row r="656" spans="56:56" ht="15" customHeight="1">
      <c r="BD656" s="130">
        <v>377</v>
      </c>
    </row>
    <row r="657" spans="56:56" ht="15" customHeight="1">
      <c r="BD657" s="130">
        <v>378</v>
      </c>
    </row>
    <row r="658" spans="56:56" ht="15" customHeight="1">
      <c r="BD658" s="130">
        <v>379</v>
      </c>
    </row>
    <row r="659" spans="56:56" ht="15" customHeight="1">
      <c r="BD659" s="130">
        <v>380</v>
      </c>
    </row>
    <row r="660" spans="56:56" ht="15" customHeight="1">
      <c r="BD660" s="130">
        <v>381</v>
      </c>
    </row>
    <row r="661" spans="56:56" ht="15" customHeight="1">
      <c r="BD661" s="130">
        <v>382</v>
      </c>
    </row>
    <row r="662" spans="56:56" ht="15" customHeight="1">
      <c r="BD662" s="130">
        <v>383</v>
      </c>
    </row>
    <row r="663" spans="56:56" ht="15" customHeight="1">
      <c r="BD663" s="130">
        <v>384</v>
      </c>
    </row>
    <row r="664" spans="56:56" ht="15" customHeight="1">
      <c r="BD664" s="130">
        <v>385</v>
      </c>
    </row>
    <row r="665" spans="56:56" ht="15" customHeight="1">
      <c r="BD665" s="130">
        <v>386</v>
      </c>
    </row>
    <row r="666" spans="56:56" ht="15" customHeight="1">
      <c r="BD666" s="130">
        <v>387</v>
      </c>
    </row>
    <row r="667" spans="56:56" ht="15" customHeight="1">
      <c r="BD667" s="130">
        <v>388</v>
      </c>
    </row>
    <row r="668" spans="56:56" ht="15" customHeight="1">
      <c r="BD668" s="130">
        <v>389</v>
      </c>
    </row>
    <row r="669" spans="56:56" ht="15" customHeight="1">
      <c r="BD669" s="130">
        <v>390</v>
      </c>
    </row>
    <row r="670" spans="56:56" ht="15" customHeight="1">
      <c r="BD670" s="130">
        <v>391</v>
      </c>
    </row>
    <row r="671" spans="56:56" ht="15" customHeight="1">
      <c r="BD671" s="130">
        <v>392</v>
      </c>
    </row>
    <row r="672" spans="56:56" ht="15" customHeight="1">
      <c r="BD672" s="130">
        <v>393</v>
      </c>
    </row>
    <row r="673" spans="56:56" ht="15" customHeight="1">
      <c r="BD673" s="130">
        <v>394</v>
      </c>
    </row>
    <row r="674" spans="56:56" ht="15" customHeight="1">
      <c r="BD674" s="130">
        <v>395</v>
      </c>
    </row>
    <row r="675" spans="56:56" ht="15" customHeight="1">
      <c r="BD675" s="130">
        <v>396</v>
      </c>
    </row>
    <row r="676" spans="56:56" ht="15" customHeight="1">
      <c r="BD676" s="130">
        <v>397</v>
      </c>
    </row>
    <row r="677" spans="56:56" ht="15" customHeight="1">
      <c r="BD677" s="130">
        <v>398</v>
      </c>
    </row>
    <row r="678" spans="56:56" ht="15" customHeight="1">
      <c r="BD678" s="130">
        <v>399</v>
      </c>
    </row>
    <row r="679" spans="56:56" ht="15" customHeight="1">
      <c r="BD679" s="130">
        <v>400</v>
      </c>
    </row>
    <row r="680" spans="56:56" ht="15" customHeight="1">
      <c r="BD680" s="130">
        <v>401</v>
      </c>
    </row>
    <row r="681" spans="56:56" ht="15" customHeight="1">
      <c r="BD681" s="130">
        <v>402</v>
      </c>
    </row>
    <row r="682" spans="56:56" ht="15" customHeight="1">
      <c r="BD682" s="130">
        <v>403</v>
      </c>
    </row>
    <row r="683" spans="56:56" ht="15" customHeight="1">
      <c r="BD683" s="130">
        <v>404</v>
      </c>
    </row>
    <row r="684" spans="56:56" ht="15" customHeight="1">
      <c r="BD684" s="130">
        <v>405</v>
      </c>
    </row>
    <row r="685" spans="56:56" ht="15" customHeight="1">
      <c r="BD685" s="130">
        <v>406</v>
      </c>
    </row>
    <row r="686" spans="56:56" ht="15" customHeight="1">
      <c r="BD686" s="130">
        <v>407</v>
      </c>
    </row>
    <row r="687" spans="56:56" ht="15" customHeight="1">
      <c r="BD687" s="130">
        <v>408</v>
      </c>
    </row>
    <row r="688" spans="56:56" ht="15" customHeight="1">
      <c r="BD688" s="130">
        <v>409</v>
      </c>
    </row>
    <row r="689" spans="56:56" ht="15" customHeight="1">
      <c r="BD689" s="130">
        <v>410</v>
      </c>
    </row>
    <row r="690" spans="56:56" ht="15" customHeight="1">
      <c r="BD690" s="130">
        <v>411</v>
      </c>
    </row>
    <row r="691" spans="56:56" ht="15" customHeight="1">
      <c r="BD691" s="130">
        <v>412</v>
      </c>
    </row>
    <row r="692" spans="56:56" ht="15" customHeight="1">
      <c r="BD692" s="130">
        <v>413</v>
      </c>
    </row>
    <row r="693" spans="56:56" ht="15" customHeight="1">
      <c r="BD693" s="130">
        <v>414</v>
      </c>
    </row>
    <row r="694" spans="56:56" ht="15" customHeight="1">
      <c r="BD694" s="130">
        <v>415</v>
      </c>
    </row>
    <row r="695" spans="56:56" ht="15" customHeight="1">
      <c r="BD695" s="130">
        <v>416</v>
      </c>
    </row>
    <row r="696" spans="56:56" ht="15" customHeight="1">
      <c r="BD696" s="130">
        <v>417</v>
      </c>
    </row>
    <row r="697" spans="56:56" ht="15" customHeight="1">
      <c r="BD697" s="130">
        <v>418</v>
      </c>
    </row>
    <row r="698" spans="56:56" ht="15" customHeight="1">
      <c r="BD698" s="130">
        <v>419</v>
      </c>
    </row>
    <row r="699" spans="56:56" ht="15" customHeight="1">
      <c r="BD699" s="130">
        <v>420</v>
      </c>
    </row>
    <row r="700" spans="56:56" ht="15" customHeight="1">
      <c r="BD700" s="130">
        <v>421</v>
      </c>
    </row>
    <row r="701" spans="56:56" ht="15" customHeight="1">
      <c r="BD701" s="130">
        <v>422</v>
      </c>
    </row>
    <row r="702" spans="56:56" ht="15" customHeight="1">
      <c r="BD702" s="130">
        <v>423</v>
      </c>
    </row>
    <row r="703" spans="56:56" ht="15" customHeight="1">
      <c r="BD703" s="130">
        <v>424</v>
      </c>
    </row>
    <row r="704" spans="56:56" ht="15" customHeight="1">
      <c r="BD704" s="130">
        <v>425</v>
      </c>
    </row>
    <row r="705" spans="56:56" ht="15" customHeight="1">
      <c r="BD705" s="130">
        <v>426</v>
      </c>
    </row>
    <row r="706" spans="56:56" ht="15" customHeight="1">
      <c r="BD706" s="130">
        <v>427</v>
      </c>
    </row>
    <row r="707" spans="56:56" ht="15" customHeight="1">
      <c r="BD707" s="130">
        <v>428</v>
      </c>
    </row>
    <row r="708" spans="56:56" ht="15" customHeight="1">
      <c r="BD708" s="130">
        <v>429</v>
      </c>
    </row>
    <row r="709" spans="56:56" ht="15" customHeight="1">
      <c r="BD709" s="130">
        <v>430</v>
      </c>
    </row>
    <row r="710" spans="56:56" ht="15" customHeight="1">
      <c r="BD710" s="130">
        <v>431</v>
      </c>
    </row>
    <row r="711" spans="56:56" ht="15" customHeight="1">
      <c r="BD711" s="130">
        <v>432</v>
      </c>
    </row>
    <row r="712" spans="56:56" ht="15" customHeight="1">
      <c r="BD712" s="130">
        <v>433</v>
      </c>
    </row>
    <row r="713" spans="56:56" ht="15" customHeight="1">
      <c r="BD713" s="130">
        <v>434</v>
      </c>
    </row>
    <row r="714" spans="56:56" ht="15" customHeight="1">
      <c r="BD714" s="130">
        <v>435</v>
      </c>
    </row>
    <row r="715" spans="56:56" ht="15" customHeight="1">
      <c r="BD715" s="130">
        <v>436</v>
      </c>
    </row>
    <row r="716" spans="56:56" ht="15" customHeight="1">
      <c r="BD716" s="130">
        <v>437</v>
      </c>
    </row>
    <row r="717" spans="56:56" ht="15" customHeight="1">
      <c r="BD717" s="130">
        <v>438</v>
      </c>
    </row>
    <row r="718" spans="56:56" ht="15" customHeight="1">
      <c r="BD718" s="130">
        <v>439</v>
      </c>
    </row>
    <row r="719" spans="56:56" ht="15" customHeight="1">
      <c r="BD719" s="130">
        <v>440</v>
      </c>
    </row>
    <row r="720" spans="56:56" ht="15" customHeight="1">
      <c r="BD720" s="130">
        <v>441</v>
      </c>
    </row>
    <row r="721" spans="56:56" ht="15" customHeight="1">
      <c r="BD721" s="130">
        <v>442</v>
      </c>
    </row>
    <row r="722" spans="56:56" ht="15" customHeight="1">
      <c r="BD722" s="130">
        <v>443</v>
      </c>
    </row>
    <row r="723" spans="56:56" ht="15" customHeight="1">
      <c r="BD723" s="130">
        <v>444</v>
      </c>
    </row>
    <row r="724" spans="56:56" ht="15" customHeight="1">
      <c r="BD724" s="130">
        <v>445</v>
      </c>
    </row>
    <row r="725" spans="56:56" ht="15" customHeight="1">
      <c r="BD725" s="130">
        <v>446</v>
      </c>
    </row>
    <row r="726" spans="56:56" ht="15" customHeight="1">
      <c r="BD726" s="130">
        <v>447</v>
      </c>
    </row>
    <row r="727" spans="56:56" ht="15" customHeight="1">
      <c r="BD727" s="130">
        <v>448</v>
      </c>
    </row>
    <row r="728" spans="56:56" ht="15" customHeight="1">
      <c r="BD728" s="130">
        <v>449</v>
      </c>
    </row>
    <row r="729" spans="56:56" ht="15" customHeight="1">
      <c r="BD729" s="130">
        <v>450</v>
      </c>
    </row>
    <row r="730" spans="56:56" ht="15" customHeight="1">
      <c r="BD730" s="130">
        <v>451</v>
      </c>
    </row>
    <row r="731" spans="56:56" ht="15" customHeight="1">
      <c r="BD731" s="130">
        <v>452</v>
      </c>
    </row>
    <row r="732" spans="56:56" ht="15" customHeight="1">
      <c r="BD732" s="130">
        <v>453</v>
      </c>
    </row>
    <row r="733" spans="56:56" ht="15" customHeight="1">
      <c r="BD733" s="130">
        <v>454</v>
      </c>
    </row>
    <row r="734" spans="56:56" ht="15" customHeight="1">
      <c r="BD734" s="130">
        <v>455</v>
      </c>
    </row>
    <row r="735" spans="56:56" ht="15" customHeight="1">
      <c r="BD735" s="130">
        <v>456</v>
      </c>
    </row>
    <row r="736" spans="56:56" ht="15" customHeight="1">
      <c r="BD736" s="130">
        <v>457</v>
      </c>
    </row>
    <row r="737" spans="56:56" ht="15" customHeight="1">
      <c r="BD737" s="130">
        <v>458</v>
      </c>
    </row>
    <row r="738" spans="56:56" ht="15" customHeight="1">
      <c r="BD738" s="130">
        <v>459</v>
      </c>
    </row>
    <row r="739" spans="56:56" ht="15" customHeight="1">
      <c r="BD739" s="130">
        <v>460</v>
      </c>
    </row>
    <row r="740" spans="56:56" ht="15" customHeight="1">
      <c r="BD740" s="130">
        <v>461</v>
      </c>
    </row>
    <row r="741" spans="56:56" ht="15" customHeight="1">
      <c r="BD741" s="130">
        <v>462</v>
      </c>
    </row>
    <row r="742" spans="56:56" ht="15" customHeight="1">
      <c r="BD742" s="130">
        <v>463</v>
      </c>
    </row>
    <row r="743" spans="56:56" ht="15" customHeight="1">
      <c r="BD743" s="130">
        <v>464</v>
      </c>
    </row>
    <row r="744" spans="56:56" ht="15" customHeight="1">
      <c r="BD744" s="130">
        <v>465</v>
      </c>
    </row>
    <row r="745" spans="56:56" ht="15" customHeight="1">
      <c r="BD745" s="130">
        <v>466</v>
      </c>
    </row>
    <row r="746" spans="56:56" ht="15" customHeight="1">
      <c r="BD746" s="130">
        <v>467</v>
      </c>
    </row>
    <row r="747" spans="56:56" ht="15" customHeight="1">
      <c r="BD747" s="130">
        <v>468</v>
      </c>
    </row>
    <row r="748" spans="56:56" ht="15" customHeight="1">
      <c r="BD748" s="130">
        <v>469</v>
      </c>
    </row>
    <row r="749" spans="56:56" ht="15" customHeight="1">
      <c r="BD749" s="130">
        <v>470</v>
      </c>
    </row>
    <row r="750" spans="56:56" ht="15" customHeight="1">
      <c r="BD750" s="130">
        <v>471</v>
      </c>
    </row>
    <row r="751" spans="56:56" ht="15" customHeight="1">
      <c r="BD751" s="130">
        <v>472</v>
      </c>
    </row>
    <row r="752" spans="56:56" ht="15" customHeight="1">
      <c r="BD752" s="130">
        <v>473</v>
      </c>
    </row>
    <row r="753" spans="56:56" ht="15" customHeight="1">
      <c r="BD753" s="130">
        <v>474</v>
      </c>
    </row>
    <row r="754" spans="56:56" ht="15" customHeight="1">
      <c r="BD754" s="130">
        <v>475</v>
      </c>
    </row>
    <row r="755" spans="56:56" ht="15" customHeight="1">
      <c r="BD755" s="130">
        <v>476</v>
      </c>
    </row>
    <row r="756" spans="56:56" ht="15" customHeight="1">
      <c r="BD756" s="130">
        <v>477</v>
      </c>
    </row>
    <row r="757" spans="56:56" ht="15" customHeight="1">
      <c r="BD757" s="130">
        <v>478</v>
      </c>
    </row>
    <row r="758" spans="56:56" ht="15" customHeight="1">
      <c r="BD758" s="130">
        <v>479</v>
      </c>
    </row>
    <row r="759" spans="56:56" ht="15" customHeight="1">
      <c r="BD759" s="130">
        <v>480</v>
      </c>
    </row>
    <row r="760" spans="56:56" ht="15" customHeight="1">
      <c r="BD760" s="130">
        <v>481</v>
      </c>
    </row>
    <row r="761" spans="56:56" ht="15" customHeight="1">
      <c r="BD761" s="130">
        <v>482</v>
      </c>
    </row>
    <row r="762" spans="56:56" ht="15" customHeight="1">
      <c r="BD762" s="130">
        <v>483</v>
      </c>
    </row>
    <row r="763" spans="56:56" ht="15" customHeight="1">
      <c r="BD763" s="130">
        <v>484</v>
      </c>
    </row>
    <row r="764" spans="56:56" ht="15" customHeight="1">
      <c r="BD764" s="130">
        <v>485</v>
      </c>
    </row>
    <row r="765" spans="56:56" ht="15" customHeight="1">
      <c r="BD765" s="130">
        <v>486</v>
      </c>
    </row>
    <row r="766" spans="56:56" ht="15" customHeight="1">
      <c r="BD766" s="130">
        <v>487</v>
      </c>
    </row>
    <row r="767" spans="56:56" ht="15" customHeight="1">
      <c r="BD767" s="130">
        <v>488</v>
      </c>
    </row>
    <row r="768" spans="56:56" ht="15" customHeight="1">
      <c r="BD768" s="130">
        <v>489</v>
      </c>
    </row>
    <row r="769" spans="56:56" ht="15" customHeight="1">
      <c r="BD769" s="130">
        <v>490</v>
      </c>
    </row>
    <row r="770" spans="56:56" ht="15" customHeight="1">
      <c r="BD770" s="130">
        <v>491</v>
      </c>
    </row>
    <row r="771" spans="56:56" ht="15" customHeight="1">
      <c r="BD771" s="130">
        <v>492</v>
      </c>
    </row>
    <row r="772" spans="56:56" ht="15" customHeight="1">
      <c r="BD772" s="130">
        <v>493</v>
      </c>
    </row>
    <row r="773" spans="56:56" ht="15" customHeight="1">
      <c r="BD773" s="130">
        <v>494</v>
      </c>
    </row>
    <row r="774" spans="56:56" ht="15" customHeight="1">
      <c r="BD774" s="130">
        <v>495</v>
      </c>
    </row>
    <row r="775" spans="56:56" ht="15" customHeight="1">
      <c r="BD775" s="130">
        <v>496</v>
      </c>
    </row>
    <row r="776" spans="56:56" ht="15" customHeight="1">
      <c r="BD776" s="130">
        <v>497</v>
      </c>
    </row>
    <row r="777" spans="56:56" ht="15" customHeight="1">
      <c r="BD777" s="130">
        <v>498</v>
      </c>
    </row>
    <row r="778" spans="56:56" ht="15" customHeight="1">
      <c r="BD778" s="130">
        <v>499</v>
      </c>
    </row>
    <row r="779" spans="56:56" ht="15" customHeight="1">
      <c r="BD779" s="130">
        <v>500</v>
      </c>
    </row>
    <row r="780" spans="56:56" ht="15" customHeight="1">
      <c r="BD780" s="130">
        <v>501</v>
      </c>
    </row>
    <row r="781" spans="56:56" ht="15" customHeight="1">
      <c r="BD781" s="130">
        <v>502</v>
      </c>
    </row>
    <row r="782" spans="56:56" ht="15" customHeight="1">
      <c r="BD782" s="130">
        <v>503</v>
      </c>
    </row>
    <row r="783" spans="56:56" ht="15" customHeight="1">
      <c r="BD783" s="130">
        <v>504</v>
      </c>
    </row>
    <row r="784" spans="56:56" ht="15" customHeight="1">
      <c r="BD784" s="130">
        <v>505</v>
      </c>
    </row>
    <row r="785" spans="56:56" ht="15" customHeight="1">
      <c r="BD785" s="130">
        <v>506</v>
      </c>
    </row>
    <row r="786" spans="56:56" ht="15" customHeight="1">
      <c r="BD786" s="130">
        <v>507</v>
      </c>
    </row>
    <row r="787" spans="56:56" ht="15" customHeight="1">
      <c r="BD787" s="130">
        <v>508</v>
      </c>
    </row>
    <row r="788" spans="56:56" ht="15" customHeight="1">
      <c r="BD788" s="130">
        <v>509</v>
      </c>
    </row>
    <row r="789" spans="56:56" ht="15" customHeight="1">
      <c r="BD789" s="130">
        <v>510</v>
      </c>
    </row>
    <row r="790" spans="56:56" ht="15" customHeight="1">
      <c r="BD790" s="130">
        <v>511</v>
      </c>
    </row>
    <row r="791" spans="56:56" ht="15" customHeight="1">
      <c r="BD791" s="130">
        <v>512</v>
      </c>
    </row>
    <row r="792" spans="56:56" ht="15" customHeight="1">
      <c r="BD792" s="130">
        <v>513</v>
      </c>
    </row>
    <row r="793" spans="56:56" ht="15" customHeight="1">
      <c r="BD793" s="130">
        <v>514</v>
      </c>
    </row>
    <row r="794" spans="56:56" ht="15" customHeight="1">
      <c r="BD794" s="130">
        <v>515</v>
      </c>
    </row>
    <row r="795" spans="56:56" ht="15" customHeight="1">
      <c r="BD795" s="130">
        <v>516</v>
      </c>
    </row>
    <row r="796" spans="56:56" ht="15" customHeight="1">
      <c r="BD796" s="130">
        <v>517</v>
      </c>
    </row>
    <row r="797" spans="56:56" ht="15" customHeight="1">
      <c r="BD797" s="130">
        <v>518</v>
      </c>
    </row>
    <row r="798" spans="56:56" ht="15" customHeight="1">
      <c r="BD798" s="130">
        <v>519</v>
      </c>
    </row>
    <row r="799" spans="56:56" ht="15" customHeight="1">
      <c r="BD799" s="130">
        <v>520</v>
      </c>
    </row>
    <row r="800" spans="56:56" ht="15" customHeight="1">
      <c r="BD800" s="130">
        <v>521</v>
      </c>
    </row>
    <row r="801" spans="56:56" ht="15" customHeight="1">
      <c r="BD801" s="130">
        <v>522</v>
      </c>
    </row>
    <row r="802" spans="56:56" ht="15" customHeight="1">
      <c r="BD802" s="130">
        <v>523</v>
      </c>
    </row>
    <row r="803" spans="56:56" ht="15" customHeight="1">
      <c r="BD803" s="130">
        <v>524</v>
      </c>
    </row>
    <row r="804" spans="56:56" ht="15" customHeight="1">
      <c r="BD804" s="130">
        <v>525</v>
      </c>
    </row>
    <row r="805" spans="56:56" ht="15" customHeight="1">
      <c r="BD805" s="130">
        <v>526</v>
      </c>
    </row>
    <row r="806" spans="56:56" ht="15" customHeight="1">
      <c r="BD806" s="130">
        <v>527</v>
      </c>
    </row>
    <row r="807" spans="56:56" ht="15" customHeight="1">
      <c r="BD807" s="130">
        <v>528</v>
      </c>
    </row>
    <row r="808" spans="56:56" ht="15" customHeight="1">
      <c r="BD808" s="130">
        <v>529</v>
      </c>
    </row>
    <row r="809" spans="56:56" ht="15" customHeight="1">
      <c r="BD809" s="130">
        <v>530</v>
      </c>
    </row>
    <row r="810" spans="56:56" ht="15" customHeight="1">
      <c r="BD810" s="130">
        <v>531</v>
      </c>
    </row>
    <row r="811" spans="56:56" ht="15" customHeight="1">
      <c r="BD811" s="130">
        <v>532</v>
      </c>
    </row>
    <row r="812" spans="56:56" ht="15" customHeight="1">
      <c r="BD812" s="130">
        <v>533</v>
      </c>
    </row>
    <row r="813" spans="56:56" ht="15" customHeight="1">
      <c r="BD813" s="130">
        <v>534</v>
      </c>
    </row>
    <row r="814" spans="56:56" ht="15" customHeight="1">
      <c r="BD814" s="130">
        <v>535</v>
      </c>
    </row>
    <row r="815" spans="56:56" ht="15" customHeight="1">
      <c r="BD815" s="130">
        <v>536</v>
      </c>
    </row>
    <row r="816" spans="56:56" ht="15" customHeight="1">
      <c r="BD816" s="130">
        <v>537</v>
      </c>
    </row>
    <row r="817" spans="56:56" ht="15" customHeight="1">
      <c r="BD817" s="130">
        <v>538</v>
      </c>
    </row>
    <row r="818" spans="56:56" ht="15" customHeight="1">
      <c r="BD818" s="130">
        <v>539</v>
      </c>
    </row>
    <row r="819" spans="56:56" ht="15" customHeight="1">
      <c r="BD819" s="130">
        <v>540</v>
      </c>
    </row>
    <row r="820" spans="56:56" ht="15" customHeight="1">
      <c r="BD820" s="130">
        <v>541</v>
      </c>
    </row>
    <row r="821" spans="56:56" ht="15" customHeight="1">
      <c r="BD821" s="130">
        <v>542</v>
      </c>
    </row>
    <row r="822" spans="56:56" ht="15" customHeight="1">
      <c r="BD822" s="130">
        <v>543</v>
      </c>
    </row>
    <row r="823" spans="56:56" ht="15" customHeight="1">
      <c r="BD823" s="130">
        <v>544</v>
      </c>
    </row>
    <row r="824" spans="56:56" ht="15" customHeight="1">
      <c r="BD824" s="130">
        <v>545</v>
      </c>
    </row>
    <row r="825" spans="56:56" ht="15" customHeight="1">
      <c r="BD825" s="130">
        <v>546</v>
      </c>
    </row>
    <row r="826" spans="56:56" ht="15" customHeight="1">
      <c r="BD826" s="130">
        <v>547</v>
      </c>
    </row>
    <row r="827" spans="56:56" ht="15" customHeight="1">
      <c r="BD827" s="130">
        <v>548</v>
      </c>
    </row>
    <row r="828" spans="56:56" ht="15" customHeight="1">
      <c r="BD828" s="130">
        <v>549</v>
      </c>
    </row>
    <row r="829" spans="56:56" ht="15" customHeight="1">
      <c r="BD829" s="130">
        <v>550</v>
      </c>
    </row>
    <row r="830" spans="56:56" ht="15" customHeight="1">
      <c r="BD830" s="130">
        <v>551</v>
      </c>
    </row>
    <row r="831" spans="56:56" ht="15" customHeight="1">
      <c r="BD831" s="130">
        <v>552</v>
      </c>
    </row>
    <row r="832" spans="56:56" ht="15" customHeight="1">
      <c r="BD832" s="130">
        <v>553</v>
      </c>
    </row>
    <row r="833" spans="56:56" ht="15" customHeight="1">
      <c r="BD833" s="130">
        <v>554</v>
      </c>
    </row>
    <row r="834" spans="56:56" ht="15" customHeight="1">
      <c r="BD834" s="130">
        <v>555</v>
      </c>
    </row>
    <row r="835" spans="56:56" ht="15" customHeight="1">
      <c r="BD835" s="130">
        <v>556</v>
      </c>
    </row>
    <row r="836" spans="56:56" ht="15" customHeight="1">
      <c r="BD836" s="130">
        <v>557</v>
      </c>
    </row>
    <row r="837" spans="56:56" ht="15" customHeight="1">
      <c r="BD837" s="130">
        <v>558</v>
      </c>
    </row>
    <row r="838" spans="56:56" ht="15" customHeight="1">
      <c r="BD838" s="130">
        <v>559</v>
      </c>
    </row>
    <row r="839" spans="56:56" ht="15" customHeight="1">
      <c r="BD839" s="130">
        <v>560</v>
      </c>
    </row>
    <row r="840" spans="56:56" ht="15" customHeight="1">
      <c r="BD840" s="130">
        <v>561</v>
      </c>
    </row>
    <row r="841" spans="56:56" ht="15" customHeight="1">
      <c r="BD841" s="130">
        <v>562</v>
      </c>
    </row>
    <row r="842" spans="56:56" ht="15" customHeight="1">
      <c r="BD842" s="130">
        <v>563</v>
      </c>
    </row>
    <row r="843" spans="56:56" ht="15" customHeight="1">
      <c r="BD843" s="130">
        <v>564</v>
      </c>
    </row>
    <row r="844" spans="56:56" ht="15" customHeight="1">
      <c r="BD844" s="130">
        <v>565</v>
      </c>
    </row>
    <row r="845" spans="56:56" ht="15" customHeight="1">
      <c r="BD845" s="130">
        <v>566</v>
      </c>
    </row>
    <row r="846" spans="56:56" ht="15" customHeight="1">
      <c r="BD846" s="130">
        <v>567</v>
      </c>
    </row>
    <row r="847" spans="56:56" ht="15" customHeight="1">
      <c r="BD847" s="130">
        <v>568</v>
      </c>
    </row>
    <row r="848" spans="56:56" ht="15" customHeight="1">
      <c r="BD848" s="130">
        <v>569</v>
      </c>
    </row>
    <row r="849" spans="56:56" ht="15" customHeight="1">
      <c r="BD849" s="130">
        <v>570</v>
      </c>
    </row>
    <row r="850" spans="56:56" ht="15" customHeight="1">
      <c r="BD850" s="130">
        <v>571</v>
      </c>
    </row>
    <row r="851" spans="56:56" ht="15" customHeight="1">
      <c r="BD851" s="130">
        <v>572</v>
      </c>
    </row>
    <row r="852" spans="56:56" ht="15" customHeight="1">
      <c r="BD852" s="130">
        <v>573</v>
      </c>
    </row>
    <row r="853" spans="56:56" ht="15" customHeight="1">
      <c r="BD853" s="130">
        <v>574</v>
      </c>
    </row>
    <row r="854" spans="56:56" ht="15" customHeight="1">
      <c r="BD854" s="130">
        <v>575</v>
      </c>
    </row>
    <row r="855" spans="56:56" ht="15" customHeight="1">
      <c r="BD855" s="130">
        <v>576</v>
      </c>
    </row>
    <row r="856" spans="56:56" ht="15" customHeight="1">
      <c r="BD856" s="130">
        <v>577</v>
      </c>
    </row>
    <row r="857" spans="56:56" ht="15" customHeight="1">
      <c r="BD857" s="130">
        <v>578</v>
      </c>
    </row>
    <row r="858" spans="56:56" ht="15" customHeight="1">
      <c r="BD858" s="130">
        <v>579</v>
      </c>
    </row>
    <row r="859" spans="56:56" ht="15" customHeight="1">
      <c r="BD859" s="130">
        <v>580</v>
      </c>
    </row>
    <row r="860" spans="56:56" ht="15" customHeight="1">
      <c r="BD860" s="130">
        <v>581</v>
      </c>
    </row>
    <row r="861" spans="56:56" ht="15" customHeight="1">
      <c r="BD861" s="130">
        <v>582</v>
      </c>
    </row>
    <row r="862" spans="56:56" ht="15" customHeight="1">
      <c r="BD862" s="130">
        <v>583</v>
      </c>
    </row>
    <row r="863" spans="56:56" ht="15" customHeight="1">
      <c r="BD863" s="130">
        <v>584</v>
      </c>
    </row>
    <row r="864" spans="56:56" ht="15" customHeight="1">
      <c r="BD864" s="130">
        <v>585</v>
      </c>
    </row>
    <row r="865" spans="56:56" ht="15" customHeight="1">
      <c r="BD865" s="130">
        <v>586</v>
      </c>
    </row>
    <row r="866" spans="56:56" ht="15" customHeight="1">
      <c r="BD866" s="130">
        <v>587</v>
      </c>
    </row>
    <row r="867" spans="56:56" ht="15" customHeight="1">
      <c r="BD867" s="130">
        <v>588</v>
      </c>
    </row>
    <row r="868" spans="56:56" ht="15" customHeight="1">
      <c r="BD868" s="130">
        <v>589</v>
      </c>
    </row>
    <row r="869" spans="56:56" ht="15" customHeight="1">
      <c r="BD869" s="130">
        <v>590</v>
      </c>
    </row>
    <row r="870" spans="56:56" ht="15" customHeight="1">
      <c r="BD870" s="130">
        <v>591</v>
      </c>
    </row>
    <row r="871" spans="56:56" ht="15" customHeight="1">
      <c r="BD871" s="130">
        <v>592</v>
      </c>
    </row>
    <row r="872" spans="56:56" ht="15" customHeight="1">
      <c r="BD872" s="130">
        <v>593</v>
      </c>
    </row>
    <row r="873" spans="56:56" ht="15" customHeight="1">
      <c r="BD873" s="130">
        <v>594</v>
      </c>
    </row>
    <row r="874" spans="56:56" ht="15" customHeight="1">
      <c r="BD874" s="130">
        <v>595</v>
      </c>
    </row>
    <row r="875" spans="56:56" ht="15" customHeight="1">
      <c r="BD875" s="130">
        <v>596</v>
      </c>
    </row>
    <row r="876" spans="56:56" ht="15" customHeight="1">
      <c r="BD876" s="130">
        <v>597</v>
      </c>
    </row>
    <row r="877" spans="56:56" ht="15" customHeight="1">
      <c r="BD877" s="130">
        <v>598</v>
      </c>
    </row>
    <row r="878" spans="56:56" ht="15" customHeight="1">
      <c r="BD878" s="130">
        <v>599</v>
      </c>
    </row>
    <row r="879" spans="56:56" ht="15" customHeight="1">
      <c r="BD879" s="130">
        <v>600</v>
      </c>
    </row>
    <row r="880" spans="56:56" ht="15" customHeight="1">
      <c r="BD880" s="130">
        <v>601</v>
      </c>
    </row>
    <row r="881" spans="56:56" ht="15" customHeight="1">
      <c r="BD881" s="130">
        <v>602</v>
      </c>
    </row>
    <row r="882" spans="56:56" ht="15" customHeight="1">
      <c r="BD882" s="130">
        <v>603</v>
      </c>
    </row>
    <row r="883" spans="56:56" ht="15" customHeight="1">
      <c r="BD883" s="130">
        <v>604</v>
      </c>
    </row>
    <row r="884" spans="56:56" ht="15" customHeight="1">
      <c r="BD884" s="130">
        <v>605</v>
      </c>
    </row>
    <row r="885" spans="56:56" ht="15" customHeight="1">
      <c r="BD885" s="130">
        <v>606</v>
      </c>
    </row>
    <row r="886" spans="56:56" ht="15" customHeight="1">
      <c r="BD886" s="130">
        <v>607</v>
      </c>
    </row>
    <row r="887" spans="56:56" ht="15" customHeight="1">
      <c r="BD887" s="130">
        <v>608</v>
      </c>
    </row>
    <row r="888" spans="56:56" ht="15" customHeight="1">
      <c r="BD888" s="130">
        <v>609</v>
      </c>
    </row>
    <row r="889" spans="56:56" ht="15" customHeight="1">
      <c r="BD889" s="130">
        <v>610</v>
      </c>
    </row>
    <row r="890" spans="56:56" ht="15" customHeight="1">
      <c r="BD890" s="130">
        <v>611</v>
      </c>
    </row>
    <row r="891" spans="56:56" ht="15" customHeight="1">
      <c r="BD891" s="130">
        <v>612</v>
      </c>
    </row>
    <row r="892" spans="56:56" ht="15" customHeight="1">
      <c r="BD892" s="130">
        <v>613</v>
      </c>
    </row>
    <row r="893" spans="56:56" ht="15" customHeight="1">
      <c r="BD893" s="130">
        <v>614</v>
      </c>
    </row>
    <row r="894" spans="56:56" ht="15" customHeight="1">
      <c r="BD894" s="130">
        <v>615</v>
      </c>
    </row>
    <row r="895" spans="56:56" ht="15" customHeight="1">
      <c r="BD895" s="130">
        <v>616</v>
      </c>
    </row>
    <row r="896" spans="56:56" ht="15" customHeight="1">
      <c r="BD896" s="130">
        <v>617</v>
      </c>
    </row>
    <row r="897" spans="56:56" ht="15" customHeight="1">
      <c r="BD897" s="130">
        <v>618</v>
      </c>
    </row>
    <row r="898" spans="56:56" ht="15" customHeight="1">
      <c r="BD898" s="130">
        <v>619</v>
      </c>
    </row>
    <row r="899" spans="56:56" ht="15" customHeight="1">
      <c r="BD899" s="130">
        <v>620</v>
      </c>
    </row>
    <row r="900" spans="56:56" ht="15" customHeight="1">
      <c r="BD900" s="130">
        <v>621</v>
      </c>
    </row>
    <row r="901" spans="56:56" ht="15" customHeight="1">
      <c r="BD901" s="130">
        <v>622</v>
      </c>
    </row>
    <row r="902" spans="56:56" ht="15" customHeight="1">
      <c r="BD902" s="130">
        <v>623</v>
      </c>
    </row>
    <row r="903" spans="56:56" ht="15" customHeight="1">
      <c r="BD903" s="130">
        <v>624</v>
      </c>
    </row>
    <row r="904" spans="56:56" ht="15" customHeight="1">
      <c r="BD904" s="130">
        <v>625</v>
      </c>
    </row>
    <row r="905" spans="56:56" ht="15" customHeight="1">
      <c r="BD905" s="130">
        <v>626</v>
      </c>
    </row>
    <row r="906" spans="56:56" ht="15" customHeight="1">
      <c r="BD906" s="130">
        <v>627</v>
      </c>
    </row>
    <row r="907" spans="56:56" ht="15" customHeight="1">
      <c r="BD907" s="130">
        <v>628</v>
      </c>
    </row>
    <row r="908" spans="56:56" ht="15" customHeight="1">
      <c r="BD908" s="130">
        <v>629</v>
      </c>
    </row>
    <row r="909" spans="56:56" ht="15" customHeight="1">
      <c r="BD909" s="130">
        <v>630</v>
      </c>
    </row>
    <row r="910" spans="56:56" ht="15" customHeight="1">
      <c r="BD910" s="130">
        <v>631</v>
      </c>
    </row>
    <row r="911" spans="56:56" ht="15" customHeight="1">
      <c r="BD911" s="130">
        <v>632</v>
      </c>
    </row>
    <row r="912" spans="56:56" ht="15" customHeight="1">
      <c r="BD912" s="130">
        <v>633</v>
      </c>
    </row>
    <row r="913" spans="56:56" ht="15" customHeight="1">
      <c r="BD913" s="130">
        <v>634</v>
      </c>
    </row>
    <row r="914" spans="56:56" ht="15" customHeight="1">
      <c r="BD914" s="130">
        <v>635</v>
      </c>
    </row>
    <row r="915" spans="56:56" ht="15" customHeight="1">
      <c r="BD915" s="130">
        <v>636</v>
      </c>
    </row>
    <row r="916" spans="56:56" ht="15" customHeight="1">
      <c r="BD916" s="130">
        <v>637</v>
      </c>
    </row>
    <row r="917" spans="56:56" ht="15" customHeight="1">
      <c r="BD917" s="130">
        <v>638</v>
      </c>
    </row>
    <row r="918" spans="56:56" ht="15" customHeight="1">
      <c r="BD918" s="130">
        <v>639</v>
      </c>
    </row>
    <row r="919" spans="56:56" ht="15" customHeight="1">
      <c r="BD919" s="130">
        <v>640</v>
      </c>
    </row>
    <row r="920" spans="56:56" ht="15" customHeight="1">
      <c r="BD920" s="130">
        <v>641</v>
      </c>
    </row>
    <row r="921" spans="56:56" ht="15" customHeight="1">
      <c r="BD921" s="130">
        <v>642</v>
      </c>
    </row>
    <row r="922" spans="56:56" ht="15" customHeight="1">
      <c r="BD922" s="130">
        <v>643</v>
      </c>
    </row>
    <row r="923" spans="56:56" ht="15" customHeight="1">
      <c r="BD923" s="130">
        <v>644</v>
      </c>
    </row>
    <row r="924" spans="56:56" ht="15" customHeight="1">
      <c r="BD924" s="130">
        <v>645</v>
      </c>
    </row>
    <row r="925" spans="56:56" ht="15" customHeight="1">
      <c r="BD925" s="130">
        <v>646</v>
      </c>
    </row>
    <row r="926" spans="56:56" ht="15" customHeight="1">
      <c r="BD926" s="130">
        <v>647</v>
      </c>
    </row>
    <row r="927" spans="56:56" ht="15" customHeight="1">
      <c r="BD927" s="130">
        <v>648</v>
      </c>
    </row>
    <row r="928" spans="56:56" ht="15" customHeight="1">
      <c r="BD928" s="130">
        <v>649</v>
      </c>
    </row>
    <row r="929" spans="56:56" ht="15" customHeight="1">
      <c r="BD929" s="130">
        <v>650</v>
      </c>
    </row>
    <row r="930" spans="56:56" ht="15" customHeight="1">
      <c r="BD930" s="130">
        <v>651</v>
      </c>
    </row>
    <row r="931" spans="56:56" ht="15" customHeight="1">
      <c r="BD931" s="130">
        <v>652</v>
      </c>
    </row>
    <row r="932" spans="56:56" ht="15" customHeight="1">
      <c r="BD932" s="130">
        <v>653</v>
      </c>
    </row>
    <row r="933" spans="56:56" ht="15" customHeight="1">
      <c r="BD933" s="130">
        <v>654</v>
      </c>
    </row>
    <row r="934" spans="56:56" ht="15" customHeight="1">
      <c r="BD934" s="130">
        <v>655</v>
      </c>
    </row>
    <row r="935" spans="56:56" ht="15" customHeight="1">
      <c r="BD935" s="130">
        <v>656</v>
      </c>
    </row>
    <row r="936" spans="56:56" ht="15" customHeight="1">
      <c r="BD936" s="130">
        <v>657</v>
      </c>
    </row>
    <row r="937" spans="56:56" ht="15" customHeight="1">
      <c r="BD937" s="130">
        <v>658</v>
      </c>
    </row>
    <row r="938" spans="56:56" ht="15" customHeight="1">
      <c r="BD938" s="130">
        <v>659</v>
      </c>
    </row>
    <row r="939" spans="56:56" ht="15" customHeight="1">
      <c r="BD939" s="130">
        <v>660</v>
      </c>
    </row>
    <row r="940" spans="56:56" ht="15" customHeight="1">
      <c r="BD940" s="130">
        <v>661</v>
      </c>
    </row>
    <row r="941" spans="56:56" ht="15" customHeight="1">
      <c r="BD941" s="130">
        <v>662</v>
      </c>
    </row>
    <row r="942" spans="56:56" ht="15" customHeight="1">
      <c r="BD942" s="130">
        <v>663</v>
      </c>
    </row>
    <row r="943" spans="56:56" ht="15" customHeight="1">
      <c r="BD943" s="130">
        <v>664</v>
      </c>
    </row>
    <row r="944" spans="56:56" ht="15" customHeight="1">
      <c r="BD944" s="130">
        <v>665</v>
      </c>
    </row>
    <row r="945" spans="56:56" ht="15" customHeight="1">
      <c r="BD945" s="130">
        <v>666</v>
      </c>
    </row>
    <row r="946" spans="56:56" ht="15" customHeight="1">
      <c r="BD946" s="130">
        <v>667</v>
      </c>
    </row>
    <row r="947" spans="56:56" ht="15" customHeight="1">
      <c r="BD947" s="130">
        <v>668</v>
      </c>
    </row>
    <row r="948" spans="56:56" ht="15" customHeight="1">
      <c r="BD948" s="130">
        <v>669</v>
      </c>
    </row>
    <row r="949" spans="56:56" ht="15" customHeight="1">
      <c r="BD949" s="130">
        <v>670</v>
      </c>
    </row>
    <row r="950" spans="56:56" ht="15" customHeight="1">
      <c r="BD950" s="130">
        <v>671</v>
      </c>
    </row>
    <row r="951" spans="56:56" ht="15" customHeight="1">
      <c r="BD951" s="130">
        <v>672</v>
      </c>
    </row>
    <row r="952" spans="56:56" ht="15" customHeight="1">
      <c r="BD952" s="130">
        <v>673</v>
      </c>
    </row>
    <row r="953" spans="56:56" ht="15" customHeight="1">
      <c r="BD953" s="130">
        <v>674</v>
      </c>
    </row>
    <row r="954" spans="56:56" ht="15" customHeight="1">
      <c r="BD954" s="130">
        <v>675</v>
      </c>
    </row>
    <row r="955" spans="56:56" ht="15" customHeight="1">
      <c r="BD955" s="130">
        <v>676</v>
      </c>
    </row>
    <row r="956" spans="56:56" ht="15" customHeight="1">
      <c r="BD956" s="130">
        <v>677</v>
      </c>
    </row>
    <row r="957" spans="56:56" ht="15" customHeight="1">
      <c r="BD957" s="130">
        <v>678</v>
      </c>
    </row>
    <row r="958" spans="56:56" ht="15" customHeight="1">
      <c r="BD958" s="130">
        <v>679</v>
      </c>
    </row>
    <row r="959" spans="56:56" ht="15" customHeight="1">
      <c r="BD959" s="130">
        <v>680</v>
      </c>
    </row>
    <row r="960" spans="56:56" ht="15" customHeight="1">
      <c r="BD960" s="130">
        <v>681</v>
      </c>
    </row>
    <row r="961" spans="56:56" ht="15" customHeight="1">
      <c r="BD961" s="130">
        <v>682</v>
      </c>
    </row>
    <row r="962" spans="56:56" ht="15" customHeight="1">
      <c r="BD962" s="130">
        <v>683</v>
      </c>
    </row>
    <row r="963" spans="56:56" ht="15" customHeight="1">
      <c r="BD963" s="130">
        <v>684</v>
      </c>
    </row>
    <row r="964" spans="56:56" ht="15" customHeight="1">
      <c r="BD964" s="130">
        <v>685</v>
      </c>
    </row>
    <row r="965" spans="56:56" ht="15" customHeight="1">
      <c r="BD965" s="130">
        <v>686</v>
      </c>
    </row>
    <row r="966" spans="56:56" ht="15" customHeight="1">
      <c r="BD966" s="130">
        <v>687</v>
      </c>
    </row>
    <row r="967" spans="56:56" ht="15" customHeight="1">
      <c r="BD967" s="130">
        <v>688</v>
      </c>
    </row>
    <row r="968" spans="56:56" ht="15" customHeight="1">
      <c r="BD968" s="130">
        <v>689</v>
      </c>
    </row>
    <row r="969" spans="56:56" ht="15" customHeight="1">
      <c r="BD969" s="130">
        <v>690</v>
      </c>
    </row>
    <row r="970" spans="56:56" ht="15" customHeight="1">
      <c r="BD970" s="130">
        <v>691</v>
      </c>
    </row>
    <row r="971" spans="56:56" ht="15" customHeight="1">
      <c r="BD971" s="130">
        <v>692</v>
      </c>
    </row>
    <row r="972" spans="56:56" ht="15" customHeight="1">
      <c r="BD972" s="130">
        <v>693</v>
      </c>
    </row>
    <row r="973" spans="56:56" ht="15" customHeight="1">
      <c r="BD973" s="130">
        <v>694</v>
      </c>
    </row>
    <row r="974" spans="56:56" ht="15" customHeight="1">
      <c r="BD974" s="130">
        <v>695</v>
      </c>
    </row>
    <row r="975" spans="56:56" ht="15" customHeight="1">
      <c r="BD975" s="130">
        <v>696</v>
      </c>
    </row>
    <row r="976" spans="56:56" ht="15" customHeight="1">
      <c r="BD976" s="130">
        <v>697</v>
      </c>
    </row>
    <row r="977" spans="56:56" ht="15" customHeight="1">
      <c r="BD977" s="130">
        <v>698</v>
      </c>
    </row>
    <row r="978" spans="56:56" ht="15" customHeight="1">
      <c r="BD978" s="130">
        <v>699</v>
      </c>
    </row>
    <row r="979" spans="56:56" ht="15" customHeight="1">
      <c r="BD979" s="130">
        <v>700</v>
      </c>
    </row>
    <row r="980" spans="56:56" ht="15" customHeight="1">
      <c r="BD980" s="130">
        <v>701</v>
      </c>
    </row>
    <row r="981" spans="56:56" ht="15" customHeight="1">
      <c r="BD981" s="130">
        <v>702</v>
      </c>
    </row>
    <row r="982" spans="56:56" ht="15" customHeight="1">
      <c r="BD982" s="130">
        <v>703</v>
      </c>
    </row>
    <row r="983" spans="56:56" ht="15" customHeight="1">
      <c r="BD983" s="130">
        <v>704</v>
      </c>
    </row>
    <row r="984" spans="56:56" ht="15" customHeight="1">
      <c r="BD984" s="130">
        <v>705</v>
      </c>
    </row>
    <row r="985" spans="56:56" ht="15" customHeight="1">
      <c r="BD985" s="130">
        <v>706</v>
      </c>
    </row>
    <row r="986" spans="56:56" ht="15" customHeight="1">
      <c r="BD986" s="130">
        <v>707</v>
      </c>
    </row>
    <row r="987" spans="56:56" ht="15" customHeight="1">
      <c r="BD987" s="130">
        <v>708</v>
      </c>
    </row>
    <row r="988" spans="56:56" ht="15" customHeight="1">
      <c r="BD988" s="130">
        <v>709</v>
      </c>
    </row>
    <row r="989" spans="56:56" ht="15" customHeight="1">
      <c r="BD989" s="130">
        <v>710</v>
      </c>
    </row>
    <row r="990" spans="56:56" ht="15" customHeight="1">
      <c r="BD990" s="130">
        <v>711</v>
      </c>
    </row>
    <row r="991" spans="56:56" ht="15" customHeight="1">
      <c r="BD991" s="130">
        <v>712</v>
      </c>
    </row>
    <row r="992" spans="56:56" ht="15" customHeight="1">
      <c r="BD992" s="130">
        <v>713</v>
      </c>
    </row>
    <row r="993" spans="56:56" ht="15" customHeight="1">
      <c r="BD993" s="130">
        <v>714</v>
      </c>
    </row>
    <row r="994" spans="56:56" ht="15" customHeight="1">
      <c r="BD994" s="130">
        <v>715</v>
      </c>
    </row>
    <row r="995" spans="56:56" ht="15" customHeight="1">
      <c r="BD995" s="130">
        <v>716</v>
      </c>
    </row>
    <row r="996" spans="56:56" ht="15" customHeight="1">
      <c r="BD996" s="130">
        <v>717</v>
      </c>
    </row>
    <row r="997" spans="56:56" ht="15" customHeight="1">
      <c r="BD997" s="130">
        <v>718</v>
      </c>
    </row>
    <row r="998" spans="56:56" ht="15" customHeight="1">
      <c r="BD998" s="130">
        <v>719</v>
      </c>
    </row>
    <row r="999" spans="56:56" ht="15" customHeight="1">
      <c r="BD999" s="130">
        <v>720</v>
      </c>
    </row>
    <row r="1000" spans="56:56" ht="15" customHeight="1">
      <c r="BD1000" s="130">
        <v>721</v>
      </c>
    </row>
    <row r="1001" spans="56:56" ht="15" customHeight="1">
      <c r="BD1001" s="130">
        <v>722</v>
      </c>
    </row>
    <row r="1002" spans="56:56" ht="15" customHeight="1">
      <c r="BD1002" s="130">
        <v>723</v>
      </c>
    </row>
    <row r="1003" spans="56:56" ht="15" customHeight="1">
      <c r="BD1003" s="130">
        <v>724</v>
      </c>
    </row>
    <row r="1004" spans="56:56" ht="15" customHeight="1">
      <c r="BD1004" s="130">
        <v>725</v>
      </c>
    </row>
    <row r="1005" spans="56:56" ht="15" customHeight="1">
      <c r="BD1005" s="130">
        <v>726</v>
      </c>
    </row>
    <row r="1006" spans="56:56" ht="15" customHeight="1">
      <c r="BD1006" s="130">
        <v>727</v>
      </c>
    </row>
    <row r="1007" spans="56:56" ht="15" customHeight="1">
      <c r="BD1007" s="130">
        <v>728</v>
      </c>
    </row>
    <row r="1008" spans="56:56" ht="15" customHeight="1">
      <c r="BD1008" s="130">
        <v>729</v>
      </c>
    </row>
    <row r="1009" spans="56:56" ht="15" customHeight="1">
      <c r="BD1009" s="130">
        <v>730</v>
      </c>
    </row>
    <row r="1010" spans="56:56" ht="15" customHeight="1">
      <c r="BD1010" s="130">
        <v>731</v>
      </c>
    </row>
    <row r="1011" spans="56:56" ht="15" customHeight="1">
      <c r="BD1011" s="130">
        <v>732</v>
      </c>
    </row>
    <row r="1012" spans="56:56" ht="15" customHeight="1">
      <c r="BD1012" s="130">
        <v>733</v>
      </c>
    </row>
    <row r="1013" spans="56:56" ht="15" customHeight="1">
      <c r="BD1013" s="130">
        <v>734</v>
      </c>
    </row>
    <row r="1014" spans="56:56" ht="15" customHeight="1">
      <c r="BD1014" s="130">
        <v>735</v>
      </c>
    </row>
    <row r="1015" spans="56:56" ht="15" customHeight="1">
      <c r="BD1015" s="130">
        <v>736</v>
      </c>
    </row>
    <row r="1016" spans="56:56" ht="15" customHeight="1">
      <c r="BD1016" s="130">
        <v>737</v>
      </c>
    </row>
    <row r="1017" spans="56:56" ht="15" customHeight="1">
      <c r="BD1017" s="130">
        <v>738</v>
      </c>
    </row>
    <row r="1018" spans="56:56" ht="15" customHeight="1">
      <c r="BD1018" s="130">
        <v>739</v>
      </c>
    </row>
    <row r="1019" spans="56:56" ht="15" customHeight="1">
      <c r="BD1019" s="130">
        <v>740</v>
      </c>
    </row>
    <row r="1020" spans="56:56" ht="15" customHeight="1">
      <c r="BD1020" s="130">
        <v>741</v>
      </c>
    </row>
    <row r="1021" spans="56:56" ht="15" customHeight="1">
      <c r="BD1021" s="130">
        <v>742</v>
      </c>
    </row>
    <row r="1022" spans="56:56" ht="15" customHeight="1">
      <c r="BD1022" s="130">
        <v>743</v>
      </c>
    </row>
    <row r="1023" spans="56:56" ht="15" customHeight="1">
      <c r="BD1023" s="130">
        <v>744</v>
      </c>
    </row>
    <row r="1024" spans="56:56" ht="15" customHeight="1">
      <c r="BD1024" s="130">
        <v>745</v>
      </c>
    </row>
    <row r="1025" spans="56:56" ht="15" customHeight="1">
      <c r="BD1025" s="130">
        <v>746</v>
      </c>
    </row>
    <row r="1026" spans="56:56" ht="15" customHeight="1">
      <c r="BD1026" s="130">
        <v>747</v>
      </c>
    </row>
    <row r="1027" spans="56:56" ht="15" customHeight="1">
      <c r="BD1027" s="130">
        <v>748</v>
      </c>
    </row>
    <row r="1028" spans="56:56" ht="15" customHeight="1">
      <c r="BD1028" s="130">
        <v>749</v>
      </c>
    </row>
    <row r="1029" spans="56:56" ht="15" customHeight="1">
      <c r="BD1029" s="130">
        <v>750</v>
      </c>
    </row>
    <row r="1030" spans="56:56" ht="15" customHeight="1">
      <c r="BD1030" s="130">
        <v>751</v>
      </c>
    </row>
    <row r="1031" spans="56:56" ht="15" customHeight="1">
      <c r="BD1031" s="130">
        <v>752</v>
      </c>
    </row>
    <row r="1032" spans="56:56" ht="15" customHeight="1">
      <c r="BD1032" s="130">
        <v>753</v>
      </c>
    </row>
    <row r="1033" spans="56:56" ht="15" customHeight="1">
      <c r="BD1033" s="130">
        <v>754</v>
      </c>
    </row>
    <row r="1034" spans="56:56" ht="15" customHeight="1">
      <c r="BD1034" s="130">
        <v>755</v>
      </c>
    </row>
    <row r="1035" spans="56:56" ht="15" customHeight="1">
      <c r="BD1035" s="130">
        <v>756</v>
      </c>
    </row>
    <row r="1036" spans="56:56" ht="15" customHeight="1">
      <c r="BD1036" s="130">
        <v>757</v>
      </c>
    </row>
    <row r="1037" spans="56:56" ht="15" customHeight="1">
      <c r="BD1037" s="130">
        <v>758</v>
      </c>
    </row>
    <row r="1038" spans="56:56" ht="15" customHeight="1">
      <c r="BD1038" s="130">
        <v>759</v>
      </c>
    </row>
    <row r="1039" spans="56:56" ht="15" customHeight="1">
      <c r="BD1039" s="130">
        <v>760</v>
      </c>
    </row>
    <row r="1040" spans="56:56" ht="15" customHeight="1">
      <c r="BD1040" s="130">
        <v>761</v>
      </c>
    </row>
    <row r="1041" spans="56:56" ht="15" customHeight="1">
      <c r="BD1041" s="130">
        <v>762</v>
      </c>
    </row>
    <row r="1042" spans="56:56" ht="15" customHeight="1">
      <c r="BD1042" s="130">
        <v>763</v>
      </c>
    </row>
    <row r="1043" spans="56:56" ht="15" customHeight="1">
      <c r="BD1043" s="130">
        <v>764</v>
      </c>
    </row>
    <row r="1044" spans="56:56" ht="15" customHeight="1">
      <c r="BD1044" s="130">
        <v>765</v>
      </c>
    </row>
    <row r="1045" spans="56:56" ht="15" customHeight="1">
      <c r="BD1045" s="130">
        <v>766</v>
      </c>
    </row>
    <row r="1046" spans="56:56" ht="15" customHeight="1">
      <c r="BD1046" s="130">
        <v>767</v>
      </c>
    </row>
    <row r="1047" spans="56:56" ht="15" customHeight="1">
      <c r="BD1047" s="130">
        <v>768</v>
      </c>
    </row>
    <row r="1048" spans="56:56" ht="15" customHeight="1">
      <c r="BD1048" s="130">
        <v>769</v>
      </c>
    </row>
    <row r="1049" spans="56:56" ht="15" customHeight="1">
      <c r="BD1049" s="130">
        <v>770</v>
      </c>
    </row>
    <row r="1050" spans="56:56" ht="15" customHeight="1">
      <c r="BD1050" s="130">
        <v>771</v>
      </c>
    </row>
    <row r="1051" spans="56:56" ht="15" customHeight="1">
      <c r="BD1051" s="130">
        <v>772</v>
      </c>
    </row>
    <row r="1052" spans="56:56" ht="15" customHeight="1">
      <c r="BD1052" s="130">
        <v>773</v>
      </c>
    </row>
    <row r="1053" spans="56:56" ht="15" customHeight="1">
      <c r="BD1053" s="130">
        <v>774</v>
      </c>
    </row>
    <row r="1054" spans="56:56" ht="15" customHeight="1">
      <c r="BD1054" s="130">
        <v>775</v>
      </c>
    </row>
    <row r="1055" spans="56:56" ht="15" customHeight="1">
      <c r="BD1055" s="130">
        <v>776</v>
      </c>
    </row>
    <row r="1056" spans="56:56" ht="15" customHeight="1">
      <c r="BD1056" s="130">
        <v>777</v>
      </c>
    </row>
    <row r="1057" spans="56:56" ht="15" customHeight="1">
      <c r="BD1057" s="130">
        <v>778</v>
      </c>
    </row>
    <row r="1058" spans="56:56" ht="15" customHeight="1">
      <c r="BD1058" s="130">
        <v>779</v>
      </c>
    </row>
    <row r="1059" spans="56:56" ht="15" customHeight="1">
      <c r="BD1059" s="130">
        <v>780</v>
      </c>
    </row>
    <row r="1060" spans="56:56" ht="15" customHeight="1">
      <c r="BD1060" s="130">
        <v>781</v>
      </c>
    </row>
    <row r="1061" spans="56:56" ht="15" customHeight="1">
      <c r="BD1061" s="130">
        <v>782</v>
      </c>
    </row>
    <row r="1062" spans="56:56" ht="15" customHeight="1">
      <c r="BD1062" s="130">
        <v>783</v>
      </c>
    </row>
    <row r="1063" spans="56:56" ht="15" customHeight="1">
      <c r="BD1063" s="130">
        <v>784</v>
      </c>
    </row>
    <row r="1064" spans="56:56" ht="15" customHeight="1">
      <c r="BD1064" s="130">
        <v>785</v>
      </c>
    </row>
    <row r="1065" spans="56:56" ht="15" customHeight="1">
      <c r="BD1065" s="130">
        <v>786</v>
      </c>
    </row>
    <row r="1066" spans="56:56" ht="15" customHeight="1">
      <c r="BD1066" s="130">
        <v>787</v>
      </c>
    </row>
    <row r="1067" spans="56:56" ht="15" customHeight="1">
      <c r="BD1067" s="130">
        <v>788</v>
      </c>
    </row>
    <row r="1068" spans="56:56" ht="15" customHeight="1">
      <c r="BD1068" s="130">
        <v>789</v>
      </c>
    </row>
    <row r="1069" spans="56:56" ht="15" customHeight="1">
      <c r="BD1069" s="130">
        <v>790</v>
      </c>
    </row>
    <row r="1070" spans="56:56" ht="15" customHeight="1">
      <c r="BD1070" s="130">
        <v>791</v>
      </c>
    </row>
    <row r="1071" spans="56:56" ht="15" customHeight="1">
      <c r="BD1071" s="130">
        <v>792</v>
      </c>
    </row>
    <row r="1072" spans="56:56" ht="15" customHeight="1">
      <c r="BD1072" s="130">
        <v>793</v>
      </c>
    </row>
    <row r="1073" spans="56:56" ht="15" customHeight="1">
      <c r="BD1073" s="130">
        <v>794</v>
      </c>
    </row>
    <row r="1074" spans="56:56" ht="15" customHeight="1">
      <c r="BD1074" s="130">
        <v>795</v>
      </c>
    </row>
    <row r="1075" spans="56:56" ht="15" customHeight="1">
      <c r="BD1075" s="130">
        <v>796</v>
      </c>
    </row>
    <row r="1076" spans="56:56" ht="15" customHeight="1">
      <c r="BD1076" s="130">
        <v>797</v>
      </c>
    </row>
    <row r="1077" spans="56:56" ht="15" customHeight="1">
      <c r="BD1077" s="130">
        <v>798</v>
      </c>
    </row>
    <row r="1078" spans="56:56" ht="15" customHeight="1">
      <c r="BD1078" s="130">
        <v>799</v>
      </c>
    </row>
    <row r="1079" spans="56:56" ht="15" customHeight="1">
      <c r="BD1079" s="130">
        <v>800</v>
      </c>
    </row>
    <row r="1080" spans="56:56" ht="15" customHeight="1">
      <c r="BD1080" s="130">
        <v>801</v>
      </c>
    </row>
    <row r="1081" spans="56:56" ht="15" customHeight="1">
      <c r="BD1081" s="130">
        <v>802</v>
      </c>
    </row>
    <row r="1082" spans="56:56" ht="15" customHeight="1">
      <c r="BD1082" s="130">
        <v>803</v>
      </c>
    </row>
    <row r="1083" spans="56:56" ht="15" customHeight="1">
      <c r="BD1083" s="130">
        <v>804</v>
      </c>
    </row>
    <row r="1084" spans="56:56" ht="15" customHeight="1">
      <c r="BD1084" s="130">
        <v>805</v>
      </c>
    </row>
    <row r="1085" spans="56:56" ht="15" customHeight="1">
      <c r="BD1085" s="130">
        <v>806</v>
      </c>
    </row>
    <row r="1086" spans="56:56" ht="15" customHeight="1">
      <c r="BD1086" s="130">
        <v>807</v>
      </c>
    </row>
    <row r="1087" spans="56:56" ht="15" customHeight="1">
      <c r="BD1087" s="130">
        <v>808</v>
      </c>
    </row>
    <row r="1088" spans="56:56" ht="15" customHeight="1">
      <c r="BD1088" s="130">
        <v>809</v>
      </c>
    </row>
    <row r="1089" spans="56:56" ht="15" customHeight="1">
      <c r="BD1089" s="130">
        <v>810</v>
      </c>
    </row>
    <row r="1090" spans="56:56" ht="15" customHeight="1">
      <c r="BD1090" s="130">
        <v>811</v>
      </c>
    </row>
    <row r="1091" spans="56:56" ht="15" customHeight="1">
      <c r="BD1091" s="130">
        <v>812</v>
      </c>
    </row>
    <row r="1092" spans="56:56" ht="15" customHeight="1">
      <c r="BD1092" s="130">
        <v>813</v>
      </c>
    </row>
    <row r="1093" spans="56:56" ht="15" customHeight="1">
      <c r="BD1093" s="130">
        <v>814</v>
      </c>
    </row>
    <row r="1094" spans="56:56" ht="15" customHeight="1">
      <c r="BD1094" s="130">
        <v>815</v>
      </c>
    </row>
    <row r="1095" spans="56:56" ht="15" customHeight="1">
      <c r="BD1095" s="130">
        <v>816</v>
      </c>
    </row>
    <row r="1096" spans="56:56" ht="15" customHeight="1">
      <c r="BD1096" s="130">
        <v>817</v>
      </c>
    </row>
    <row r="1097" spans="56:56" ht="15" customHeight="1">
      <c r="BD1097" s="130">
        <v>818</v>
      </c>
    </row>
    <row r="1098" spans="56:56" ht="15" customHeight="1">
      <c r="BD1098" s="130">
        <v>819</v>
      </c>
    </row>
    <row r="1099" spans="56:56" ht="15" customHeight="1">
      <c r="BD1099" s="130">
        <v>820</v>
      </c>
    </row>
    <row r="1100" spans="56:56" ht="15" customHeight="1">
      <c r="BD1100" s="130">
        <v>821</v>
      </c>
    </row>
    <row r="1101" spans="56:56" ht="15" customHeight="1">
      <c r="BD1101" s="130">
        <v>822</v>
      </c>
    </row>
    <row r="1102" spans="56:56" ht="15" customHeight="1">
      <c r="BD1102" s="130">
        <v>823</v>
      </c>
    </row>
    <row r="1103" spans="56:56" ht="15" customHeight="1">
      <c r="BD1103" s="130">
        <v>824</v>
      </c>
    </row>
    <row r="1104" spans="56:56" ht="15" customHeight="1">
      <c r="BD1104" s="130">
        <v>825</v>
      </c>
    </row>
    <row r="1105" spans="56:56" ht="15" customHeight="1">
      <c r="BD1105" s="130">
        <v>826</v>
      </c>
    </row>
    <row r="1106" spans="56:56" ht="15" customHeight="1">
      <c r="BD1106" s="130">
        <v>827</v>
      </c>
    </row>
    <row r="1107" spans="56:56" ht="15" customHeight="1">
      <c r="BD1107" s="130">
        <v>828</v>
      </c>
    </row>
    <row r="1108" spans="56:56" ht="15" customHeight="1">
      <c r="BD1108" s="130">
        <v>829</v>
      </c>
    </row>
    <row r="1109" spans="56:56" ht="15" customHeight="1">
      <c r="BD1109" s="130">
        <v>830</v>
      </c>
    </row>
    <row r="1110" spans="56:56" ht="15" customHeight="1">
      <c r="BD1110" s="130">
        <v>831</v>
      </c>
    </row>
    <row r="1111" spans="56:56" ht="15" customHeight="1">
      <c r="BD1111" s="130">
        <v>832</v>
      </c>
    </row>
    <row r="1112" spans="56:56" ht="15" customHeight="1">
      <c r="BD1112" s="130">
        <v>833</v>
      </c>
    </row>
    <row r="1113" spans="56:56" ht="15" customHeight="1">
      <c r="BD1113" s="130">
        <v>834</v>
      </c>
    </row>
    <row r="1114" spans="56:56" ht="15" customHeight="1">
      <c r="BD1114" s="130">
        <v>835</v>
      </c>
    </row>
    <row r="1115" spans="56:56" ht="15" customHeight="1">
      <c r="BD1115" s="130">
        <v>836</v>
      </c>
    </row>
    <row r="1116" spans="56:56" ht="15" customHeight="1">
      <c r="BD1116" s="130">
        <v>837</v>
      </c>
    </row>
    <row r="1117" spans="56:56" ht="15" customHeight="1">
      <c r="BD1117" s="130">
        <v>838</v>
      </c>
    </row>
    <row r="1118" spans="56:56" ht="15" customHeight="1">
      <c r="BD1118" s="130">
        <v>839</v>
      </c>
    </row>
    <row r="1119" spans="56:56" ht="15" customHeight="1">
      <c r="BD1119" s="130">
        <v>840</v>
      </c>
    </row>
    <row r="1120" spans="56:56" ht="15" customHeight="1">
      <c r="BD1120" s="130">
        <v>841</v>
      </c>
    </row>
    <row r="1121" spans="56:56" ht="15" customHeight="1">
      <c r="BD1121" s="130">
        <v>842</v>
      </c>
    </row>
    <row r="1122" spans="56:56" ht="15" customHeight="1">
      <c r="BD1122" s="130">
        <v>843</v>
      </c>
    </row>
    <row r="1123" spans="56:56" ht="15" customHeight="1">
      <c r="BD1123" s="130">
        <v>844</v>
      </c>
    </row>
    <row r="1124" spans="56:56" ht="15" customHeight="1">
      <c r="BD1124" s="130">
        <v>845</v>
      </c>
    </row>
    <row r="1125" spans="56:56" ht="15" customHeight="1">
      <c r="BD1125" s="130">
        <v>846</v>
      </c>
    </row>
    <row r="1126" spans="56:56" ht="15" customHeight="1">
      <c r="BD1126" s="130">
        <v>847</v>
      </c>
    </row>
    <row r="1127" spans="56:56" ht="15" customHeight="1">
      <c r="BD1127" s="130">
        <v>848</v>
      </c>
    </row>
    <row r="1128" spans="56:56" ht="15" customHeight="1">
      <c r="BD1128" s="130">
        <v>849</v>
      </c>
    </row>
    <row r="1129" spans="56:56" ht="15" customHeight="1">
      <c r="BD1129" s="130">
        <v>850</v>
      </c>
    </row>
    <row r="1130" spans="56:56" ht="15" customHeight="1">
      <c r="BD1130" s="130">
        <v>851</v>
      </c>
    </row>
    <row r="1131" spans="56:56" ht="15" customHeight="1">
      <c r="BD1131" s="130">
        <v>852</v>
      </c>
    </row>
    <row r="1132" spans="56:56" ht="15" customHeight="1">
      <c r="BD1132" s="130">
        <v>853</v>
      </c>
    </row>
    <row r="1133" spans="56:56" ht="15" customHeight="1">
      <c r="BD1133" s="130">
        <v>854</v>
      </c>
    </row>
    <row r="1134" spans="56:56" ht="15" customHeight="1">
      <c r="BD1134" s="130">
        <v>855</v>
      </c>
    </row>
    <row r="1135" spans="56:56" ht="15" customHeight="1">
      <c r="BD1135" s="130">
        <v>856</v>
      </c>
    </row>
    <row r="1136" spans="56:56" ht="15" customHeight="1">
      <c r="BD1136" s="130">
        <v>857</v>
      </c>
    </row>
    <row r="1137" spans="56:56" ht="15" customHeight="1">
      <c r="BD1137" s="130">
        <v>858</v>
      </c>
    </row>
    <row r="1138" spans="56:56" ht="15" customHeight="1">
      <c r="BD1138" s="130">
        <v>859</v>
      </c>
    </row>
    <row r="1139" spans="56:56" ht="15" customHeight="1">
      <c r="BD1139" s="130">
        <v>860</v>
      </c>
    </row>
    <row r="1140" spans="56:56" ht="15" customHeight="1">
      <c r="BD1140" s="130">
        <v>861</v>
      </c>
    </row>
    <row r="1141" spans="56:56" ht="15" customHeight="1">
      <c r="BD1141" s="130">
        <v>862</v>
      </c>
    </row>
    <row r="1142" spans="56:56" ht="15" customHeight="1">
      <c r="BD1142" s="130">
        <v>863</v>
      </c>
    </row>
    <row r="1143" spans="56:56" ht="15" customHeight="1">
      <c r="BD1143" s="130">
        <v>864</v>
      </c>
    </row>
    <row r="1144" spans="56:56" ht="15" customHeight="1">
      <c r="BD1144" s="130">
        <v>865</v>
      </c>
    </row>
    <row r="1145" spans="56:56" ht="15" customHeight="1">
      <c r="BD1145" s="130">
        <v>866</v>
      </c>
    </row>
    <row r="1146" spans="56:56" ht="15" customHeight="1">
      <c r="BD1146" s="130">
        <v>867</v>
      </c>
    </row>
    <row r="1147" spans="56:56" ht="15" customHeight="1">
      <c r="BD1147" s="130">
        <v>868</v>
      </c>
    </row>
    <row r="1148" spans="56:56" ht="15" customHeight="1">
      <c r="BD1148" s="130">
        <v>869</v>
      </c>
    </row>
    <row r="1149" spans="56:56" ht="15" customHeight="1">
      <c r="BD1149" s="130">
        <v>870</v>
      </c>
    </row>
    <row r="1150" spans="56:56" ht="15" customHeight="1">
      <c r="BD1150" s="130">
        <v>871</v>
      </c>
    </row>
    <row r="1151" spans="56:56" ht="15" customHeight="1">
      <c r="BD1151" s="130">
        <v>872</v>
      </c>
    </row>
    <row r="1152" spans="56:56" ht="15" customHeight="1">
      <c r="BD1152" s="130">
        <v>873</v>
      </c>
    </row>
    <row r="1153" spans="56:56" ht="15" customHeight="1">
      <c r="BD1153" s="130">
        <v>874</v>
      </c>
    </row>
    <row r="1154" spans="56:56" ht="15" customHeight="1">
      <c r="BD1154" s="130">
        <v>875</v>
      </c>
    </row>
    <row r="1155" spans="56:56" ht="15" customHeight="1">
      <c r="BD1155" s="130">
        <v>876</v>
      </c>
    </row>
    <row r="1156" spans="56:56" ht="15" customHeight="1">
      <c r="BD1156" s="130">
        <v>877</v>
      </c>
    </row>
    <row r="1157" spans="56:56" ht="15" customHeight="1">
      <c r="BD1157" s="130">
        <v>878</v>
      </c>
    </row>
    <row r="1158" spans="56:56" ht="15" customHeight="1">
      <c r="BD1158" s="130">
        <v>879</v>
      </c>
    </row>
    <row r="1159" spans="56:56" ht="15" customHeight="1">
      <c r="BD1159" s="130">
        <v>880</v>
      </c>
    </row>
    <row r="1160" spans="56:56" ht="15" customHeight="1">
      <c r="BD1160" s="130">
        <v>881</v>
      </c>
    </row>
    <row r="1161" spans="56:56" ht="15" customHeight="1">
      <c r="BD1161" s="130">
        <v>882</v>
      </c>
    </row>
    <row r="1162" spans="56:56" ht="15" customHeight="1">
      <c r="BD1162" s="130">
        <v>883</v>
      </c>
    </row>
    <row r="1163" spans="56:56" ht="15" customHeight="1">
      <c r="BD1163" s="130">
        <v>884</v>
      </c>
    </row>
    <row r="1164" spans="56:56" ht="15" customHeight="1">
      <c r="BD1164" s="130">
        <v>885</v>
      </c>
    </row>
    <row r="1165" spans="56:56" ht="15" customHeight="1">
      <c r="BD1165" s="130">
        <v>886</v>
      </c>
    </row>
    <row r="1166" spans="56:56" ht="15" customHeight="1">
      <c r="BD1166" s="130">
        <v>887</v>
      </c>
    </row>
    <row r="1167" spans="56:56" ht="15" customHeight="1">
      <c r="BD1167" s="130">
        <v>888</v>
      </c>
    </row>
    <row r="1168" spans="56:56" ht="15" customHeight="1">
      <c r="BD1168" s="130">
        <v>889</v>
      </c>
    </row>
    <row r="1169" spans="56:56" ht="15" customHeight="1">
      <c r="BD1169" s="130">
        <v>890</v>
      </c>
    </row>
    <row r="1170" spans="56:56" ht="15" customHeight="1">
      <c r="BD1170" s="130">
        <v>891</v>
      </c>
    </row>
    <row r="1171" spans="56:56" ht="15" customHeight="1">
      <c r="BD1171" s="130">
        <v>892</v>
      </c>
    </row>
    <row r="1172" spans="56:56" ht="15" customHeight="1">
      <c r="BD1172" s="130">
        <v>893</v>
      </c>
    </row>
    <row r="1173" spans="56:56" ht="15" customHeight="1">
      <c r="BD1173" s="130">
        <v>894</v>
      </c>
    </row>
    <row r="1174" spans="56:56" ht="15" customHeight="1">
      <c r="BD1174" s="130">
        <v>895</v>
      </c>
    </row>
    <row r="1175" spans="56:56" ht="15" customHeight="1">
      <c r="BD1175" s="130">
        <v>896</v>
      </c>
    </row>
    <row r="1176" spans="56:56" ht="15" customHeight="1">
      <c r="BD1176" s="130">
        <v>897</v>
      </c>
    </row>
    <row r="1177" spans="56:56" ht="15" customHeight="1">
      <c r="BD1177" s="130">
        <v>898</v>
      </c>
    </row>
    <row r="1178" spans="56:56" ht="15" customHeight="1">
      <c r="BD1178" s="130">
        <v>899</v>
      </c>
    </row>
    <row r="1179" spans="56:56" ht="15" customHeight="1">
      <c r="BD1179" s="130">
        <v>900</v>
      </c>
    </row>
    <row r="1180" spans="56:56" ht="15" customHeight="1">
      <c r="BD1180" s="130">
        <v>901</v>
      </c>
    </row>
    <row r="1181" spans="56:56" ht="15" customHeight="1">
      <c r="BD1181" s="130">
        <v>902</v>
      </c>
    </row>
    <row r="1182" spans="56:56" ht="15" customHeight="1">
      <c r="BD1182" s="130">
        <v>903</v>
      </c>
    </row>
    <row r="1183" spans="56:56" ht="15" customHeight="1">
      <c r="BD1183" s="130">
        <v>904</v>
      </c>
    </row>
    <row r="1184" spans="56:56" ht="15" customHeight="1">
      <c r="BD1184" s="130">
        <v>905</v>
      </c>
    </row>
    <row r="1185" spans="56:56" ht="15" customHeight="1">
      <c r="BD1185" s="130">
        <v>906</v>
      </c>
    </row>
    <row r="1186" spans="56:56" ht="15" customHeight="1">
      <c r="BD1186" s="130">
        <v>907</v>
      </c>
    </row>
    <row r="1187" spans="56:56" ht="15" customHeight="1">
      <c r="BD1187" s="130">
        <v>908</v>
      </c>
    </row>
    <row r="1188" spans="56:56" ht="15" customHeight="1">
      <c r="BD1188" s="130">
        <v>909</v>
      </c>
    </row>
    <row r="1189" spans="56:56" ht="15" customHeight="1">
      <c r="BD1189" s="130">
        <v>910</v>
      </c>
    </row>
    <row r="1190" spans="56:56" ht="15" customHeight="1">
      <c r="BD1190" s="130">
        <v>911</v>
      </c>
    </row>
    <row r="1191" spans="56:56" ht="15" customHeight="1">
      <c r="BD1191" s="130">
        <v>912</v>
      </c>
    </row>
    <row r="1192" spans="56:56" ht="15" customHeight="1">
      <c r="BD1192" s="130">
        <v>913</v>
      </c>
    </row>
    <row r="1193" spans="56:56" ht="15" customHeight="1">
      <c r="BD1193" s="130">
        <v>914</v>
      </c>
    </row>
    <row r="1194" spans="56:56" ht="15" customHeight="1">
      <c r="BD1194" s="130">
        <v>915</v>
      </c>
    </row>
    <row r="1195" spans="56:56" ht="15" customHeight="1">
      <c r="BD1195" s="130">
        <v>916</v>
      </c>
    </row>
    <row r="1196" spans="56:56" ht="15" customHeight="1">
      <c r="BD1196" s="130">
        <v>917</v>
      </c>
    </row>
    <row r="1197" spans="56:56" ht="15" customHeight="1">
      <c r="BD1197" s="130">
        <v>918</v>
      </c>
    </row>
    <row r="1198" spans="56:56" ht="15" customHeight="1">
      <c r="BD1198" s="130">
        <v>919</v>
      </c>
    </row>
    <row r="1199" spans="56:56" ht="15" customHeight="1">
      <c r="BD1199" s="130">
        <v>920</v>
      </c>
    </row>
    <row r="1200" spans="56:56" ht="15" customHeight="1">
      <c r="BD1200" s="130">
        <v>921</v>
      </c>
    </row>
    <row r="1201" spans="56:56" ht="15" customHeight="1">
      <c r="BD1201" s="130">
        <v>922</v>
      </c>
    </row>
    <row r="1202" spans="56:56" ht="15" customHeight="1">
      <c r="BD1202" s="130">
        <v>923</v>
      </c>
    </row>
    <row r="1203" spans="56:56" ht="15" customHeight="1">
      <c r="BD1203" s="130">
        <v>924</v>
      </c>
    </row>
    <row r="1204" spans="56:56" ht="15" customHeight="1">
      <c r="BD1204" s="130">
        <v>925</v>
      </c>
    </row>
    <row r="1205" spans="56:56" ht="15" customHeight="1">
      <c r="BD1205" s="130">
        <v>926</v>
      </c>
    </row>
    <row r="1206" spans="56:56" ht="15" customHeight="1">
      <c r="BD1206" s="130">
        <v>927</v>
      </c>
    </row>
    <row r="1207" spans="56:56" ht="15" customHeight="1">
      <c r="BD1207" s="130">
        <v>928</v>
      </c>
    </row>
    <row r="1208" spans="56:56" ht="15" customHeight="1">
      <c r="BD1208" s="130">
        <v>929</v>
      </c>
    </row>
    <row r="1209" spans="56:56" ht="15" customHeight="1">
      <c r="BD1209" s="130">
        <v>930</v>
      </c>
    </row>
    <row r="1210" spans="56:56" ht="15" customHeight="1">
      <c r="BD1210" s="130">
        <v>931</v>
      </c>
    </row>
    <row r="1211" spans="56:56" ht="15" customHeight="1">
      <c r="BD1211" s="130">
        <v>932</v>
      </c>
    </row>
    <row r="1212" spans="56:56" ht="15" customHeight="1">
      <c r="BD1212" s="130">
        <v>933</v>
      </c>
    </row>
    <row r="1213" spans="56:56" ht="15" customHeight="1">
      <c r="BD1213" s="130">
        <v>934</v>
      </c>
    </row>
    <row r="1214" spans="56:56" ht="15" customHeight="1">
      <c r="BD1214" s="130">
        <v>935</v>
      </c>
    </row>
    <row r="1215" spans="56:56" ht="15" customHeight="1">
      <c r="BD1215" s="130">
        <v>936</v>
      </c>
    </row>
    <row r="1216" spans="56:56" ht="15" customHeight="1">
      <c r="BD1216" s="130">
        <v>937</v>
      </c>
    </row>
    <row r="1217" spans="56:56" ht="15" customHeight="1">
      <c r="BD1217" s="130">
        <v>938</v>
      </c>
    </row>
    <row r="1218" spans="56:56" ht="15" customHeight="1">
      <c r="BD1218" s="130">
        <v>939</v>
      </c>
    </row>
    <row r="1219" spans="56:56" ht="15" customHeight="1">
      <c r="BD1219" s="130">
        <v>940</v>
      </c>
    </row>
    <row r="1220" spans="56:56" ht="15" customHeight="1">
      <c r="BD1220" s="130">
        <v>941</v>
      </c>
    </row>
    <row r="1221" spans="56:56" ht="15" customHeight="1">
      <c r="BD1221" s="130">
        <v>942</v>
      </c>
    </row>
    <row r="1222" spans="56:56" ht="15" customHeight="1">
      <c r="BD1222" s="130">
        <v>943</v>
      </c>
    </row>
    <row r="1223" spans="56:56" ht="15" customHeight="1">
      <c r="BD1223" s="130">
        <v>944</v>
      </c>
    </row>
    <row r="1224" spans="56:56" ht="15" customHeight="1">
      <c r="BD1224" s="130">
        <v>945</v>
      </c>
    </row>
    <row r="1225" spans="56:56" ht="15" customHeight="1">
      <c r="BD1225" s="130">
        <v>946</v>
      </c>
    </row>
    <row r="1226" spans="56:56" ht="15" customHeight="1">
      <c r="BD1226" s="130">
        <v>947</v>
      </c>
    </row>
    <row r="1227" spans="56:56" ht="15" customHeight="1">
      <c r="BD1227" s="130">
        <v>948</v>
      </c>
    </row>
    <row r="1228" spans="56:56" ht="15" customHeight="1">
      <c r="BD1228" s="130">
        <v>949</v>
      </c>
    </row>
    <row r="1229" spans="56:56" ht="15" customHeight="1">
      <c r="BD1229" s="130">
        <v>950</v>
      </c>
    </row>
    <row r="1230" spans="56:56" ht="15" customHeight="1">
      <c r="BD1230" s="130">
        <v>951</v>
      </c>
    </row>
    <row r="1231" spans="56:56" ht="15" customHeight="1">
      <c r="BD1231" s="130">
        <v>952</v>
      </c>
    </row>
    <row r="1232" spans="56:56" ht="15" customHeight="1">
      <c r="BD1232" s="130">
        <v>953</v>
      </c>
    </row>
    <row r="1233" spans="56:56" ht="15" customHeight="1">
      <c r="BD1233" s="130">
        <v>954</v>
      </c>
    </row>
    <row r="1234" spans="56:56" ht="15" customHeight="1">
      <c r="BD1234" s="130">
        <v>955</v>
      </c>
    </row>
    <row r="1235" spans="56:56" ht="15" customHeight="1">
      <c r="BD1235" s="130">
        <v>956</v>
      </c>
    </row>
    <row r="1236" spans="56:56" ht="15" customHeight="1">
      <c r="BD1236" s="130">
        <v>957</v>
      </c>
    </row>
    <row r="1237" spans="56:56" ht="15" customHeight="1">
      <c r="BD1237" s="130">
        <v>958</v>
      </c>
    </row>
    <row r="1238" spans="56:56" ht="15" customHeight="1">
      <c r="BD1238" s="130">
        <v>959</v>
      </c>
    </row>
    <row r="1239" spans="56:56" ht="15" customHeight="1">
      <c r="BD1239" s="130">
        <v>960</v>
      </c>
    </row>
    <row r="1240" spans="56:56" ht="15" customHeight="1">
      <c r="BD1240" s="130">
        <v>961</v>
      </c>
    </row>
    <row r="1241" spans="56:56" ht="15" customHeight="1">
      <c r="BD1241" s="130">
        <v>962</v>
      </c>
    </row>
    <row r="1242" spans="56:56" ht="15" customHeight="1">
      <c r="BD1242" s="130">
        <v>963</v>
      </c>
    </row>
    <row r="1243" spans="56:56" ht="15" customHeight="1">
      <c r="BD1243" s="130">
        <v>964</v>
      </c>
    </row>
    <row r="1244" spans="56:56" ht="15" customHeight="1">
      <c r="BD1244" s="130">
        <v>965</v>
      </c>
    </row>
    <row r="1245" spans="56:56" ht="15" customHeight="1">
      <c r="BD1245" s="130">
        <v>966</v>
      </c>
    </row>
    <row r="1246" spans="56:56" ht="15" customHeight="1">
      <c r="BD1246" s="130">
        <v>967</v>
      </c>
    </row>
    <row r="1247" spans="56:56" ht="15" customHeight="1">
      <c r="BD1247" s="130">
        <v>968</v>
      </c>
    </row>
    <row r="1248" spans="56:56" ht="15" customHeight="1">
      <c r="BD1248" s="130">
        <v>969</v>
      </c>
    </row>
    <row r="1249" spans="56:56" ht="15" customHeight="1">
      <c r="BD1249" s="130">
        <v>970</v>
      </c>
    </row>
    <row r="1250" spans="56:56" ht="15" customHeight="1">
      <c r="BD1250" s="130">
        <v>971</v>
      </c>
    </row>
    <row r="1251" spans="56:56" ht="15" customHeight="1">
      <c r="BD1251" s="130">
        <v>972</v>
      </c>
    </row>
    <row r="1252" spans="56:56" ht="15" customHeight="1">
      <c r="BD1252" s="130">
        <v>973</v>
      </c>
    </row>
    <row r="1253" spans="56:56" ht="15" customHeight="1">
      <c r="BD1253" s="130">
        <v>974</v>
      </c>
    </row>
    <row r="1254" spans="56:56" ht="15" customHeight="1">
      <c r="BD1254" s="130">
        <v>975</v>
      </c>
    </row>
    <row r="1255" spans="56:56" ht="15" customHeight="1">
      <c r="BD1255" s="130">
        <v>976</v>
      </c>
    </row>
    <row r="1256" spans="56:56" ht="15" customHeight="1">
      <c r="BD1256" s="130">
        <v>977</v>
      </c>
    </row>
    <row r="1257" spans="56:56" ht="15" customHeight="1">
      <c r="BD1257" s="130">
        <v>978</v>
      </c>
    </row>
    <row r="1258" spans="56:56" ht="15" customHeight="1">
      <c r="BD1258" s="130">
        <v>979</v>
      </c>
    </row>
    <row r="1259" spans="56:56" ht="15" customHeight="1">
      <c r="BD1259" s="130">
        <v>980</v>
      </c>
    </row>
    <row r="1260" spans="56:56" ht="15" customHeight="1">
      <c r="BD1260" s="130">
        <v>981</v>
      </c>
    </row>
    <row r="1261" spans="56:56" ht="15" customHeight="1">
      <c r="BD1261" s="130">
        <v>982</v>
      </c>
    </row>
    <row r="1262" spans="56:56" ht="15" customHeight="1">
      <c r="BD1262" s="130">
        <v>983</v>
      </c>
    </row>
    <row r="1263" spans="56:56" ht="15" customHeight="1">
      <c r="BD1263" s="130">
        <v>984</v>
      </c>
    </row>
    <row r="1264" spans="56:56" ht="15" customHeight="1">
      <c r="BD1264" s="130">
        <v>985</v>
      </c>
    </row>
    <row r="1265" spans="56:56" ht="15" customHeight="1">
      <c r="BD1265" s="130">
        <v>986</v>
      </c>
    </row>
    <row r="1266" spans="56:56" ht="15" customHeight="1">
      <c r="BD1266" s="130">
        <v>987</v>
      </c>
    </row>
    <row r="1267" spans="56:56" ht="15" customHeight="1">
      <c r="BD1267" s="130">
        <v>988</v>
      </c>
    </row>
    <row r="1268" spans="56:56" ht="15" customHeight="1">
      <c r="BD1268" s="130">
        <v>989</v>
      </c>
    </row>
    <row r="1269" spans="56:56" ht="15" customHeight="1">
      <c r="BD1269" s="130">
        <v>990</v>
      </c>
    </row>
    <row r="1270" spans="56:56" ht="15" customHeight="1">
      <c r="BD1270" s="130">
        <v>991</v>
      </c>
    </row>
    <row r="1271" spans="56:56" ht="15" customHeight="1">
      <c r="BD1271" s="130">
        <v>992</v>
      </c>
    </row>
    <row r="1272" spans="56:56" ht="15" customHeight="1">
      <c r="BD1272" s="130">
        <v>993</v>
      </c>
    </row>
    <row r="1273" spans="56:56" ht="15" customHeight="1">
      <c r="BD1273" s="130">
        <v>994</v>
      </c>
    </row>
    <row r="1274" spans="56:56" ht="15" customHeight="1">
      <c r="BD1274" s="130">
        <v>995</v>
      </c>
    </row>
    <row r="1275" spans="56:56" ht="15" customHeight="1">
      <c r="BD1275" s="130">
        <v>996</v>
      </c>
    </row>
    <row r="1276" spans="56:56" ht="15" customHeight="1">
      <c r="BD1276" s="130">
        <v>997</v>
      </c>
    </row>
    <row r="1277" spans="56:56" ht="15" customHeight="1">
      <c r="BD1277" s="130">
        <v>998</v>
      </c>
    </row>
    <row r="1278" spans="56:56" ht="15" customHeight="1">
      <c r="BD1278" s="130">
        <v>999</v>
      </c>
    </row>
    <row r="1279" spans="56:56" ht="15" customHeight="1">
      <c r="BD1279" s="130">
        <v>1000</v>
      </c>
    </row>
    <row r="1280" spans="56:56" ht="15" customHeight="1">
      <c r="BD1280" s="130">
        <v>1001</v>
      </c>
    </row>
    <row r="1281" spans="56:56" ht="15" customHeight="1">
      <c r="BD1281" s="130">
        <v>1002</v>
      </c>
    </row>
    <row r="1282" spans="56:56" ht="15" customHeight="1">
      <c r="BD1282" s="130">
        <v>1003</v>
      </c>
    </row>
    <row r="1283" spans="56:56" ht="15" customHeight="1">
      <c r="BD1283" s="130">
        <v>1004</v>
      </c>
    </row>
    <row r="1284" spans="56:56" ht="15" customHeight="1">
      <c r="BD1284" s="130">
        <v>1005</v>
      </c>
    </row>
    <row r="1285" spans="56:56" ht="15" customHeight="1">
      <c r="BD1285" s="130">
        <v>1006</v>
      </c>
    </row>
    <row r="1286" spans="56:56" ht="15" customHeight="1">
      <c r="BD1286" s="130">
        <v>1007</v>
      </c>
    </row>
    <row r="1287" spans="56:56" ht="15" customHeight="1">
      <c r="BD1287" s="130">
        <v>1008</v>
      </c>
    </row>
    <row r="1288" spans="56:56" ht="15" customHeight="1">
      <c r="BD1288" s="130">
        <v>1009</v>
      </c>
    </row>
    <row r="1289" spans="56:56" ht="15" customHeight="1">
      <c r="BD1289" s="130">
        <v>1010</v>
      </c>
    </row>
    <row r="1290" spans="56:56" ht="15" customHeight="1">
      <c r="BD1290" s="130">
        <v>1011</v>
      </c>
    </row>
    <row r="1291" spans="56:56" ht="15" customHeight="1">
      <c r="BD1291" s="130">
        <v>1012</v>
      </c>
    </row>
    <row r="1292" spans="56:56" ht="15" customHeight="1">
      <c r="BD1292" s="130">
        <v>1013</v>
      </c>
    </row>
    <row r="1293" spans="56:56" ht="15" customHeight="1">
      <c r="BD1293" s="130">
        <v>1014</v>
      </c>
    </row>
    <row r="1294" spans="56:56" ht="15" customHeight="1">
      <c r="BD1294" s="130">
        <v>1015</v>
      </c>
    </row>
    <row r="1295" spans="56:56" ht="15" customHeight="1">
      <c r="BD1295" s="130">
        <v>1016</v>
      </c>
    </row>
    <row r="1296" spans="56:56" ht="15" customHeight="1">
      <c r="BD1296" s="130">
        <v>1017</v>
      </c>
    </row>
    <row r="1297" spans="56:56" ht="15" customHeight="1">
      <c r="BD1297" s="130">
        <v>1018</v>
      </c>
    </row>
    <row r="1298" spans="56:56" ht="15" customHeight="1">
      <c r="BD1298" s="130">
        <v>1019</v>
      </c>
    </row>
    <row r="1299" spans="56:56" ht="15" customHeight="1">
      <c r="BD1299" s="130">
        <v>1020</v>
      </c>
    </row>
    <row r="1300" spans="56:56" ht="15" customHeight="1">
      <c r="BD1300" s="130">
        <v>1021</v>
      </c>
    </row>
    <row r="1301" spans="56:56" ht="15" customHeight="1">
      <c r="BD1301" s="130">
        <v>1022</v>
      </c>
    </row>
    <row r="1302" spans="56:56" ht="15" customHeight="1">
      <c r="BD1302" s="130">
        <v>1023</v>
      </c>
    </row>
    <row r="1303" spans="56:56" ht="15" customHeight="1">
      <c r="BD1303" s="130">
        <v>1024</v>
      </c>
    </row>
    <row r="1304" spans="56:56" ht="15" customHeight="1">
      <c r="BD1304" s="130">
        <v>1025</v>
      </c>
    </row>
    <row r="1305" spans="56:56" ht="15" customHeight="1">
      <c r="BD1305" s="130">
        <v>1026</v>
      </c>
    </row>
    <row r="1306" spans="56:56" ht="15" customHeight="1">
      <c r="BD1306" s="130">
        <v>1027</v>
      </c>
    </row>
    <row r="1307" spans="56:56" ht="15" customHeight="1">
      <c r="BD1307" s="130">
        <v>1028</v>
      </c>
    </row>
    <row r="1308" spans="56:56" ht="15" customHeight="1">
      <c r="BD1308" s="130">
        <v>1029</v>
      </c>
    </row>
    <row r="1309" spans="56:56" ht="15" customHeight="1">
      <c r="BD1309" s="130">
        <v>1030</v>
      </c>
    </row>
    <row r="1310" spans="56:56" ht="15" customHeight="1">
      <c r="BD1310" s="130">
        <v>1031</v>
      </c>
    </row>
    <row r="1311" spans="56:56" ht="15" customHeight="1">
      <c r="BD1311" s="130">
        <v>1032</v>
      </c>
    </row>
    <row r="1312" spans="56:56" ht="15" customHeight="1">
      <c r="BD1312" s="130">
        <v>1033</v>
      </c>
    </row>
    <row r="1313" spans="56:56" ht="15" customHeight="1">
      <c r="BD1313" s="130">
        <v>1034</v>
      </c>
    </row>
    <row r="1314" spans="56:56" ht="15" customHeight="1">
      <c r="BD1314" s="130">
        <v>1035</v>
      </c>
    </row>
    <row r="1315" spans="56:56" ht="15" customHeight="1">
      <c r="BD1315" s="130">
        <v>1036</v>
      </c>
    </row>
    <row r="1316" spans="56:56" ht="15" customHeight="1">
      <c r="BD1316" s="130">
        <v>1037</v>
      </c>
    </row>
    <row r="1317" spans="56:56" ht="15" customHeight="1">
      <c r="BD1317" s="130">
        <v>1038</v>
      </c>
    </row>
    <row r="1318" spans="56:56" ht="15" customHeight="1">
      <c r="BD1318" s="130">
        <v>1039</v>
      </c>
    </row>
    <row r="1319" spans="56:56" ht="15" customHeight="1">
      <c r="BD1319" s="130">
        <v>1040</v>
      </c>
    </row>
    <row r="1320" spans="56:56" ht="15" customHeight="1">
      <c r="BD1320" s="130">
        <v>1041</v>
      </c>
    </row>
    <row r="1321" spans="56:56" ht="15" customHeight="1">
      <c r="BD1321" s="130">
        <v>1042</v>
      </c>
    </row>
    <row r="1322" spans="56:56" ht="15" customHeight="1">
      <c r="BD1322" s="130">
        <v>1043</v>
      </c>
    </row>
    <row r="1323" spans="56:56" ht="15" customHeight="1">
      <c r="BD1323" s="130">
        <v>1044</v>
      </c>
    </row>
    <row r="1324" spans="56:56" ht="15" customHeight="1">
      <c r="BD1324" s="130">
        <v>1045</v>
      </c>
    </row>
    <row r="1325" spans="56:56" ht="15" customHeight="1">
      <c r="BD1325" s="130">
        <v>1046</v>
      </c>
    </row>
    <row r="1326" spans="56:56" ht="15" customHeight="1">
      <c r="BD1326" s="130">
        <v>1047</v>
      </c>
    </row>
    <row r="1327" spans="56:56" ht="15" customHeight="1">
      <c r="BD1327" s="130">
        <v>1048</v>
      </c>
    </row>
    <row r="1328" spans="56:56" ht="15" customHeight="1">
      <c r="BD1328" s="130">
        <v>1049</v>
      </c>
    </row>
    <row r="1329" spans="56:56" ht="15" customHeight="1">
      <c r="BD1329" s="130">
        <v>1050</v>
      </c>
    </row>
    <row r="1330" spans="56:56" ht="15" customHeight="1">
      <c r="BD1330" s="130">
        <v>1051</v>
      </c>
    </row>
    <row r="1331" spans="56:56" ht="15" customHeight="1">
      <c r="BD1331" s="130">
        <v>1052</v>
      </c>
    </row>
    <row r="1332" spans="56:56" ht="15" customHeight="1">
      <c r="BD1332" s="130">
        <v>1053</v>
      </c>
    </row>
    <row r="1333" spans="56:56" ht="15" customHeight="1">
      <c r="BD1333" s="130">
        <v>1054</v>
      </c>
    </row>
    <row r="1334" spans="56:56" ht="15" customHeight="1">
      <c r="BD1334" s="130">
        <v>1055</v>
      </c>
    </row>
    <row r="1335" spans="56:56" ht="15" customHeight="1">
      <c r="BD1335" s="130">
        <v>1056</v>
      </c>
    </row>
    <row r="1336" spans="56:56" ht="15" customHeight="1">
      <c r="BD1336" s="130">
        <v>1057</v>
      </c>
    </row>
    <row r="1337" spans="56:56" ht="15" customHeight="1">
      <c r="BD1337" s="130">
        <v>1058</v>
      </c>
    </row>
    <row r="1338" spans="56:56" ht="15" customHeight="1">
      <c r="BD1338" s="130">
        <v>1059</v>
      </c>
    </row>
    <row r="1339" spans="56:56" ht="15" customHeight="1">
      <c r="BD1339" s="130">
        <v>1060</v>
      </c>
    </row>
    <row r="1340" spans="56:56" ht="15" customHeight="1">
      <c r="BD1340" s="130">
        <v>1061</v>
      </c>
    </row>
    <row r="1341" spans="56:56" ht="15" customHeight="1">
      <c r="BD1341" s="130">
        <v>1062</v>
      </c>
    </row>
    <row r="1342" spans="56:56" ht="15" customHeight="1">
      <c r="BD1342" s="130">
        <v>1063</v>
      </c>
    </row>
    <row r="1343" spans="56:56" ht="15" customHeight="1">
      <c r="BD1343" s="130">
        <v>1064</v>
      </c>
    </row>
    <row r="1344" spans="56:56" ht="15" customHeight="1">
      <c r="BD1344" s="130">
        <v>1065</v>
      </c>
    </row>
    <row r="1345" spans="56:56" ht="15" customHeight="1">
      <c r="BD1345" s="130">
        <v>1066</v>
      </c>
    </row>
    <row r="1346" spans="56:56" ht="15" customHeight="1">
      <c r="BD1346" s="130">
        <v>1067</v>
      </c>
    </row>
    <row r="1347" spans="56:56" ht="15" customHeight="1">
      <c r="BD1347" s="130">
        <v>1068</v>
      </c>
    </row>
    <row r="1348" spans="56:56" ht="15" customHeight="1">
      <c r="BD1348" s="130">
        <v>1069</v>
      </c>
    </row>
    <row r="1349" spans="56:56" ht="15" customHeight="1">
      <c r="BD1349" s="130">
        <v>1070</v>
      </c>
    </row>
    <row r="1350" spans="56:56" ht="15" customHeight="1">
      <c r="BD1350" s="130">
        <v>1071</v>
      </c>
    </row>
    <row r="1351" spans="56:56" ht="15" customHeight="1">
      <c r="BD1351" s="130">
        <v>1072</v>
      </c>
    </row>
    <row r="1352" spans="56:56" ht="15" customHeight="1">
      <c r="BD1352" s="130">
        <v>1073</v>
      </c>
    </row>
    <row r="1353" spans="56:56" ht="15" customHeight="1">
      <c r="BD1353" s="130">
        <v>1074</v>
      </c>
    </row>
    <row r="1354" spans="56:56" ht="15" customHeight="1">
      <c r="BD1354" s="130">
        <v>1075</v>
      </c>
    </row>
    <row r="1355" spans="56:56" ht="15" customHeight="1">
      <c r="BD1355" s="130">
        <v>1076</v>
      </c>
    </row>
    <row r="1356" spans="56:56" ht="15" customHeight="1">
      <c r="BD1356" s="130">
        <v>1077</v>
      </c>
    </row>
    <row r="1357" spans="56:56" ht="15" customHeight="1">
      <c r="BD1357" s="130">
        <v>1078</v>
      </c>
    </row>
    <row r="1358" spans="56:56" ht="15" customHeight="1">
      <c r="BD1358" s="130">
        <v>1079</v>
      </c>
    </row>
    <row r="1359" spans="56:56" ht="15" customHeight="1">
      <c r="BD1359" s="130">
        <v>1080</v>
      </c>
    </row>
    <row r="1360" spans="56:56" ht="15" customHeight="1">
      <c r="BD1360" s="130">
        <v>1081</v>
      </c>
    </row>
    <row r="1361" spans="56:56" ht="15" customHeight="1">
      <c r="BD1361" s="130">
        <v>1082</v>
      </c>
    </row>
    <row r="1362" spans="56:56" ht="15" customHeight="1">
      <c r="BD1362" s="130">
        <v>1083</v>
      </c>
    </row>
    <row r="1363" spans="56:56" ht="15" customHeight="1">
      <c r="BD1363" s="130">
        <v>1084</v>
      </c>
    </row>
    <row r="1364" spans="56:56" ht="15" customHeight="1">
      <c r="BD1364" s="130">
        <v>1085</v>
      </c>
    </row>
    <row r="1365" spans="56:56" ht="15" customHeight="1">
      <c r="BD1365" s="130">
        <v>1086</v>
      </c>
    </row>
    <row r="1366" spans="56:56" ht="15" customHeight="1">
      <c r="BD1366" s="130">
        <v>1087</v>
      </c>
    </row>
    <row r="1367" spans="56:56" ht="15" customHeight="1">
      <c r="BD1367" s="130">
        <v>1088</v>
      </c>
    </row>
    <row r="1368" spans="56:56" ht="15" customHeight="1">
      <c r="BD1368" s="130">
        <v>1089</v>
      </c>
    </row>
    <row r="1369" spans="56:56" ht="15" customHeight="1">
      <c r="BD1369" s="130">
        <v>1090</v>
      </c>
    </row>
    <row r="1370" spans="56:56" ht="15" customHeight="1">
      <c r="BD1370" s="130">
        <v>1091</v>
      </c>
    </row>
    <row r="1371" spans="56:56" ht="15" customHeight="1">
      <c r="BD1371" s="130">
        <v>1092</v>
      </c>
    </row>
    <row r="1372" spans="56:56" ht="15" customHeight="1">
      <c r="BD1372" s="130">
        <v>1093</v>
      </c>
    </row>
    <row r="1373" spans="56:56" ht="15" customHeight="1">
      <c r="BD1373" s="130">
        <v>1094</v>
      </c>
    </row>
    <row r="1374" spans="56:56" ht="15" customHeight="1">
      <c r="BD1374" s="130">
        <v>1095</v>
      </c>
    </row>
    <row r="1375" spans="56:56" ht="15" customHeight="1">
      <c r="BD1375" s="130">
        <v>1096</v>
      </c>
    </row>
    <row r="1376" spans="56:56" ht="15" customHeight="1">
      <c r="BD1376" s="130">
        <v>1097</v>
      </c>
    </row>
    <row r="1377" spans="56:56" ht="15" customHeight="1">
      <c r="BD1377" s="130">
        <v>1098</v>
      </c>
    </row>
    <row r="1378" spans="56:56" ht="15" customHeight="1">
      <c r="BD1378" s="130">
        <v>1099</v>
      </c>
    </row>
    <row r="1379" spans="56:56" ht="15" customHeight="1">
      <c r="BD1379" s="130">
        <v>1100</v>
      </c>
    </row>
    <row r="1380" spans="56:56" ht="15" customHeight="1">
      <c r="BD1380" s="130">
        <v>1101</v>
      </c>
    </row>
    <row r="1381" spans="56:56" ht="15" customHeight="1">
      <c r="BD1381" s="130">
        <v>1102</v>
      </c>
    </row>
    <row r="1382" spans="56:56" ht="15" customHeight="1">
      <c r="BD1382" s="130">
        <v>1103</v>
      </c>
    </row>
    <row r="1383" spans="56:56" ht="15" customHeight="1">
      <c r="BD1383" s="130">
        <v>1104</v>
      </c>
    </row>
    <row r="1384" spans="56:56" ht="15" customHeight="1">
      <c r="BD1384" s="130">
        <v>1105</v>
      </c>
    </row>
    <row r="1385" spans="56:56" ht="15" customHeight="1">
      <c r="BD1385" s="130">
        <v>1106</v>
      </c>
    </row>
    <row r="1386" spans="56:56" ht="15" customHeight="1">
      <c r="BD1386" s="130">
        <v>1107</v>
      </c>
    </row>
    <row r="1387" spans="56:56" ht="15" customHeight="1">
      <c r="BD1387" s="130">
        <v>1108</v>
      </c>
    </row>
    <row r="1388" spans="56:56" ht="15" customHeight="1">
      <c r="BD1388" s="130">
        <v>1109</v>
      </c>
    </row>
    <row r="1389" spans="56:56" ht="15" customHeight="1">
      <c r="BD1389" s="130">
        <v>1110</v>
      </c>
    </row>
    <row r="1390" spans="56:56" ht="15" customHeight="1">
      <c r="BD1390" s="130">
        <v>1111</v>
      </c>
    </row>
    <row r="1391" spans="56:56" ht="15" customHeight="1">
      <c r="BD1391" s="130">
        <v>1112</v>
      </c>
    </row>
    <row r="1392" spans="56:56" ht="15" customHeight="1">
      <c r="BD1392" s="130">
        <v>1113</v>
      </c>
    </row>
    <row r="1393" spans="56:56" ht="15" customHeight="1">
      <c r="BD1393" s="130">
        <v>1114</v>
      </c>
    </row>
    <row r="1394" spans="56:56" ht="15" customHeight="1">
      <c r="BD1394" s="130">
        <v>1115</v>
      </c>
    </row>
    <row r="1395" spans="56:56" ht="15" customHeight="1">
      <c r="BD1395" s="130">
        <v>1116</v>
      </c>
    </row>
    <row r="1396" spans="56:56" ht="15" customHeight="1">
      <c r="BD1396" s="130">
        <v>1117</v>
      </c>
    </row>
    <row r="1397" spans="56:56" ht="15" customHeight="1">
      <c r="BD1397" s="130">
        <v>1118</v>
      </c>
    </row>
    <row r="1398" spans="56:56" ht="15" customHeight="1">
      <c r="BD1398" s="130">
        <v>1119</v>
      </c>
    </row>
    <row r="1399" spans="56:56" ht="15" customHeight="1">
      <c r="BD1399" s="130">
        <v>1120</v>
      </c>
    </row>
    <row r="1400" spans="56:56" ht="15" customHeight="1">
      <c r="BD1400" s="130">
        <v>1121</v>
      </c>
    </row>
    <row r="1401" spans="56:56" ht="15" customHeight="1">
      <c r="BD1401" s="130">
        <v>1122</v>
      </c>
    </row>
    <row r="1402" spans="56:56" ht="15" customHeight="1">
      <c r="BD1402" s="130">
        <v>1123</v>
      </c>
    </row>
    <row r="1403" spans="56:56" ht="15" customHeight="1">
      <c r="BD1403" s="130">
        <v>1124</v>
      </c>
    </row>
    <row r="1404" spans="56:56" ht="15" customHeight="1">
      <c r="BD1404" s="130">
        <v>1125</v>
      </c>
    </row>
    <row r="1405" spans="56:56" ht="15" customHeight="1">
      <c r="BD1405" s="130">
        <v>1126</v>
      </c>
    </row>
    <row r="1406" spans="56:56" ht="15" customHeight="1">
      <c r="BD1406" s="130">
        <v>1127</v>
      </c>
    </row>
    <row r="1407" spans="56:56" ht="15" customHeight="1">
      <c r="BD1407" s="130">
        <v>1128</v>
      </c>
    </row>
    <row r="1408" spans="56:56" ht="15" customHeight="1">
      <c r="BD1408" s="130">
        <v>1129</v>
      </c>
    </row>
    <row r="1409" spans="56:56" ht="15" customHeight="1">
      <c r="BD1409" s="130">
        <v>1130</v>
      </c>
    </row>
    <row r="1410" spans="56:56" ht="15" customHeight="1">
      <c r="BD1410" s="130">
        <v>1131</v>
      </c>
    </row>
    <row r="1411" spans="56:56" ht="15" customHeight="1">
      <c r="BD1411" s="130">
        <v>1132</v>
      </c>
    </row>
    <row r="1412" spans="56:56" ht="15" customHeight="1">
      <c r="BD1412" s="130">
        <v>1133</v>
      </c>
    </row>
    <row r="1413" spans="56:56" ht="15" customHeight="1">
      <c r="BD1413" s="130">
        <v>1134</v>
      </c>
    </row>
    <row r="1414" spans="56:56" ht="15" customHeight="1">
      <c r="BD1414" s="130">
        <v>1135</v>
      </c>
    </row>
    <row r="1415" spans="56:56" ht="15" customHeight="1">
      <c r="BD1415" s="130">
        <v>1136</v>
      </c>
    </row>
    <row r="1416" spans="56:56" ht="15" customHeight="1">
      <c r="BD1416" s="130">
        <v>1137</v>
      </c>
    </row>
    <row r="1417" spans="56:56" ht="15" customHeight="1">
      <c r="BD1417" s="130">
        <v>1138</v>
      </c>
    </row>
    <row r="1418" spans="56:56" ht="15" customHeight="1">
      <c r="BD1418" s="130">
        <v>1139</v>
      </c>
    </row>
    <row r="1419" spans="56:56" ht="15" customHeight="1">
      <c r="BD1419" s="130">
        <v>1140</v>
      </c>
    </row>
    <row r="1420" spans="56:56" ht="15" customHeight="1">
      <c r="BD1420" s="130">
        <v>1141</v>
      </c>
    </row>
    <row r="1421" spans="56:56" ht="15" customHeight="1">
      <c r="BD1421" s="130">
        <v>1142</v>
      </c>
    </row>
    <row r="1422" spans="56:56" ht="15" customHeight="1">
      <c r="BD1422" s="130">
        <v>1143</v>
      </c>
    </row>
    <row r="1423" spans="56:56" ht="15" customHeight="1">
      <c r="BD1423" s="130">
        <v>1144</v>
      </c>
    </row>
    <row r="1424" spans="56:56" ht="15" customHeight="1">
      <c r="BD1424" s="130">
        <v>1145</v>
      </c>
    </row>
    <row r="1425" spans="56:56" ht="15" customHeight="1">
      <c r="BD1425" s="130">
        <v>1146</v>
      </c>
    </row>
    <row r="1426" spans="56:56" ht="15" customHeight="1">
      <c r="BD1426" s="130">
        <v>1147</v>
      </c>
    </row>
    <row r="1427" spans="56:56" ht="15" customHeight="1">
      <c r="BD1427" s="130">
        <v>1148</v>
      </c>
    </row>
    <row r="1428" spans="56:56" ht="15" customHeight="1">
      <c r="BD1428" s="130">
        <v>1149</v>
      </c>
    </row>
    <row r="1429" spans="56:56" ht="15" customHeight="1">
      <c r="BD1429" s="130">
        <v>1150</v>
      </c>
    </row>
    <row r="1430" spans="56:56" ht="15" customHeight="1">
      <c r="BD1430" s="130">
        <v>1151</v>
      </c>
    </row>
    <row r="1431" spans="56:56" ht="15" customHeight="1">
      <c r="BD1431" s="130">
        <v>1152</v>
      </c>
    </row>
    <row r="1432" spans="56:56" ht="15" customHeight="1">
      <c r="BD1432" s="130">
        <v>1153</v>
      </c>
    </row>
    <row r="1433" spans="56:56" ht="15" customHeight="1">
      <c r="BD1433" s="130">
        <v>1154</v>
      </c>
    </row>
    <row r="1434" spans="56:56" ht="15" customHeight="1">
      <c r="BD1434" s="130">
        <v>1155</v>
      </c>
    </row>
    <row r="1435" spans="56:56" ht="15" customHeight="1">
      <c r="BD1435" s="130">
        <v>1156</v>
      </c>
    </row>
    <row r="1436" spans="56:56" ht="15" customHeight="1">
      <c r="BD1436" s="130">
        <v>1157</v>
      </c>
    </row>
    <row r="1437" spans="56:56" ht="15" customHeight="1">
      <c r="BD1437" s="130">
        <v>1158</v>
      </c>
    </row>
    <row r="1438" spans="56:56" ht="15" customHeight="1">
      <c r="BD1438" s="130">
        <v>1159</v>
      </c>
    </row>
    <row r="1439" spans="56:56" ht="15" customHeight="1">
      <c r="BD1439" s="130">
        <v>1160</v>
      </c>
    </row>
    <row r="1440" spans="56:56" ht="15" customHeight="1">
      <c r="BD1440" s="130">
        <v>1161</v>
      </c>
    </row>
    <row r="1441" spans="56:56" ht="15" customHeight="1">
      <c r="BD1441" s="130">
        <v>1162</v>
      </c>
    </row>
    <row r="1442" spans="56:56" ht="15" customHeight="1">
      <c r="BD1442" s="130">
        <v>1163</v>
      </c>
    </row>
    <row r="1443" spans="56:56" ht="15" customHeight="1">
      <c r="BD1443" s="130">
        <v>1164</v>
      </c>
    </row>
    <row r="1444" spans="56:56" ht="15" customHeight="1">
      <c r="BD1444" s="130">
        <v>1165</v>
      </c>
    </row>
    <row r="1445" spans="56:56" ht="15" customHeight="1">
      <c r="BD1445" s="130">
        <v>1166</v>
      </c>
    </row>
    <row r="1446" spans="56:56" ht="15" customHeight="1">
      <c r="BD1446" s="130">
        <v>1167</v>
      </c>
    </row>
    <row r="1447" spans="56:56" ht="15" customHeight="1">
      <c r="BD1447" s="130">
        <v>1168</v>
      </c>
    </row>
    <row r="1448" spans="56:56" ht="15" customHeight="1">
      <c r="BD1448" s="130">
        <v>1169</v>
      </c>
    </row>
    <row r="1449" spans="56:56" ht="15" customHeight="1">
      <c r="BD1449" s="130">
        <v>1170</v>
      </c>
    </row>
    <row r="1450" spans="56:56" ht="15" customHeight="1">
      <c r="BD1450" s="130">
        <v>1171</v>
      </c>
    </row>
    <row r="1451" spans="56:56" ht="15" customHeight="1">
      <c r="BD1451" s="130">
        <v>1172</v>
      </c>
    </row>
    <row r="1452" spans="56:56" ht="15" customHeight="1">
      <c r="BD1452" s="130">
        <v>1173</v>
      </c>
    </row>
    <row r="1453" spans="56:56" ht="15" customHeight="1">
      <c r="BD1453" s="130">
        <v>1174</v>
      </c>
    </row>
    <row r="1454" spans="56:56" ht="15" customHeight="1">
      <c r="BD1454" s="130">
        <v>1175</v>
      </c>
    </row>
    <row r="1455" spans="56:56" ht="15" customHeight="1">
      <c r="BD1455" s="130">
        <v>1176</v>
      </c>
    </row>
    <row r="1456" spans="56:56" ht="15" customHeight="1">
      <c r="BD1456" s="130">
        <v>1177</v>
      </c>
    </row>
    <row r="1457" spans="56:56" ht="15" customHeight="1">
      <c r="BD1457" s="130">
        <v>1178</v>
      </c>
    </row>
    <row r="1458" spans="56:56" ht="15" customHeight="1">
      <c r="BD1458" s="130">
        <v>1179</v>
      </c>
    </row>
    <row r="1459" spans="56:56" ht="15" customHeight="1">
      <c r="BD1459" s="130">
        <v>1180</v>
      </c>
    </row>
    <row r="1460" spans="56:56" ht="15" customHeight="1">
      <c r="BD1460" s="130">
        <v>1181</v>
      </c>
    </row>
    <row r="1461" spans="56:56" ht="15" customHeight="1">
      <c r="BD1461" s="130">
        <v>1182</v>
      </c>
    </row>
    <row r="1462" spans="56:56" ht="15" customHeight="1">
      <c r="BD1462" s="130">
        <v>1183</v>
      </c>
    </row>
    <row r="1463" spans="56:56" ht="15" customHeight="1">
      <c r="BD1463" s="130">
        <v>1184</v>
      </c>
    </row>
    <row r="1464" spans="56:56" ht="15" customHeight="1">
      <c r="BD1464" s="130">
        <v>1185</v>
      </c>
    </row>
    <row r="1465" spans="56:56" ht="15" customHeight="1">
      <c r="BD1465" s="130">
        <v>1186</v>
      </c>
    </row>
    <row r="1466" spans="56:56" ht="15" customHeight="1">
      <c r="BD1466" s="130">
        <v>1187</v>
      </c>
    </row>
    <row r="1467" spans="56:56" ht="15" customHeight="1">
      <c r="BD1467" s="130">
        <v>1188</v>
      </c>
    </row>
    <row r="1468" spans="56:56" ht="15" customHeight="1">
      <c r="BD1468" s="130">
        <v>1189</v>
      </c>
    </row>
    <row r="1469" spans="56:56" ht="15" customHeight="1">
      <c r="BD1469" s="130">
        <v>1190</v>
      </c>
    </row>
    <row r="1470" spans="56:56" ht="15" customHeight="1">
      <c r="BD1470" s="130">
        <v>1191</v>
      </c>
    </row>
    <row r="1471" spans="56:56" ht="15" customHeight="1">
      <c r="BD1471" s="130">
        <v>1192</v>
      </c>
    </row>
    <row r="1472" spans="56:56" ht="15" customHeight="1">
      <c r="BD1472" s="130">
        <v>1193</v>
      </c>
    </row>
    <row r="1473" spans="56:56" ht="15" customHeight="1">
      <c r="BD1473" s="130">
        <v>1194</v>
      </c>
    </row>
    <row r="1474" spans="56:56" ht="15" customHeight="1">
      <c r="BD1474" s="130">
        <v>1195</v>
      </c>
    </row>
    <row r="1475" spans="56:56" ht="15" customHeight="1">
      <c r="BD1475" s="130">
        <v>1196</v>
      </c>
    </row>
    <row r="1476" spans="56:56" ht="15" customHeight="1">
      <c r="BD1476" s="130">
        <v>1197</v>
      </c>
    </row>
    <row r="1477" spans="56:56" ht="15" customHeight="1">
      <c r="BD1477" s="130">
        <v>1198</v>
      </c>
    </row>
    <row r="1478" spans="56:56" ht="15" customHeight="1">
      <c r="BD1478" s="130">
        <v>1199</v>
      </c>
    </row>
    <row r="1479" spans="56:56" ht="15" customHeight="1">
      <c r="BD1479" s="130">
        <v>1200</v>
      </c>
    </row>
    <row r="1480" spans="56:56" ht="15" customHeight="1">
      <c r="BD1480" s="130">
        <v>1201</v>
      </c>
    </row>
    <row r="1481" spans="56:56" ht="15" customHeight="1">
      <c r="BD1481" s="130">
        <v>1202</v>
      </c>
    </row>
    <row r="1482" spans="56:56" ht="15" customHeight="1">
      <c r="BD1482" s="130">
        <v>1203</v>
      </c>
    </row>
    <row r="1483" spans="56:56" ht="15" customHeight="1">
      <c r="BD1483" s="130">
        <v>1204</v>
      </c>
    </row>
    <row r="1484" spans="56:56" ht="15" customHeight="1">
      <c r="BD1484" s="130">
        <v>1205</v>
      </c>
    </row>
    <row r="1485" spans="56:56" ht="15" customHeight="1">
      <c r="BD1485" s="130">
        <v>1206</v>
      </c>
    </row>
    <row r="1486" spans="56:56" ht="15" customHeight="1">
      <c r="BD1486" s="130">
        <v>1207</v>
      </c>
    </row>
    <row r="1487" spans="56:56" ht="15" customHeight="1">
      <c r="BD1487" s="130">
        <v>1208</v>
      </c>
    </row>
    <row r="1488" spans="56:56" ht="15" customHeight="1">
      <c r="BD1488" s="130">
        <v>1209</v>
      </c>
    </row>
    <row r="1489" spans="56:56" ht="15" customHeight="1">
      <c r="BD1489" s="130">
        <v>1210</v>
      </c>
    </row>
    <row r="1490" spans="56:56" ht="15" customHeight="1">
      <c r="BD1490" s="130">
        <v>1211</v>
      </c>
    </row>
    <row r="1491" spans="56:56" ht="15" customHeight="1">
      <c r="BD1491" s="130">
        <v>1212</v>
      </c>
    </row>
    <row r="1492" spans="56:56" ht="15" customHeight="1">
      <c r="BD1492" s="130">
        <v>1213</v>
      </c>
    </row>
    <row r="1493" spans="56:56" ht="15" customHeight="1">
      <c r="BD1493" s="130">
        <v>1214</v>
      </c>
    </row>
    <row r="1494" spans="56:56" ht="15" customHeight="1">
      <c r="BD1494" s="130">
        <v>1215</v>
      </c>
    </row>
    <row r="1495" spans="56:56" ht="15" customHeight="1">
      <c r="BD1495" s="130">
        <v>1216</v>
      </c>
    </row>
    <row r="1496" spans="56:56" ht="15" customHeight="1">
      <c r="BD1496" s="130">
        <v>1217</v>
      </c>
    </row>
    <row r="1497" spans="56:56" ht="15" customHeight="1">
      <c r="BD1497" s="130">
        <v>1218</v>
      </c>
    </row>
    <row r="1498" spans="56:56" ht="15" customHeight="1">
      <c r="BD1498" s="130">
        <v>1219</v>
      </c>
    </row>
    <row r="1499" spans="56:56" ht="15" customHeight="1">
      <c r="BD1499" s="130">
        <v>1220</v>
      </c>
    </row>
    <row r="1500" spans="56:56" ht="15" customHeight="1">
      <c r="BD1500" s="130">
        <v>1221</v>
      </c>
    </row>
    <row r="1501" spans="56:56" ht="15" customHeight="1">
      <c r="BD1501" s="130">
        <v>1222</v>
      </c>
    </row>
    <row r="1502" spans="56:56" ht="15" customHeight="1">
      <c r="BD1502" s="130">
        <v>1223</v>
      </c>
    </row>
    <row r="1503" spans="56:56" ht="15" customHeight="1">
      <c r="BD1503" s="130">
        <v>1224</v>
      </c>
    </row>
    <row r="1504" spans="56:56" ht="15" customHeight="1">
      <c r="BD1504" s="130">
        <v>1225</v>
      </c>
    </row>
    <row r="1505" spans="56:56" ht="15" customHeight="1">
      <c r="BD1505" s="130">
        <v>1226</v>
      </c>
    </row>
    <row r="1506" spans="56:56" ht="15" customHeight="1">
      <c r="BD1506" s="130">
        <v>1227</v>
      </c>
    </row>
    <row r="1507" spans="56:56" ht="15" customHeight="1">
      <c r="BD1507" s="130">
        <v>1228</v>
      </c>
    </row>
    <row r="1508" spans="56:56" ht="15" customHeight="1">
      <c r="BD1508" s="130">
        <v>1229</v>
      </c>
    </row>
    <row r="1509" spans="56:56" ht="15" customHeight="1">
      <c r="BD1509" s="130">
        <v>1230</v>
      </c>
    </row>
    <row r="1510" spans="56:56" ht="15" customHeight="1">
      <c r="BD1510" s="130">
        <v>1231</v>
      </c>
    </row>
    <row r="1511" spans="56:56" ht="15" customHeight="1">
      <c r="BD1511" s="130">
        <v>1232</v>
      </c>
    </row>
    <row r="1512" spans="56:56" ht="15" customHeight="1">
      <c r="BD1512" s="130">
        <v>1233</v>
      </c>
    </row>
    <row r="1513" spans="56:56" ht="15" customHeight="1">
      <c r="BD1513" s="130">
        <v>1234</v>
      </c>
    </row>
    <row r="1514" spans="56:56" ht="15" customHeight="1">
      <c r="BD1514" s="130">
        <v>1235</v>
      </c>
    </row>
    <row r="1515" spans="56:56" ht="15" customHeight="1">
      <c r="BD1515" s="130">
        <v>1236</v>
      </c>
    </row>
    <row r="1516" spans="56:56" ht="15" customHeight="1">
      <c r="BD1516" s="130">
        <v>1237</v>
      </c>
    </row>
    <row r="1517" spans="56:56" ht="15" customHeight="1">
      <c r="BD1517" s="130">
        <v>1238</v>
      </c>
    </row>
    <row r="1518" spans="56:56" ht="15" customHeight="1">
      <c r="BD1518" s="130">
        <v>1239</v>
      </c>
    </row>
    <row r="1519" spans="56:56" ht="15" customHeight="1">
      <c r="BD1519" s="130">
        <v>1240</v>
      </c>
    </row>
    <row r="1520" spans="56:56" ht="15" customHeight="1">
      <c r="BD1520" s="130">
        <v>1241</v>
      </c>
    </row>
    <row r="1521" spans="56:56" ht="15" customHeight="1">
      <c r="BD1521" s="130">
        <v>1242</v>
      </c>
    </row>
    <row r="1522" spans="56:56" ht="15" customHeight="1">
      <c r="BD1522" s="130">
        <v>1243</v>
      </c>
    </row>
    <row r="1523" spans="56:56" ht="15" customHeight="1">
      <c r="BD1523" s="130">
        <v>1244</v>
      </c>
    </row>
    <row r="1524" spans="56:56" ht="15" customHeight="1">
      <c r="BD1524" s="130">
        <v>1245</v>
      </c>
    </row>
    <row r="1525" spans="56:56" ht="15" customHeight="1">
      <c r="BD1525" s="130">
        <v>1246</v>
      </c>
    </row>
    <row r="1526" spans="56:56" ht="15" customHeight="1">
      <c r="BD1526" s="130">
        <v>1247</v>
      </c>
    </row>
    <row r="1527" spans="56:56" ht="15" customHeight="1">
      <c r="BD1527" s="130">
        <v>1248</v>
      </c>
    </row>
    <row r="1528" spans="56:56" ht="15" customHeight="1">
      <c r="BD1528" s="130">
        <v>1249</v>
      </c>
    </row>
    <row r="1529" spans="56:56" ht="15" customHeight="1">
      <c r="BD1529" s="130">
        <v>1250</v>
      </c>
    </row>
    <row r="1530" spans="56:56" ht="15" customHeight="1">
      <c r="BD1530" s="130">
        <v>1251</v>
      </c>
    </row>
    <row r="1531" spans="56:56" ht="15" customHeight="1">
      <c r="BD1531" s="130">
        <v>1252</v>
      </c>
    </row>
    <row r="1532" spans="56:56" ht="15" customHeight="1">
      <c r="BD1532" s="130">
        <v>1253</v>
      </c>
    </row>
    <row r="1533" spans="56:56" ht="15" customHeight="1">
      <c r="BD1533" s="130">
        <v>1254</v>
      </c>
    </row>
    <row r="1534" spans="56:56" ht="15" customHeight="1">
      <c r="BD1534" s="130">
        <v>1255</v>
      </c>
    </row>
    <row r="1535" spans="56:56" ht="15" customHeight="1">
      <c r="BD1535" s="130">
        <v>1256</v>
      </c>
    </row>
    <row r="1536" spans="56:56" ht="15" customHeight="1">
      <c r="BD1536" s="130">
        <v>1257</v>
      </c>
    </row>
    <row r="1537" spans="56:56" ht="15" customHeight="1">
      <c r="BD1537" s="130">
        <v>1258</v>
      </c>
    </row>
    <row r="1538" spans="56:56" ht="15" customHeight="1">
      <c r="BD1538" s="130">
        <v>1259</v>
      </c>
    </row>
    <row r="1539" spans="56:56" ht="15" customHeight="1">
      <c r="BD1539" s="130">
        <v>1260</v>
      </c>
    </row>
    <row r="1540" spans="56:56" ht="15" customHeight="1">
      <c r="BD1540" s="130">
        <v>1261</v>
      </c>
    </row>
    <row r="1541" spans="56:56" ht="15" customHeight="1">
      <c r="BD1541" s="130">
        <v>1262</v>
      </c>
    </row>
    <row r="1542" spans="56:56" ht="15" customHeight="1">
      <c r="BD1542" s="130">
        <v>1263</v>
      </c>
    </row>
    <row r="1543" spans="56:56" ht="15" customHeight="1">
      <c r="BD1543" s="130">
        <v>1264</v>
      </c>
    </row>
    <row r="1544" spans="56:56" ht="15" customHeight="1">
      <c r="BD1544" s="130">
        <v>1265</v>
      </c>
    </row>
    <row r="1545" spans="56:56" ht="15" customHeight="1">
      <c r="BD1545" s="130">
        <v>1266</v>
      </c>
    </row>
    <row r="1546" spans="56:56" ht="15" customHeight="1">
      <c r="BD1546" s="130">
        <v>1267</v>
      </c>
    </row>
    <row r="1547" spans="56:56" ht="15" customHeight="1">
      <c r="BD1547" s="130">
        <v>1268</v>
      </c>
    </row>
    <row r="1548" spans="56:56" ht="15" customHeight="1">
      <c r="BD1548" s="130">
        <v>1269</v>
      </c>
    </row>
    <row r="1549" spans="56:56" ht="15" customHeight="1">
      <c r="BD1549" s="130">
        <v>1270</v>
      </c>
    </row>
    <row r="1550" spans="56:56" ht="15" customHeight="1">
      <c r="BD1550" s="130">
        <v>1271</v>
      </c>
    </row>
    <row r="1551" spans="56:56" ht="15" customHeight="1">
      <c r="BD1551" s="130">
        <v>1272</v>
      </c>
    </row>
    <row r="1552" spans="56:56" ht="15" customHeight="1">
      <c r="BD1552" s="130">
        <v>1273</v>
      </c>
    </row>
    <row r="1553" spans="56:56" ht="15" customHeight="1">
      <c r="BD1553" s="130">
        <v>1274</v>
      </c>
    </row>
    <row r="1554" spans="56:56" ht="15" customHeight="1">
      <c r="BD1554" s="130">
        <v>1275</v>
      </c>
    </row>
    <row r="1555" spans="56:56" ht="15" customHeight="1">
      <c r="BD1555" s="130">
        <v>1276</v>
      </c>
    </row>
    <row r="1556" spans="56:56" ht="15" customHeight="1">
      <c r="BD1556" s="130">
        <v>1277</v>
      </c>
    </row>
    <row r="1557" spans="56:56" ht="15" customHeight="1">
      <c r="BD1557" s="130">
        <v>1278</v>
      </c>
    </row>
    <row r="1558" spans="56:56" ht="15" customHeight="1">
      <c r="BD1558" s="130">
        <v>1279</v>
      </c>
    </row>
    <row r="1559" spans="56:56" ht="15" customHeight="1">
      <c r="BD1559" s="130">
        <v>1280</v>
      </c>
    </row>
    <row r="1560" spans="56:56" ht="15" customHeight="1">
      <c r="BD1560" s="130">
        <v>1281</v>
      </c>
    </row>
    <row r="1561" spans="56:56" ht="15" customHeight="1">
      <c r="BD1561" s="130">
        <v>1282</v>
      </c>
    </row>
    <row r="1562" spans="56:56" ht="15" customHeight="1">
      <c r="BD1562" s="130">
        <v>1283</v>
      </c>
    </row>
    <row r="1563" spans="56:56" ht="15" customHeight="1">
      <c r="BD1563" s="130">
        <v>1284</v>
      </c>
    </row>
    <row r="1564" spans="56:56" ht="15" customHeight="1">
      <c r="BD1564" s="130">
        <v>1285</v>
      </c>
    </row>
    <row r="1565" spans="56:56" ht="15" customHeight="1">
      <c r="BD1565" s="130">
        <v>1286</v>
      </c>
    </row>
    <row r="1566" spans="56:56" ht="15" customHeight="1">
      <c r="BD1566" s="130">
        <v>1287</v>
      </c>
    </row>
    <row r="1567" spans="56:56" ht="15" customHeight="1">
      <c r="BD1567" s="130">
        <v>1288</v>
      </c>
    </row>
    <row r="1568" spans="56:56" ht="15" customHeight="1">
      <c r="BD1568" s="130">
        <v>1289</v>
      </c>
    </row>
    <row r="1569" spans="56:56" ht="15" customHeight="1">
      <c r="BD1569" s="130">
        <v>1290</v>
      </c>
    </row>
    <row r="1570" spans="56:56" ht="15" customHeight="1">
      <c r="BD1570" s="130">
        <v>1291</v>
      </c>
    </row>
    <row r="1571" spans="56:56" ht="15" customHeight="1">
      <c r="BD1571" s="130">
        <v>1292</v>
      </c>
    </row>
    <row r="1572" spans="56:56" ht="15" customHeight="1">
      <c r="BD1572" s="130">
        <v>1293</v>
      </c>
    </row>
    <row r="1573" spans="56:56" ht="15" customHeight="1">
      <c r="BD1573" s="130">
        <v>1294</v>
      </c>
    </row>
    <row r="1574" spans="56:56" ht="15" customHeight="1">
      <c r="BD1574" s="130">
        <v>1295</v>
      </c>
    </row>
    <row r="1575" spans="56:56" ht="15" customHeight="1">
      <c r="BD1575" s="130">
        <v>1296</v>
      </c>
    </row>
    <row r="1576" spans="56:56" ht="15" customHeight="1">
      <c r="BD1576" s="130">
        <v>1297</v>
      </c>
    </row>
    <row r="1577" spans="56:56" ht="15" customHeight="1">
      <c r="BD1577" s="130">
        <v>1298</v>
      </c>
    </row>
    <row r="1578" spans="56:56" ht="15" customHeight="1">
      <c r="BD1578" s="130">
        <v>1299</v>
      </c>
    </row>
    <row r="1579" spans="56:56" ht="15" customHeight="1">
      <c r="BD1579" s="130">
        <v>1300</v>
      </c>
    </row>
    <row r="1580" spans="56:56" ht="15" customHeight="1">
      <c r="BD1580" s="130">
        <v>1301</v>
      </c>
    </row>
    <row r="1581" spans="56:56" ht="15" customHeight="1">
      <c r="BD1581" s="130">
        <v>1302</v>
      </c>
    </row>
    <row r="1582" spans="56:56" ht="15" customHeight="1">
      <c r="BD1582" s="130">
        <v>1303</v>
      </c>
    </row>
    <row r="1583" spans="56:56" ht="15" customHeight="1">
      <c r="BD1583" s="130">
        <v>1304</v>
      </c>
    </row>
    <row r="1584" spans="56:56" ht="15" customHeight="1">
      <c r="BD1584" s="130">
        <v>1305</v>
      </c>
    </row>
    <row r="1585" spans="56:56" ht="15" customHeight="1">
      <c r="BD1585" s="130">
        <v>1306</v>
      </c>
    </row>
    <row r="1586" spans="56:56" ht="15" customHeight="1">
      <c r="BD1586" s="130">
        <v>1307</v>
      </c>
    </row>
    <row r="1587" spans="56:56" ht="15" customHeight="1">
      <c r="BD1587" s="130">
        <v>1308</v>
      </c>
    </row>
    <row r="1588" spans="56:56" ht="15" customHeight="1">
      <c r="BD1588" s="130">
        <v>1309</v>
      </c>
    </row>
    <row r="1589" spans="56:56" ht="15" customHeight="1">
      <c r="BD1589" s="130">
        <v>1310</v>
      </c>
    </row>
    <row r="1590" spans="56:56" ht="15" customHeight="1">
      <c r="BD1590" s="130">
        <v>1311</v>
      </c>
    </row>
    <row r="1591" spans="56:56" ht="15" customHeight="1">
      <c r="BD1591" s="130">
        <v>1312</v>
      </c>
    </row>
    <row r="1592" spans="56:56" ht="15" customHeight="1">
      <c r="BD1592" s="130">
        <v>1313</v>
      </c>
    </row>
    <row r="1593" spans="56:56" ht="15" customHeight="1">
      <c r="BD1593" s="130">
        <v>1314</v>
      </c>
    </row>
    <row r="1594" spans="56:56" ht="15" customHeight="1">
      <c r="BD1594" s="130">
        <v>1315</v>
      </c>
    </row>
    <row r="1595" spans="56:56" ht="15" customHeight="1">
      <c r="BD1595" s="130">
        <v>1316</v>
      </c>
    </row>
    <row r="1596" spans="56:56" ht="15" customHeight="1">
      <c r="BD1596" s="130">
        <v>1317</v>
      </c>
    </row>
    <row r="1597" spans="56:56" ht="15" customHeight="1">
      <c r="BD1597" s="130">
        <v>1318</v>
      </c>
    </row>
    <row r="1598" spans="56:56" ht="15" customHeight="1">
      <c r="BD1598" s="130">
        <v>1319</v>
      </c>
    </row>
    <row r="1599" spans="56:56" ht="15" customHeight="1">
      <c r="BD1599" s="130">
        <v>1320</v>
      </c>
    </row>
    <row r="1600" spans="56:56" ht="15" customHeight="1">
      <c r="BD1600" s="130">
        <v>1321</v>
      </c>
    </row>
    <row r="1601" spans="56:56" ht="15" customHeight="1">
      <c r="BD1601" s="130">
        <v>1322</v>
      </c>
    </row>
    <row r="1602" spans="56:56" ht="15" customHeight="1">
      <c r="BD1602" s="130">
        <v>1323</v>
      </c>
    </row>
    <row r="1603" spans="56:56" ht="15" customHeight="1">
      <c r="BD1603" s="130">
        <v>1324</v>
      </c>
    </row>
    <row r="1604" spans="56:56" ht="15" customHeight="1">
      <c r="BD1604" s="130">
        <v>1325</v>
      </c>
    </row>
    <row r="1605" spans="56:56" ht="15" customHeight="1">
      <c r="BD1605" s="130">
        <v>1326</v>
      </c>
    </row>
    <row r="1606" spans="56:56" ht="15" customHeight="1">
      <c r="BD1606" s="130">
        <v>1327</v>
      </c>
    </row>
    <row r="1607" spans="56:56" ht="15" customHeight="1">
      <c r="BD1607" s="130">
        <v>1328</v>
      </c>
    </row>
    <row r="1608" spans="56:56" ht="15" customHeight="1">
      <c r="BD1608" s="130">
        <v>1329</v>
      </c>
    </row>
    <row r="1609" spans="56:56" ht="15" customHeight="1">
      <c r="BD1609" s="130">
        <v>1330</v>
      </c>
    </row>
    <row r="1610" spans="56:56" ht="15" customHeight="1">
      <c r="BD1610" s="130">
        <v>1331</v>
      </c>
    </row>
    <row r="1611" spans="56:56" ht="15" customHeight="1">
      <c r="BD1611" s="130">
        <v>1332</v>
      </c>
    </row>
    <row r="1612" spans="56:56" ht="15" customHeight="1">
      <c r="BD1612" s="130">
        <v>1333</v>
      </c>
    </row>
    <row r="1613" spans="56:56" ht="15" customHeight="1">
      <c r="BD1613" s="130">
        <v>1334</v>
      </c>
    </row>
    <row r="1614" spans="56:56" ht="15" customHeight="1">
      <c r="BD1614" s="130">
        <v>1335</v>
      </c>
    </row>
    <row r="1615" spans="56:56" ht="15" customHeight="1">
      <c r="BD1615" s="130">
        <v>1336</v>
      </c>
    </row>
    <row r="1616" spans="56:56" ht="15" customHeight="1">
      <c r="BD1616" s="130">
        <v>1337</v>
      </c>
    </row>
    <row r="1617" spans="56:56" ht="15" customHeight="1">
      <c r="BD1617" s="130">
        <v>1338</v>
      </c>
    </row>
    <row r="1618" spans="56:56" ht="15" customHeight="1">
      <c r="BD1618" s="130">
        <v>1339</v>
      </c>
    </row>
    <row r="1619" spans="56:56" ht="15" customHeight="1">
      <c r="BD1619" s="130">
        <v>1340</v>
      </c>
    </row>
    <row r="1620" spans="56:56" ht="15" customHeight="1">
      <c r="BD1620" s="130">
        <v>1341</v>
      </c>
    </row>
    <row r="1621" spans="56:56" ht="15" customHeight="1">
      <c r="BD1621" s="130">
        <v>1342</v>
      </c>
    </row>
    <row r="1622" spans="56:56" ht="15" customHeight="1">
      <c r="BD1622" s="130">
        <v>1343</v>
      </c>
    </row>
    <row r="1623" spans="56:56" ht="15" customHeight="1">
      <c r="BD1623" s="130">
        <v>1344</v>
      </c>
    </row>
    <row r="1624" spans="56:56" ht="15" customHeight="1">
      <c r="BD1624" s="130">
        <v>1345</v>
      </c>
    </row>
    <row r="1625" spans="56:56" ht="15" customHeight="1">
      <c r="BD1625" s="130">
        <v>1346</v>
      </c>
    </row>
    <row r="1626" spans="56:56" ht="15" customHeight="1">
      <c r="BD1626" s="130">
        <v>1347</v>
      </c>
    </row>
    <row r="1627" spans="56:56" ht="15" customHeight="1">
      <c r="BD1627" s="130">
        <v>1348</v>
      </c>
    </row>
    <row r="1628" spans="56:56" ht="15" customHeight="1">
      <c r="BD1628" s="130">
        <v>1349</v>
      </c>
    </row>
    <row r="1629" spans="56:56" ht="15" customHeight="1">
      <c r="BD1629" s="130">
        <v>1350</v>
      </c>
    </row>
    <row r="1630" spans="56:56" ht="15" customHeight="1">
      <c r="BD1630" s="130">
        <v>1351</v>
      </c>
    </row>
    <row r="1631" spans="56:56" ht="15" customHeight="1">
      <c r="BD1631" s="130">
        <v>1352</v>
      </c>
    </row>
    <row r="1632" spans="56:56" ht="15" customHeight="1">
      <c r="BD1632" s="130">
        <v>1353</v>
      </c>
    </row>
    <row r="1633" spans="56:56" ht="15" customHeight="1">
      <c r="BD1633" s="130">
        <v>1354</v>
      </c>
    </row>
    <row r="1634" spans="56:56" ht="15" customHeight="1">
      <c r="BD1634" s="130">
        <v>1355</v>
      </c>
    </row>
    <row r="1635" spans="56:56" ht="15" customHeight="1">
      <c r="BD1635" s="130">
        <v>1356</v>
      </c>
    </row>
    <row r="1636" spans="56:56" ht="15" customHeight="1">
      <c r="BD1636" s="130">
        <v>1357</v>
      </c>
    </row>
    <row r="1637" spans="56:56" ht="15" customHeight="1">
      <c r="BD1637" s="130">
        <v>1358</v>
      </c>
    </row>
    <row r="1638" spans="56:56" ht="15" customHeight="1">
      <c r="BD1638" s="130">
        <v>1359</v>
      </c>
    </row>
    <row r="1639" spans="56:56" ht="15" customHeight="1">
      <c r="BD1639" s="130">
        <v>1360</v>
      </c>
    </row>
    <row r="1640" spans="56:56" ht="15" customHeight="1">
      <c r="BD1640" s="130">
        <v>1361</v>
      </c>
    </row>
    <row r="1641" spans="56:56" ht="15" customHeight="1">
      <c r="BD1641" s="130">
        <v>1362</v>
      </c>
    </row>
    <row r="1642" spans="56:56" ht="15" customHeight="1">
      <c r="BD1642" s="130">
        <v>1363</v>
      </c>
    </row>
    <row r="1643" spans="56:56" ht="15" customHeight="1">
      <c r="BD1643" s="130">
        <v>1364</v>
      </c>
    </row>
    <row r="1644" spans="56:56" ht="15" customHeight="1">
      <c r="BD1644" s="130">
        <v>1365</v>
      </c>
    </row>
    <row r="1645" spans="56:56" ht="15" customHeight="1">
      <c r="BD1645" s="130">
        <v>1366</v>
      </c>
    </row>
    <row r="1646" spans="56:56" ht="15" customHeight="1">
      <c r="BD1646" s="130">
        <v>1367</v>
      </c>
    </row>
    <row r="1647" spans="56:56" ht="15" customHeight="1">
      <c r="BD1647" s="130">
        <v>1368</v>
      </c>
    </row>
    <row r="1648" spans="56:56" ht="15" customHeight="1">
      <c r="BD1648" s="130">
        <v>1369</v>
      </c>
    </row>
    <row r="1649" spans="56:56" ht="15" customHeight="1">
      <c r="BD1649" s="130">
        <v>1370</v>
      </c>
    </row>
    <row r="1650" spans="56:56" ht="15" customHeight="1">
      <c r="BD1650" s="130">
        <v>1371</v>
      </c>
    </row>
    <row r="1651" spans="56:56" ht="15" customHeight="1">
      <c r="BD1651" s="130">
        <v>1372</v>
      </c>
    </row>
    <row r="1652" spans="56:56" ht="15" customHeight="1">
      <c r="BD1652" s="130">
        <v>1373</v>
      </c>
    </row>
    <row r="1653" spans="56:56" ht="15" customHeight="1">
      <c r="BD1653" s="130">
        <v>1374</v>
      </c>
    </row>
    <row r="1654" spans="56:56" ht="15" customHeight="1">
      <c r="BD1654" s="130">
        <v>1375</v>
      </c>
    </row>
    <row r="1655" spans="56:56" ht="15" customHeight="1">
      <c r="BD1655" s="130">
        <v>1376</v>
      </c>
    </row>
    <row r="1656" spans="56:56" ht="15" customHeight="1">
      <c r="BD1656" s="130">
        <v>1377</v>
      </c>
    </row>
    <row r="1657" spans="56:56" ht="15" customHeight="1">
      <c r="BD1657" s="130">
        <v>1378</v>
      </c>
    </row>
    <row r="1658" spans="56:56" ht="15" customHeight="1">
      <c r="BD1658" s="130">
        <v>1379</v>
      </c>
    </row>
    <row r="1659" spans="56:56" ht="15" customHeight="1">
      <c r="BD1659" s="130">
        <v>1380</v>
      </c>
    </row>
    <row r="1660" spans="56:56" ht="15" customHeight="1">
      <c r="BD1660" s="130">
        <v>1381</v>
      </c>
    </row>
    <row r="1661" spans="56:56" ht="15" customHeight="1">
      <c r="BD1661" s="130">
        <v>1382</v>
      </c>
    </row>
    <row r="1662" spans="56:56" ht="15" customHeight="1">
      <c r="BD1662" s="130">
        <v>1383</v>
      </c>
    </row>
    <row r="1663" spans="56:56" ht="15" customHeight="1">
      <c r="BD1663" s="130">
        <v>1384</v>
      </c>
    </row>
    <row r="1664" spans="56:56" ht="15" customHeight="1">
      <c r="BD1664" s="130">
        <v>1385</v>
      </c>
    </row>
    <row r="1665" spans="56:56" ht="15" customHeight="1">
      <c r="BD1665" s="130">
        <v>1386</v>
      </c>
    </row>
    <row r="1666" spans="56:56" ht="15" customHeight="1">
      <c r="BD1666" s="130">
        <v>1387</v>
      </c>
    </row>
    <row r="1667" spans="56:56" ht="15" customHeight="1">
      <c r="BD1667" s="130">
        <v>1388</v>
      </c>
    </row>
    <row r="1668" spans="56:56" ht="15" customHeight="1">
      <c r="BD1668" s="130">
        <v>1389</v>
      </c>
    </row>
    <row r="1669" spans="56:56" ht="15" customHeight="1">
      <c r="BD1669" s="130">
        <v>1390</v>
      </c>
    </row>
    <row r="1670" spans="56:56" ht="15" customHeight="1">
      <c r="BD1670" s="130">
        <v>1391</v>
      </c>
    </row>
    <row r="1671" spans="56:56" ht="15" customHeight="1">
      <c r="BD1671" s="130">
        <v>1392</v>
      </c>
    </row>
    <row r="1672" spans="56:56" ht="15" customHeight="1">
      <c r="BD1672" s="130">
        <v>1393</v>
      </c>
    </row>
    <row r="1673" spans="56:56" ht="15" customHeight="1">
      <c r="BD1673" s="130">
        <v>1394</v>
      </c>
    </row>
    <row r="1674" spans="56:56" ht="15" customHeight="1">
      <c r="BD1674" s="130">
        <v>1395</v>
      </c>
    </row>
    <row r="1675" spans="56:56" ht="15" customHeight="1">
      <c r="BD1675" s="130">
        <v>1396</v>
      </c>
    </row>
    <row r="1676" spans="56:56" ht="15" customHeight="1">
      <c r="BD1676" s="130">
        <v>1397</v>
      </c>
    </row>
    <row r="1677" spans="56:56" ht="15" customHeight="1">
      <c r="BD1677" s="130">
        <v>1398</v>
      </c>
    </row>
    <row r="1678" spans="56:56" ht="15" customHeight="1">
      <c r="BD1678" s="130">
        <v>1399</v>
      </c>
    </row>
    <row r="1679" spans="56:56" ht="15" customHeight="1">
      <c r="BD1679" s="130">
        <v>1400</v>
      </c>
    </row>
    <row r="1680" spans="56:56" ht="15" customHeight="1">
      <c r="BD1680" s="130">
        <v>1401</v>
      </c>
    </row>
    <row r="1681" spans="56:56" ht="15" customHeight="1">
      <c r="BD1681" s="130">
        <v>1402</v>
      </c>
    </row>
    <row r="1682" spans="56:56" ht="15" customHeight="1">
      <c r="BD1682" s="130">
        <v>1403</v>
      </c>
    </row>
    <row r="1683" spans="56:56" ht="15" customHeight="1">
      <c r="BD1683" s="130">
        <v>1404</v>
      </c>
    </row>
    <row r="1684" spans="56:56" ht="15" customHeight="1">
      <c r="BD1684" s="130">
        <v>1405</v>
      </c>
    </row>
    <row r="1685" spans="56:56" ht="15" customHeight="1">
      <c r="BD1685" s="130">
        <v>1406</v>
      </c>
    </row>
    <row r="1686" spans="56:56" ht="15" customHeight="1">
      <c r="BD1686" s="130">
        <v>1407</v>
      </c>
    </row>
    <row r="1687" spans="56:56" ht="15" customHeight="1">
      <c r="BD1687" s="130">
        <v>1408</v>
      </c>
    </row>
    <row r="1688" spans="56:56" ht="15" customHeight="1">
      <c r="BD1688" s="130">
        <v>1409</v>
      </c>
    </row>
    <row r="1689" spans="56:56" ht="15" customHeight="1">
      <c r="BD1689" s="130">
        <v>1410</v>
      </c>
    </row>
    <row r="1690" spans="56:56" ht="15" customHeight="1">
      <c r="BD1690" s="130">
        <v>1411</v>
      </c>
    </row>
    <row r="1691" spans="56:56" ht="15" customHeight="1">
      <c r="BD1691" s="130">
        <v>1412</v>
      </c>
    </row>
    <row r="1692" spans="56:56" ht="15" customHeight="1">
      <c r="BD1692" s="130">
        <v>1413</v>
      </c>
    </row>
    <row r="1693" spans="56:56" ht="15" customHeight="1">
      <c r="BD1693" s="130">
        <v>1414</v>
      </c>
    </row>
    <row r="1694" spans="56:56" ht="15" customHeight="1">
      <c r="BD1694" s="130">
        <v>1415</v>
      </c>
    </row>
    <row r="1695" spans="56:56" ht="15" customHeight="1">
      <c r="BD1695" s="130">
        <v>1416</v>
      </c>
    </row>
    <row r="1696" spans="56:56" ht="15" customHeight="1">
      <c r="BD1696" s="130">
        <v>1417</v>
      </c>
    </row>
    <row r="1697" spans="56:56" ht="15" customHeight="1">
      <c r="BD1697" s="130">
        <v>1418</v>
      </c>
    </row>
    <row r="1698" spans="56:56" ht="15" customHeight="1">
      <c r="BD1698" s="130">
        <v>1419</v>
      </c>
    </row>
    <row r="1699" spans="56:56" ht="15" customHeight="1">
      <c r="BD1699" s="130">
        <v>1420</v>
      </c>
    </row>
    <row r="1700" spans="56:56" ht="15" customHeight="1">
      <c r="BD1700" s="130">
        <v>1421</v>
      </c>
    </row>
    <row r="1701" spans="56:56" ht="15" customHeight="1">
      <c r="BD1701" s="130">
        <v>1422</v>
      </c>
    </row>
    <row r="1702" spans="56:56" ht="15" customHeight="1">
      <c r="BD1702" s="130">
        <v>1423</v>
      </c>
    </row>
    <row r="1703" spans="56:56" ht="15" customHeight="1">
      <c r="BD1703" s="130">
        <v>1424</v>
      </c>
    </row>
    <row r="1704" spans="56:56" ht="15" customHeight="1">
      <c r="BD1704" s="130">
        <v>1425</v>
      </c>
    </row>
    <row r="1705" spans="56:56" ht="15" customHeight="1">
      <c r="BD1705" s="130">
        <v>1426</v>
      </c>
    </row>
    <row r="1706" spans="56:56" ht="15" customHeight="1">
      <c r="BD1706" s="130">
        <v>1427</v>
      </c>
    </row>
    <row r="1707" spans="56:56" ht="15" customHeight="1">
      <c r="BD1707" s="130">
        <v>1428</v>
      </c>
    </row>
    <row r="1708" spans="56:56" ht="15" customHeight="1">
      <c r="BD1708" s="130">
        <v>1429</v>
      </c>
    </row>
    <row r="1709" spans="56:56" ht="15" customHeight="1">
      <c r="BD1709" s="130">
        <v>1430</v>
      </c>
    </row>
    <row r="1710" spans="56:56" ht="15" customHeight="1">
      <c r="BD1710" s="130">
        <v>1431</v>
      </c>
    </row>
    <row r="1711" spans="56:56" ht="15" customHeight="1">
      <c r="BD1711" s="130">
        <v>1432</v>
      </c>
    </row>
    <row r="1712" spans="56:56" ht="15" customHeight="1">
      <c r="BD1712" s="130">
        <v>1433</v>
      </c>
    </row>
    <row r="1713" spans="56:56" ht="15" customHeight="1">
      <c r="BD1713" s="130">
        <v>1434</v>
      </c>
    </row>
    <row r="1714" spans="56:56" ht="15" customHeight="1">
      <c r="BD1714" s="130">
        <v>1435</v>
      </c>
    </row>
    <row r="1715" spans="56:56" ht="15" customHeight="1">
      <c r="BD1715" s="130">
        <v>1436</v>
      </c>
    </row>
    <row r="1716" spans="56:56" ht="15" customHeight="1">
      <c r="BD1716" s="130">
        <v>1437</v>
      </c>
    </row>
    <row r="1717" spans="56:56" ht="15" customHeight="1">
      <c r="BD1717" s="130">
        <v>1438</v>
      </c>
    </row>
    <row r="1718" spans="56:56" ht="15" customHeight="1">
      <c r="BD1718" s="130">
        <v>1439</v>
      </c>
    </row>
    <row r="1719" spans="56:56" ht="15" customHeight="1">
      <c r="BD1719" s="130">
        <v>1440</v>
      </c>
    </row>
    <row r="1720" spans="56:56" ht="15" customHeight="1">
      <c r="BD1720" s="130">
        <v>1441</v>
      </c>
    </row>
    <row r="1721" spans="56:56" ht="15" customHeight="1">
      <c r="BD1721" s="130">
        <v>1442</v>
      </c>
    </row>
    <row r="1722" spans="56:56" ht="15" customHeight="1">
      <c r="BD1722" s="130">
        <v>1443</v>
      </c>
    </row>
    <row r="1723" spans="56:56" ht="15" customHeight="1">
      <c r="BD1723" s="130">
        <v>1444</v>
      </c>
    </row>
    <row r="1724" spans="56:56" ht="15" customHeight="1">
      <c r="BD1724" s="130">
        <v>1445</v>
      </c>
    </row>
    <row r="1725" spans="56:56" ht="15" customHeight="1">
      <c r="BD1725" s="130">
        <v>1446</v>
      </c>
    </row>
    <row r="1726" spans="56:56" ht="15" customHeight="1">
      <c r="BD1726" s="130">
        <v>1447</v>
      </c>
    </row>
    <row r="1727" spans="56:56" ht="15" customHeight="1">
      <c r="BD1727" s="130">
        <v>1448</v>
      </c>
    </row>
    <row r="1728" spans="56:56" ht="15" customHeight="1">
      <c r="BD1728" s="130">
        <v>1449</v>
      </c>
    </row>
    <row r="1729" spans="56:56" ht="15" customHeight="1">
      <c r="BD1729" s="130">
        <v>1450</v>
      </c>
    </row>
    <row r="1730" spans="56:56" ht="15" customHeight="1">
      <c r="BD1730" s="130">
        <v>1451</v>
      </c>
    </row>
    <row r="1731" spans="56:56" ht="15" customHeight="1">
      <c r="BD1731" s="130">
        <v>1452</v>
      </c>
    </row>
    <row r="1732" spans="56:56" ht="15" customHeight="1">
      <c r="BD1732" s="130">
        <v>1453</v>
      </c>
    </row>
    <row r="1733" spans="56:56" ht="15" customHeight="1">
      <c r="BD1733" s="130">
        <v>1454</v>
      </c>
    </row>
    <row r="1734" spans="56:56" ht="15" customHeight="1">
      <c r="BD1734" s="130">
        <v>1455</v>
      </c>
    </row>
    <row r="1735" spans="56:56" ht="15" customHeight="1">
      <c r="BD1735" s="130">
        <v>1456</v>
      </c>
    </row>
    <row r="1736" spans="56:56" ht="15" customHeight="1">
      <c r="BD1736" s="130">
        <v>1457</v>
      </c>
    </row>
    <row r="1737" spans="56:56" ht="15" customHeight="1">
      <c r="BD1737" s="130">
        <v>1458</v>
      </c>
    </row>
    <row r="1738" spans="56:56" ht="15" customHeight="1">
      <c r="BD1738" s="130">
        <v>1459</v>
      </c>
    </row>
    <row r="1739" spans="56:56" ht="15" customHeight="1">
      <c r="BD1739" s="130">
        <v>1460</v>
      </c>
    </row>
    <row r="1740" spans="56:56" ht="15" customHeight="1">
      <c r="BD1740" s="130">
        <v>1461</v>
      </c>
    </row>
    <row r="1741" spans="56:56" ht="15" customHeight="1">
      <c r="BD1741" s="130">
        <v>1462</v>
      </c>
    </row>
    <row r="1742" spans="56:56" ht="15" customHeight="1">
      <c r="BD1742" s="130">
        <v>1463</v>
      </c>
    </row>
    <row r="1743" spans="56:56" ht="15" customHeight="1">
      <c r="BD1743" s="130">
        <v>1464</v>
      </c>
    </row>
    <row r="1744" spans="56:56" ht="15" customHeight="1">
      <c r="BD1744" s="130">
        <v>1465</v>
      </c>
    </row>
    <row r="1745" spans="56:56" ht="15" customHeight="1">
      <c r="BD1745" s="130">
        <v>1466</v>
      </c>
    </row>
    <row r="1746" spans="56:56" ht="15" customHeight="1">
      <c r="BD1746" s="130">
        <v>1467</v>
      </c>
    </row>
    <row r="1747" spans="56:56" ht="15" customHeight="1">
      <c r="BD1747" s="130">
        <v>1468</v>
      </c>
    </row>
    <row r="1748" spans="56:56" ht="15" customHeight="1">
      <c r="BD1748" s="130">
        <v>1469</v>
      </c>
    </row>
    <row r="1749" spans="56:56" ht="15" customHeight="1">
      <c r="BD1749" s="130">
        <v>1470</v>
      </c>
    </row>
    <row r="1750" spans="56:56" ht="15" customHeight="1">
      <c r="BD1750" s="130">
        <v>1471</v>
      </c>
    </row>
    <row r="1751" spans="56:56" ht="15" customHeight="1">
      <c r="BD1751" s="130">
        <v>1472</v>
      </c>
    </row>
    <row r="1752" spans="56:56" ht="15" customHeight="1">
      <c r="BD1752" s="130">
        <v>1473</v>
      </c>
    </row>
    <row r="1753" spans="56:56" ht="15" customHeight="1">
      <c r="BD1753" s="130">
        <v>1474</v>
      </c>
    </row>
    <row r="1754" spans="56:56" ht="15" customHeight="1">
      <c r="BD1754" s="130">
        <v>1475</v>
      </c>
    </row>
    <row r="1755" spans="56:56" ht="15" customHeight="1">
      <c r="BD1755" s="130">
        <v>1476</v>
      </c>
    </row>
    <row r="1756" spans="56:56" ht="15" customHeight="1">
      <c r="BD1756" s="130">
        <v>1477</v>
      </c>
    </row>
    <row r="1757" spans="56:56" ht="15" customHeight="1">
      <c r="BD1757" s="130">
        <v>1478</v>
      </c>
    </row>
    <row r="1758" spans="56:56" ht="15" customHeight="1">
      <c r="BD1758" s="130">
        <v>1479</v>
      </c>
    </row>
    <row r="1759" spans="56:56" ht="15" customHeight="1">
      <c r="BD1759" s="130">
        <v>1480</v>
      </c>
    </row>
    <row r="1760" spans="56:56" ht="15" customHeight="1">
      <c r="BD1760" s="130">
        <v>1481</v>
      </c>
    </row>
    <row r="1761" spans="56:56" ht="15" customHeight="1">
      <c r="BD1761" s="130">
        <v>1482</v>
      </c>
    </row>
    <row r="1762" spans="56:56" ht="15" customHeight="1">
      <c r="BD1762" s="130">
        <v>1483</v>
      </c>
    </row>
    <row r="1763" spans="56:56" ht="15" customHeight="1">
      <c r="BD1763" s="130">
        <v>1484</v>
      </c>
    </row>
    <row r="1764" spans="56:56" ht="15" customHeight="1">
      <c r="BD1764" s="130">
        <v>1485</v>
      </c>
    </row>
    <row r="1765" spans="56:56" ht="15" customHeight="1">
      <c r="BD1765" s="130">
        <v>1486</v>
      </c>
    </row>
    <row r="1766" spans="56:56" ht="15" customHeight="1">
      <c r="BD1766" s="130">
        <v>1487</v>
      </c>
    </row>
    <row r="1767" spans="56:56" ht="15" customHeight="1">
      <c r="BD1767" s="130">
        <v>1488</v>
      </c>
    </row>
    <row r="1768" spans="56:56" ht="15" customHeight="1">
      <c r="BD1768" s="130">
        <v>1489</v>
      </c>
    </row>
    <row r="1769" spans="56:56" ht="15" customHeight="1">
      <c r="BD1769" s="130">
        <v>1490</v>
      </c>
    </row>
    <row r="1770" spans="56:56" ht="15" customHeight="1">
      <c r="BD1770" s="130">
        <v>1491</v>
      </c>
    </row>
    <row r="1771" spans="56:56" ht="15" customHeight="1">
      <c r="BD1771" s="130">
        <v>1492</v>
      </c>
    </row>
  </sheetData>
  <mergeCells count="15">
    <mergeCell ref="B271:C271"/>
    <mergeCell ref="D271:O271"/>
    <mergeCell ref="B272:C272"/>
    <mergeCell ref="D272:O272"/>
    <mergeCell ref="B273:C273"/>
    <mergeCell ref="D273:O273"/>
    <mergeCell ref="D277:N277"/>
    <mergeCell ref="B278:C278"/>
    <mergeCell ref="D278:N278"/>
    <mergeCell ref="B274:C274"/>
    <mergeCell ref="D274:O274"/>
    <mergeCell ref="B275:C275"/>
    <mergeCell ref="D275:O275"/>
    <mergeCell ref="B276:C276"/>
    <mergeCell ref="D276:O276"/>
  </mergeCells>
  <conditionalFormatting sqref="AW284:BA288 AW294:AY296 AZ292:BA296">
    <cfRule type="colorScale" priority="1">
      <colorScale>
        <cfvo type="formula" val="$Q$208*0.5"/>
        <cfvo type="num" val="$Q$208"/>
        <cfvo type="formula" val="$Q$208*2"/>
        <color rgb="FFF8696B"/>
        <color rgb="FFFCFCFF"/>
        <color rgb="FF63BE7B"/>
      </colorScale>
    </cfRule>
  </conditionalFormatting>
  <conditionalFormatting sqref="AW297:BA298">
    <cfRule type="colorScale" priority="2">
      <colorScale>
        <cfvo type="formula" val="$Q$208*0.5"/>
        <cfvo type="num" val="$Q$208"/>
        <cfvo type="formula" val="$Q$208*2"/>
        <color rgb="FFF8696B"/>
        <color rgb="FFFCFCFF"/>
        <color rgb="FF63BE7B"/>
      </colorScale>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8" tint="-0.249977111117893"/>
  </sheetPr>
  <dimension ref="A2:V394"/>
  <sheetViews>
    <sheetView showGridLines="0" topLeftCell="A36" zoomScale="85" zoomScaleNormal="85" workbookViewId="0">
      <pane xSplit="3" topLeftCell="J1" activePane="topRight" state="frozen"/>
      <selection pane="topRight" activeCell="N6" sqref="N6"/>
    </sheetView>
  </sheetViews>
  <sheetFormatPr defaultRowHeight="14.1"/>
  <cols>
    <col min="1" max="1" width="2.375" customWidth="1"/>
    <col min="2" max="2" width="18.125" customWidth="1"/>
    <col min="3" max="3" width="25.125" bestFit="1" customWidth="1"/>
    <col min="6" max="6" width="13.25" customWidth="1"/>
    <col min="7" max="11" width="11.125" style="26" bestFit="1" customWidth="1"/>
    <col min="12" max="17" width="10.75" style="26" customWidth="1"/>
    <col min="18" max="18" width="21.75" style="6" customWidth="1"/>
  </cols>
  <sheetData>
    <row r="2" spans="1:19" s="41" customFormat="1" ht="20.100000000000001" customHeight="1">
      <c r="B2" s="40" t="s">
        <v>538</v>
      </c>
      <c r="G2" s="221"/>
      <c r="H2" s="221"/>
      <c r="I2" s="221"/>
      <c r="J2" s="221"/>
      <c r="K2" s="221"/>
      <c r="L2" s="221"/>
      <c r="M2" s="221"/>
      <c r="N2" s="221"/>
      <c r="O2" s="221"/>
      <c r="P2" s="221"/>
      <c r="Q2" s="221"/>
      <c r="R2" s="42"/>
    </row>
    <row r="3" spans="1:19" ht="14.45">
      <c r="B3" s="89" t="s">
        <v>539</v>
      </c>
      <c r="Q3" s="259"/>
    </row>
    <row r="4" spans="1:19" ht="15.6">
      <c r="A4" t="s">
        <v>405</v>
      </c>
      <c r="B4" s="222" t="s">
        <v>280</v>
      </c>
      <c r="C4" s="56"/>
      <c r="D4" s="56"/>
      <c r="E4" s="56"/>
      <c r="F4" s="56"/>
      <c r="G4" s="223">
        <v>2014</v>
      </c>
      <c r="H4" s="223">
        <f>+G4+1</f>
        <v>2015</v>
      </c>
      <c r="I4" s="223">
        <f t="shared" ref="I4:L4" si="0">+H4+1</f>
        <v>2016</v>
      </c>
      <c r="J4" s="223">
        <f t="shared" si="0"/>
        <v>2017</v>
      </c>
      <c r="K4" s="223">
        <f t="shared" si="0"/>
        <v>2018</v>
      </c>
      <c r="L4" s="223">
        <f t="shared" si="0"/>
        <v>2019</v>
      </c>
      <c r="M4" s="223">
        <f>+L4+1</f>
        <v>2020</v>
      </c>
      <c r="N4" s="223">
        <f>+M4+1</f>
        <v>2021</v>
      </c>
      <c r="O4" s="223">
        <f>+N4+1</f>
        <v>2022</v>
      </c>
      <c r="P4" s="223">
        <f>+O4+1</f>
        <v>2023</v>
      </c>
      <c r="Q4" s="223">
        <f>+P4+1</f>
        <v>2024</v>
      </c>
      <c r="R4" s="58" t="str">
        <f>"CAGR "&amp;$G$4&amp;" - "&amp;$Q$4</f>
        <v>CAGR 2014 - 2024</v>
      </c>
    </row>
    <row r="5" spans="1:19" ht="3.95" customHeight="1">
      <c r="B5" s="53"/>
      <c r="C5" s="53"/>
      <c r="D5" s="53"/>
      <c r="E5" s="53"/>
      <c r="F5" s="53"/>
      <c r="G5" s="224"/>
      <c r="H5" s="224"/>
      <c r="I5" s="224"/>
      <c r="J5" s="224"/>
      <c r="K5" s="224"/>
      <c r="L5" s="224"/>
      <c r="M5" s="224"/>
      <c r="N5" s="224"/>
      <c r="O5" s="224"/>
      <c r="P5" s="224"/>
      <c r="Q5" s="224"/>
      <c r="R5" s="60"/>
    </row>
    <row r="6" spans="1:19">
      <c r="B6" s="1" t="s">
        <v>436</v>
      </c>
      <c r="G6" s="225"/>
      <c r="H6" s="225"/>
      <c r="I6" s="225"/>
      <c r="J6" s="225"/>
      <c r="K6" s="225"/>
      <c r="L6" s="225"/>
      <c r="M6" s="225"/>
      <c r="N6" s="799">
        <f>VLOOKUP(Inputs!$B6,IS!$L$7:$P$20,IS!M$5,FALSE)</f>
        <v>62.2</v>
      </c>
      <c r="O6" s="799">
        <f>VLOOKUP(Inputs!$B6,IS!$L$7:$P$20,IS!N$5,FALSE)</f>
        <v>211</v>
      </c>
      <c r="P6" s="799">
        <f>VLOOKUP(Inputs!$B6,IS!$L$7:$P$20,IS!O$5,FALSE)</f>
        <v>244.6</v>
      </c>
      <c r="Q6" s="799">
        <f>VLOOKUP(Inputs!$B6,IS!$L$7:$P$20,IS!P$5,FALSE)</f>
        <v>436.2</v>
      </c>
      <c r="R6" s="64">
        <f t="shared" ref="R6:R28" si="1">IFERROR((Q6/N6)^(1/COUNT($G$4:$Q$4))-1,"")</f>
        <v>0.19371202992125158</v>
      </c>
    </row>
    <row r="7" spans="1:19">
      <c r="B7" t="s">
        <v>293</v>
      </c>
      <c r="G7" s="225"/>
      <c r="H7" s="225"/>
      <c r="I7" s="225"/>
      <c r="J7" s="225"/>
      <c r="K7" s="225"/>
      <c r="L7" s="225"/>
      <c r="M7" s="225"/>
      <c r="N7" s="799">
        <f>VLOOKUP(Inputs!$B7,IS!$L$7:$P$20,IS!M$5,FALSE)</f>
        <v>64.099999999999994</v>
      </c>
      <c r="O7" s="799">
        <f>VLOOKUP($B7,IS!$L$7:$P$8,IS!N$5,0)</f>
        <v>192</v>
      </c>
      <c r="P7" s="799">
        <f>VLOOKUP($B7,IS!$L$7:$P$8,IS!O$5,0)</f>
        <v>193.2</v>
      </c>
      <c r="Q7" s="799">
        <f>VLOOKUP($B7,IS!$L$7:$P$8,IS!P$5,0)</f>
        <v>320.10000000000002</v>
      </c>
      <c r="R7" s="64">
        <f t="shared" si="1"/>
        <v>0.1574265017452865</v>
      </c>
    </row>
    <row r="8" spans="1:19">
      <c r="B8" s="1" t="s">
        <v>294</v>
      </c>
      <c r="G8" s="226">
        <f>G6-G7</f>
        <v>0</v>
      </c>
      <c r="H8" s="226">
        <f t="shared" ref="H8:Q8" si="2">H6-H7</f>
        <v>0</v>
      </c>
      <c r="I8" s="226">
        <f t="shared" si="2"/>
        <v>0</v>
      </c>
      <c r="J8" s="226">
        <f t="shared" si="2"/>
        <v>0</v>
      </c>
      <c r="K8" s="226">
        <f t="shared" si="2"/>
        <v>0</v>
      </c>
      <c r="L8" s="226">
        <f t="shared" si="2"/>
        <v>0</v>
      </c>
      <c r="M8" s="226">
        <f t="shared" si="2"/>
        <v>0</v>
      </c>
      <c r="N8" s="800">
        <f t="shared" si="2"/>
        <v>-1.8999999999999915</v>
      </c>
      <c r="O8" s="800">
        <f t="shared" si="2"/>
        <v>19</v>
      </c>
      <c r="P8" s="800">
        <f t="shared" si="2"/>
        <v>51.400000000000006</v>
      </c>
      <c r="Q8" s="800">
        <f t="shared" si="2"/>
        <v>116.09999999999997</v>
      </c>
      <c r="R8" s="64">
        <f t="shared" si="1"/>
        <v>-2.4533519026801107</v>
      </c>
    </row>
    <row r="9" spans="1:19">
      <c r="B9" t="s">
        <v>438</v>
      </c>
      <c r="G9" s="225"/>
      <c r="H9" s="225"/>
      <c r="I9" s="225"/>
      <c r="J9" s="225"/>
      <c r="K9" s="225"/>
      <c r="L9" s="225"/>
      <c r="M9" s="225"/>
      <c r="N9" s="799">
        <f>VLOOKUP(Inputs!$B9,IS!$L$7:$P$20,IS!M$5,FALSE)</f>
        <v>58.4</v>
      </c>
      <c r="O9" s="799">
        <f>VLOOKUP(Inputs!$B9,IS!$L$7:$P$20,IS!N$5,FALSE)</f>
        <v>89</v>
      </c>
      <c r="P9" s="799">
        <f>VLOOKUP(Inputs!$B9,IS!$L$7:$P$20,IS!O$5,FALSE)</f>
        <v>110.3</v>
      </c>
      <c r="Q9" s="799">
        <f>VLOOKUP(Inputs!$B9,IS!$L$7:$P$20,IS!P$5,FALSE)</f>
        <v>123.8</v>
      </c>
      <c r="R9" s="64">
        <f t="shared" si="1"/>
        <v>7.0691476134127518E-2</v>
      </c>
    </row>
    <row r="10" spans="1:19">
      <c r="B10" t="s">
        <v>301</v>
      </c>
      <c r="G10" s="225"/>
      <c r="H10" s="225"/>
      <c r="I10" s="225"/>
      <c r="J10" s="225"/>
      <c r="K10" s="225"/>
      <c r="L10" s="225"/>
      <c r="M10" s="225"/>
      <c r="N10" s="799">
        <f>VLOOKUP(Inputs!$B10,IS!$L$7:$P$20,IS!M$5,FALSE)</f>
        <v>41.8</v>
      </c>
      <c r="O10" s="799">
        <f>VLOOKUP(Inputs!$B10,IS!$L$7:$P$20,IS!N$5,FALSE)</f>
        <v>65.2</v>
      </c>
      <c r="P10" s="799">
        <f>VLOOKUP(Inputs!$B10,IS!$L$7:$P$20,IS!O$5,FALSE)</f>
        <v>119.1</v>
      </c>
      <c r="Q10" s="799">
        <f>VLOOKUP(Inputs!$B10,IS!$L$7:$P$20,IS!P$5,FALSE)</f>
        <v>174.4</v>
      </c>
      <c r="R10" s="64">
        <f t="shared" si="1"/>
        <v>0.13866845873312661</v>
      </c>
    </row>
    <row r="11" spans="1:19">
      <c r="B11" t="s">
        <v>440</v>
      </c>
      <c r="G11" s="225"/>
      <c r="H11" s="225"/>
      <c r="I11" s="225"/>
      <c r="J11" s="225"/>
      <c r="K11" s="225"/>
      <c r="L11" s="225"/>
      <c r="M11" s="225"/>
      <c r="N11" s="799">
        <f>VLOOKUP(Inputs!$B11,IS!$L$7:$P$20,IS!M$5,FALSE)</f>
        <v>0</v>
      </c>
      <c r="O11" s="799">
        <f>VLOOKUP(Inputs!$B11,IS!$L$7:$P$20,IS!N$5,FALSE)</f>
        <v>0</v>
      </c>
      <c r="P11" s="799">
        <f>VLOOKUP(Inputs!$B11,IS!$L$7:$P$20,IS!O$5,FALSE)</f>
        <v>0</v>
      </c>
      <c r="Q11" s="799">
        <f>VLOOKUP(Inputs!$B11,IS!$L$7:$P$20,IS!P$5,FALSE)</f>
        <v>0</v>
      </c>
      <c r="R11" s="64" t="str">
        <f t="shared" si="1"/>
        <v/>
      </c>
    </row>
    <row r="12" spans="1:19">
      <c r="B12" s="1" t="s">
        <v>233</v>
      </c>
      <c r="G12" s="227">
        <f>+G8-G9-G10-G11</f>
        <v>0</v>
      </c>
      <c r="H12" s="227">
        <f t="shared" ref="H12:Q12" si="3">+H8-H9-H10-H11</f>
        <v>0</v>
      </c>
      <c r="I12" s="227">
        <f t="shared" si="3"/>
        <v>0</v>
      </c>
      <c r="J12" s="227">
        <f t="shared" si="3"/>
        <v>0</v>
      </c>
      <c r="K12" s="227">
        <f t="shared" si="3"/>
        <v>0</v>
      </c>
      <c r="L12" s="227">
        <f t="shared" si="3"/>
        <v>0</v>
      </c>
      <c r="M12" s="227">
        <f t="shared" si="3"/>
        <v>0</v>
      </c>
      <c r="N12" s="801">
        <f t="shared" si="3"/>
        <v>-102.1</v>
      </c>
      <c r="O12" s="801">
        <f t="shared" si="3"/>
        <v>-135.19999999999999</v>
      </c>
      <c r="P12" s="801">
        <f t="shared" si="3"/>
        <v>-178</v>
      </c>
      <c r="Q12" s="801">
        <f t="shared" si="3"/>
        <v>-182.10000000000002</v>
      </c>
      <c r="R12" s="64">
        <f t="shared" si="1"/>
        <v>5.4008270123870439E-2</v>
      </c>
      <c r="S12" s="801"/>
    </row>
    <row r="13" spans="1:19">
      <c r="B13" t="s">
        <v>441</v>
      </c>
      <c r="G13" s="241">
        <f>+SUM(G14:G15)</f>
        <v>0</v>
      </c>
      <c r="H13" s="241">
        <f t="shared" ref="H13:P13" si="4">+SUM(H14:H15)</f>
        <v>0</v>
      </c>
      <c r="I13" s="241">
        <f t="shared" si="4"/>
        <v>0</v>
      </c>
      <c r="J13" s="241">
        <f t="shared" si="4"/>
        <v>0</v>
      </c>
      <c r="K13" s="241">
        <f t="shared" si="4"/>
        <v>0</v>
      </c>
      <c r="L13" s="241">
        <f t="shared" si="4"/>
        <v>0</v>
      </c>
      <c r="M13" s="241"/>
      <c r="N13" s="802">
        <f t="shared" si="4"/>
        <v>10.81</v>
      </c>
      <c r="O13" s="802">
        <f t="shared" si="4"/>
        <v>29.43</v>
      </c>
      <c r="P13" s="802">
        <f t="shared" si="4"/>
        <v>28.5</v>
      </c>
      <c r="Q13" s="802">
        <f>+SUM(Q14:Q15)</f>
        <v>31.87</v>
      </c>
      <c r="R13" s="64">
        <f t="shared" si="1"/>
        <v>0.10328304142165767</v>
      </c>
    </row>
    <row r="14" spans="1:19" ht="14.45">
      <c r="B14" s="262" t="s">
        <v>443</v>
      </c>
      <c r="G14" s="263"/>
      <c r="H14" s="263"/>
      <c r="I14" s="263"/>
      <c r="J14" s="263"/>
      <c r="K14" s="263"/>
      <c r="L14" s="263"/>
      <c r="M14" s="263"/>
      <c r="N14" s="799">
        <f>VLOOKUP(Inputs!$B14,IS!$L$7:$P$20,IS!M$5,FALSE)</f>
        <v>7.5</v>
      </c>
      <c r="O14" s="799">
        <f>VLOOKUP(Inputs!$B14,IS!$L$7:$P$20,IS!N$5,FALSE)</f>
        <v>16.2</v>
      </c>
      <c r="P14" s="799">
        <f>VLOOKUP(Inputs!$B14,IS!$L$7:$P$20,IS!O$5,FALSE)</f>
        <v>15.4</v>
      </c>
      <c r="Q14" s="799">
        <f>VLOOKUP(Inputs!$B14,IS!$L$7:$P$20,IS!P$5,FALSE)</f>
        <v>19.8</v>
      </c>
      <c r="R14" s="64">
        <f t="shared" si="1"/>
        <v>9.2264024561641289E-2</v>
      </c>
    </row>
    <row r="15" spans="1:19" ht="14.45">
      <c r="B15" s="262" t="s">
        <v>445</v>
      </c>
      <c r="G15" s="279"/>
      <c r="H15" s="279"/>
      <c r="I15" s="279"/>
      <c r="J15" s="279"/>
      <c r="K15" s="279"/>
      <c r="L15" s="279"/>
      <c r="M15" s="279"/>
      <c r="N15" s="799">
        <f>VLOOKUP(Inputs!$B15,IS!$L$7:$P$20,IS!M$5,FALSE)</f>
        <v>3.31</v>
      </c>
      <c r="O15" s="799">
        <f>VLOOKUP(Inputs!$B15,IS!$L$7:$P$20,IS!N$5,FALSE)</f>
        <v>13.23</v>
      </c>
      <c r="P15" s="799">
        <f>VLOOKUP(Inputs!$B15,IS!$L$7:$P$20,IS!O$5,FALSE)</f>
        <v>13.1</v>
      </c>
      <c r="Q15" s="799">
        <f>VLOOKUP(Inputs!$B15,IS!$L$7:$P$20,IS!P$5,FALSE)</f>
        <v>12.07</v>
      </c>
      <c r="R15" s="64">
        <f t="shared" si="1"/>
        <v>0.12481198254836467</v>
      </c>
    </row>
    <row r="16" spans="1:19">
      <c r="B16" s="1" t="s">
        <v>295</v>
      </c>
      <c r="G16" s="227">
        <f>+G12-G13</f>
        <v>0</v>
      </c>
      <c r="H16" s="227">
        <f t="shared" ref="H16:M16" si="5">+H12-H13</f>
        <v>0</v>
      </c>
      <c r="I16" s="227">
        <f t="shared" si="5"/>
        <v>0</v>
      </c>
      <c r="J16" s="227">
        <f t="shared" si="5"/>
        <v>0</v>
      </c>
      <c r="K16" s="227">
        <f t="shared" si="5"/>
        <v>0</v>
      </c>
      <c r="L16" s="227">
        <f t="shared" si="5"/>
        <v>0</v>
      </c>
      <c r="M16" s="227">
        <f t="shared" si="5"/>
        <v>0</v>
      </c>
      <c r="N16" s="801">
        <f>+N12+N13</f>
        <v>-91.289999999999992</v>
      </c>
      <c r="O16" s="801">
        <f>+O12+O13</f>
        <v>-105.76999999999998</v>
      </c>
      <c r="P16" s="801">
        <f>+P12+P13</f>
        <v>-149.5</v>
      </c>
      <c r="Q16" s="801">
        <f>+Q12+Q13</f>
        <v>-150.23000000000002</v>
      </c>
      <c r="R16" s="64">
        <f t="shared" si="1"/>
        <v>4.6325183321459518E-2</v>
      </c>
    </row>
    <row r="17" spans="1:22">
      <c r="B17" t="s">
        <v>296</v>
      </c>
      <c r="G17" s="241">
        <f>+G18-G19</f>
        <v>0</v>
      </c>
      <c r="H17" s="241">
        <f t="shared" ref="H17:P17" si="6">+H18-H19</f>
        <v>0</v>
      </c>
      <c r="I17" s="241">
        <f t="shared" si="6"/>
        <v>0</v>
      </c>
      <c r="J17" s="241">
        <f t="shared" si="6"/>
        <v>0</v>
      </c>
      <c r="K17" s="241">
        <f t="shared" si="6"/>
        <v>0</v>
      </c>
      <c r="L17" s="241">
        <f t="shared" si="6"/>
        <v>0</v>
      </c>
      <c r="M17" s="241">
        <f t="shared" si="6"/>
        <v>0</v>
      </c>
      <c r="N17" s="802">
        <f t="shared" si="6"/>
        <v>6.1</v>
      </c>
      <c r="O17" s="802">
        <f t="shared" si="6"/>
        <v>7.8</v>
      </c>
      <c r="P17" s="802">
        <f t="shared" si="6"/>
        <v>4.2</v>
      </c>
      <c r="Q17" s="802">
        <f>+Q18-Q19</f>
        <v>4</v>
      </c>
      <c r="R17" s="64">
        <f t="shared" si="1"/>
        <v>-3.7636583848852156E-2</v>
      </c>
    </row>
    <row r="18" spans="1:22" ht="14.45">
      <c r="B18" s="262" t="s">
        <v>448</v>
      </c>
      <c r="C18" s="89"/>
      <c r="D18" s="89"/>
      <c r="E18" s="89"/>
      <c r="G18" s="263"/>
      <c r="H18" s="263"/>
      <c r="I18" s="263"/>
      <c r="J18" s="263"/>
      <c r="K18" s="263"/>
      <c r="L18" s="263"/>
      <c r="M18" s="263"/>
      <c r="N18" s="799">
        <f>VLOOKUP(Inputs!$B18,IS!$L$7:$P$20,IS!M$5,FALSE)</f>
        <v>6.1</v>
      </c>
      <c r="O18" s="799">
        <f>VLOOKUP(Inputs!$B18,IS!$L$7:$P$20,IS!N$5,FALSE)</f>
        <v>7.8</v>
      </c>
      <c r="P18" s="799">
        <f>VLOOKUP(Inputs!$B18,IS!$L$7:$P$20,IS!O$5,FALSE)</f>
        <v>4.2</v>
      </c>
      <c r="Q18" s="799">
        <f>VLOOKUP(Inputs!$B18,IS!$L$7:$P$20,IS!P$5,FALSE)</f>
        <v>4</v>
      </c>
      <c r="R18" s="64">
        <f t="shared" si="1"/>
        <v>-3.7636583848852156E-2</v>
      </c>
    </row>
    <row r="19" spans="1:22" ht="14.45">
      <c r="B19" s="262" t="s">
        <v>450</v>
      </c>
      <c r="C19" s="89"/>
      <c r="D19" s="89"/>
      <c r="E19" s="89"/>
      <c r="G19" s="263"/>
      <c r="H19" s="263"/>
      <c r="I19" s="263"/>
      <c r="J19" s="263"/>
      <c r="K19" s="263"/>
      <c r="L19" s="263"/>
      <c r="M19" s="263"/>
      <c r="N19" s="799">
        <f>VLOOKUP(Inputs!$B19,IS!$L$7:$P$20,IS!M$5,FALSE)</f>
        <v>0</v>
      </c>
      <c r="O19" s="799">
        <f>VLOOKUP(Inputs!$B19,IS!$L$7:$P$20,IS!N$5,FALSE)</f>
        <v>0</v>
      </c>
      <c r="P19" s="799">
        <f>VLOOKUP(Inputs!$B19,IS!$L$7:$P$20,IS!O$5,FALSE)</f>
        <v>0</v>
      </c>
      <c r="Q19" s="799">
        <f>VLOOKUP(Inputs!$B19,IS!$L$7:$P$20,IS!P$5,FALSE)</f>
        <v>0</v>
      </c>
      <c r="R19" s="64" t="str">
        <f t="shared" si="1"/>
        <v/>
      </c>
    </row>
    <row r="20" spans="1:22">
      <c r="B20" t="s">
        <v>452</v>
      </c>
      <c r="G20" s="225"/>
      <c r="H20" s="225"/>
      <c r="I20" s="225"/>
      <c r="J20" s="225"/>
      <c r="K20" s="225"/>
      <c r="L20" s="225"/>
      <c r="M20" s="225"/>
      <c r="N20" s="799">
        <f>VLOOKUP(Inputs!$B20,IS!$L$7:$P$20,IS!M$5,FALSE)</f>
        <v>0.6</v>
      </c>
      <c r="O20" s="799">
        <f>VLOOKUP(Inputs!$B20,IS!$L$7:$P$20,IS!N$5,FALSE)</f>
        <v>4.4000000000000004</v>
      </c>
      <c r="P20" s="799">
        <f>VLOOKUP(Inputs!$B20,IS!$L$7:$P$20,IS!O$5,FALSE)</f>
        <v>0.5</v>
      </c>
      <c r="Q20" s="799">
        <f>VLOOKUP(Inputs!$B20,IS!$L$7:$P$20,IS!P$5,FALSE)</f>
        <v>0.1</v>
      </c>
      <c r="R20" s="64">
        <f t="shared" si="1"/>
        <v>-0.15031299309044788</v>
      </c>
    </row>
    <row r="21" spans="1:22">
      <c r="B21" t="s">
        <v>453</v>
      </c>
      <c r="G21" s="225"/>
      <c r="H21" s="225"/>
      <c r="I21" s="225"/>
      <c r="J21" s="225"/>
      <c r="K21" s="225"/>
      <c r="L21" s="225"/>
      <c r="M21" s="225"/>
      <c r="N21" s="799">
        <f>VLOOKUP(Inputs!$B21,IS!$L$7:$P$20,IS!M$5,FALSE)</f>
        <v>16.100000000000001</v>
      </c>
      <c r="O21" s="799">
        <f>VLOOKUP(Inputs!$B21,IS!$L$7:$P$20,IS!N$5,FALSE)</f>
        <v>-14.5</v>
      </c>
      <c r="P21" s="799">
        <f>VLOOKUP(Inputs!$B21,IS!$L$7:$P$20,IS!O$5,FALSE)</f>
        <v>-3.7</v>
      </c>
      <c r="Q21" s="799">
        <f>VLOOKUP(Inputs!$B21,IS!$L$7:$P$20,IS!P$5,FALSE)</f>
        <v>-4.4000000000000004</v>
      </c>
      <c r="R21" s="64">
        <f t="shared" si="1"/>
        <v>-1.8887594971884298</v>
      </c>
    </row>
    <row r="22" spans="1:22">
      <c r="B22" s="1" t="s">
        <v>297</v>
      </c>
      <c r="D22" s="1"/>
      <c r="E22" s="1"/>
      <c r="G22" s="489">
        <f>+G16-G17-G20-G21</f>
        <v>0</v>
      </c>
      <c r="H22" s="489">
        <f t="shared" ref="H22:Q22" si="7">+H16-H17-H20-H21</f>
        <v>0</v>
      </c>
      <c r="I22" s="489">
        <f t="shared" si="7"/>
        <v>0</v>
      </c>
      <c r="J22" s="489">
        <f t="shared" si="7"/>
        <v>0</v>
      </c>
      <c r="K22" s="489">
        <f t="shared" si="7"/>
        <v>0</v>
      </c>
      <c r="L22" s="489">
        <f t="shared" si="7"/>
        <v>0</v>
      </c>
      <c r="M22" s="489">
        <f t="shared" si="7"/>
        <v>0</v>
      </c>
      <c r="N22" s="803">
        <f t="shared" si="7"/>
        <v>-114.08999999999997</v>
      </c>
      <c r="O22" s="803">
        <f t="shared" si="7"/>
        <v>-103.46999999999998</v>
      </c>
      <c r="P22" s="803">
        <f t="shared" si="7"/>
        <v>-150.5</v>
      </c>
      <c r="Q22" s="803">
        <f t="shared" si="7"/>
        <v>-149.93</v>
      </c>
      <c r="R22" s="64">
        <f t="shared" si="1"/>
        <v>2.5145576122195479E-2</v>
      </c>
      <c r="S22" t="s">
        <v>540</v>
      </c>
      <c r="T22" t="s">
        <v>541</v>
      </c>
      <c r="U22" t="s">
        <v>542</v>
      </c>
      <c r="V22" t="s">
        <v>543</v>
      </c>
    </row>
    <row r="23" spans="1:22">
      <c r="B23" t="s">
        <v>298</v>
      </c>
      <c r="G23" s="225"/>
      <c r="H23" s="225"/>
      <c r="I23" s="225"/>
      <c r="J23" s="225"/>
      <c r="K23" s="225"/>
      <c r="L23" s="225"/>
      <c r="M23" s="225"/>
      <c r="N23" s="799">
        <f>VLOOKUP(Inputs!$B23,IS!$L$7:$P$20,IS!M$5,FALSE)</f>
        <v>-7.5</v>
      </c>
      <c r="O23" s="799">
        <f>VLOOKUP(Inputs!$B23,IS!$L$7:$P$20,IS!N$5,FALSE)</f>
        <v>3</v>
      </c>
      <c r="P23" s="799">
        <f>VLOOKUP(Inputs!$B23,IS!$L$7:$P$20,IS!O$5,FALSE)</f>
        <v>3.7</v>
      </c>
      <c r="Q23" s="799">
        <f>VLOOKUP(Inputs!$B23,IS!$L$7:$P$20,IS!P$5,FALSE)</f>
        <v>0.8</v>
      </c>
      <c r="R23" s="64">
        <f t="shared" si="1"/>
        <v>-1.8159038357896535</v>
      </c>
      <c r="S23">
        <f>+T23*T24</f>
        <v>20</v>
      </c>
      <c r="T23">
        <v>100</v>
      </c>
      <c r="U23">
        <v>10</v>
      </c>
      <c r="V23">
        <f>+T23-U23</f>
        <v>90</v>
      </c>
    </row>
    <row r="24" spans="1:22">
      <c r="B24" s="1" t="s">
        <v>299</v>
      </c>
      <c r="G24" s="227">
        <f>+G22-G23</f>
        <v>0</v>
      </c>
      <c r="H24" s="227">
        <f t="shared" ref="H24:Q24" si="8">+H22-H23</f>
        <v>0</v>
      </c>
      <c r="I24" s="227">
        <f t="shared" si="8"/>
        <v>0</v>
      </c>
      <c r="J24" s="227">
        <f t="shared" si="8"/>
        <v>0</v>
      </c>
      <c r="K24" s="227">
        <f t="shared" si="8"/>
        <v>0</v>
      </c>
      <c r="L24" s="227">
        <f t="shared" si="8"/>
        <v>0</v>
      </c>
      <c r="M24" s="227">
        <f t="shared" si="8"/>
        <v>0</v>
      </c>
      <c r="N24" s="801">
        <f t="shared" si="8"/>
        <v>-106.58999999999997</v>
      </c>
      <c r="O24" s="801">
        <f t="shared" si="8"/>
        <v>-106.46999999999998</v>
      </c>
      <c r="P24" s="801">
        <f t="shared" si="8"/>
        <v>-154.19999999999999</v>
      </c>
      <c r="Q24" s="801">
        <f t="shared" si="8"/>
        <v>-150.73000000000002</v>
      </c>
      <c r="R24" s="64">
        <f t="shared" si="1"/>
        <v>3.2001418575820173E-2</v>
      </c>
      <c r="S24">
        <f>+V23*T24</f>
        <v>18</v>
      </c>
      <c r="T24" s="32">
        <v>0.2</v>
      </c>
    </row>
    <row r="25" spans="1:22">
      <c r="B25" s="1" t="s">
        <v>300</v>
      </c>
      <c r="G25" s="228"/>
      <c r="H25" s="228"/>
      <c r="I25" s="228"/>
      <c r="J25" s="228"/>
      <c r="K25" s="228"/>
      <c r="L25" s="228"/>
      <c r="M25" s="228"/>
      <c r="N25" s="804"/>
      <c r="O25" s="804">
        <v>-0.28999999999999998</v>
      </c>
      <c r="P25" s="804">
        <v>-0.38</v>
      </c>
      <c r="Q25" s="804">
        <v>-0.38</v>
      </c>
      <c r="R25" s="64" t="str">
        <f t="shared" si="1"/>
        <v/>
      </c>
    </row>
    <row r="26" spans="1:22">
      <c r="B26" s="1" t="s">
        <v>544</v>
      </c>
      <c r="G26" s="228"/>
      <c r="H26" s="228"/>
      <c r="I26" s="228"/>
      <c r="J26" s="228"/>
      <c r="K26" s="228"/>
      <c r="L26" s="228"/>
      <c r="M26" s="228"/>
      <c r="N26" s="804"/>
      <c r="O26" s="804">
        <v>-0.28999999999999998</v>
      </c>
      <c r="P26" s="804">
        <v>-0.38</v>
      </c>
      <c r="Q26" s="804">
        <v>-0.38</v>
      </c>
      <c r="R26" s="64" t="str">
        <f t="shared" si="1"/>
        <v/>
      </c>
    </row>
    <row r="27" spans="1:22">
      <c r="B27" t="s">
        <v>545</v>
      </c>
      <c r="G27" s="225"/>
      <c r="H27" s="225"/>
      <c r="I27" s="225"/>
      <c r="J27" s="225"/>
      <c r="K27" s="225"/>
      <c r="L27" s="225"/>
      <c r="M27" s="225"/>
      <c r="N27" s="799" t="s">
        <v>546</v>
      </c>
      <c r="O27" s="799">
        <v>466214.1</v>
      </c>
      <c r="P27" s="799">
        <v>481768.06</v>
      </c>
      <c r="Q27" s="799">
        <v>495929.86</v>
      </c>
      <c r="R27" s="64" t="str">
        <f t="shared" si="1"/>
        <v/>
      </c>
      <c r="U27" s="97"/>
    </row>
    <row r="28" spans="1:22">
      <c r="B28" t="s">
        <v>547</v>
      </c>
      <c r="G28" s="225"/>
      <c r="H28" s="225"/>
      <c r="I28" s="225"/>
      <c r="J28" s="225"/>
      <c r="K28" s="225"/>
      <c r="L28" s="225"/>
      <c r="M28" s="225"/>
      <c r="N28" s="799" t="s">
        <v>546</v>
      </c>
      <c r="O28" s="799">
        <v>466214.1</v>
      </c>
      <c r="P28" s="799">
        <v>481768.06</v>
      </c>
      <c r="Q28" s="799">
        <v>495929.86</v>
      </c>
      <c r="R28" s="64" t="str">
        <f t="shared" si="1"/>
        <v/>
      </c>
    </row>
    <row r="29" spans="1:22" ht="3.95" customHeight="1"/>
    <row r="30" spans="1:22" ht="15.6">
      <c r="A30" t="s">
        <v>405</v>
      </c>
      <c r="B30" s="52" t="s">
        <v>302</v>
      </c>
      <c r="C30" s="56"/>
      <c r="D30" s="56"/>
      <c r="E30" s="56"/>
      <c r="F30" s="56"/>
      <c r="G30" s="223">
        <v>2014</v>
      </c>
      <c r="H30" s="223">
        <f>+G30+1</f>
        <v>2015</v>
      </c>
      <c r="I30" s="223">
        <f t="shared" ref="I30:M30" si="9">+H30+1</f>
        <v>2016</v>
      </c>
      <c r="J30" s="223">
        <f t="shared" si="9"/>
        <v>2017</v>
      </c>
      <c r="K30" s="223">
        <f t="shared" si="9"/>
        <v>2018</v>
      </c>
      <c r="L30" s="223">
        <f t="shared" si="9"/>
        <v>2019</v>
      </c>
      <c r="M30" s="223">
        <f t="shared" si="9"/>
        <v>2020</v>
      </c>
      <c r="N30" s="223">
        <f>+M30+1</f>
        <v>2021</v>
      </c>
      <c r="O30" s="223">
        <f>+N30+1</f>
        <v>2022</v>
      </c>
      <c r="P30" s="223">
        <f t="shared" ref="P30" si="10">+O30+1</f>
        <v>2023</v>
      </c>
      <c r="Q30" s="223">
        <f>+P30+1</f>
        <v>2024</v>
      </c>
      <c r="R30" s="58" t="str">
        <f>"CAGR "&amp;$G$4&amp;" - "&amp;$Q$4</f>
        <v>CAGR 2014 - 2024</v>
      </c>
    </row>
    <row r="31" spans="1:22" s="93" customFormat="1" ht="3.95" customHeight="1">
      <c r="B31" s="229"/>
      <c r="C31" s="229"/>
      <c r="D31" s="229"/>
      <c r="E31" s="229"/>
      <c r="F31" s="229"/>
      <c r="G31" s="230"/>
      <c r="H31" s="230"/>
      <c r="I31" s="230"/>
      <c r="J31" s="230"/>
      <c r="K31" s="230"/>
      <c r="L31" s="230"/>
      <c r="M31" s="230"/>
      <c r="N31" s="230"/>
      <c r="O31" s="230"/>
      <c r="P31" s="230"/>
      <c r="Q31" s="230"/>
      <c r="R31" s="60"/>
    </row>
    <row r="32" spans="1:22">
      <c r="B32" t="s">
        <v>456</v>
      </c>
      <c r="G32" s="234">
        <f>+SUM(G33:G34)</f>
        <v>0</v>
      </c>
      <c r="H32" s="234">
        <f t="shared" ref="H32:Q32" si="11">+SUM(H33:H34)</f>
        <v>0</v>
      </c>
      <c r="I32" s="234">
        <f t="shared" si="11"/>
        <v>0</v>
      </c>
      <c r="J32" s="234">
        <f t="shared" si="11"/>
        <v>0</v>
      </c>
      <c r="K32" s="234">
        <f t="shared" si="11"/>
        <v>0</v>
      </c>
      <c r="L32" s="234">
        <f t="shared" si="11"/>
        <v>0</v>
      </c>
      <c r="M32" s="234">
        <f t="shared" si="11"/>
        <v>0</v>
      </c>
      <c r="N32" s="234">
        <f t="shared" si="11"/>
        <v>691</v>
      </c>
      <c r="O32" s="234">
        <f t="shared" si="11"/>
        <v>471.8</v>
      </c>
      <c r="P32" s="234">
        <f t="shared" si="11"/>
        <v>244.8</v>
      </c>
      <c r="Q32" s="234">
        <f t="shared" si="11"/>
        <v>418.9</v>
      </c>
      <c r="R32" s="64">
        <f t="shared" ref="R32:R44" si="12">IFERROR((Q32/N32)^(1/COUNT($G$4:$Q$4))-1,"")</f>
        <v>-4.4481057241438138E-2</v>
      </c>
    </row>
    <row r="33" spans="2:20" ht="14.45">
      <c r="B33" s="262" t="s">
        <v>303</v>
      </c>
      <c r="C33" s="89"/>
      <c r="D33" s="89"/>
      <c r="E33" s="89"/>
      <c r="G33" s="263"/>
      <c r="H33" s="263"/>
      <c r="I33" s="263"/>
      <c r="J33" s="263"/>
      <c r="K33" s="263"/>
      <c r="L33" s="263"/>
      <c r="M33" s="263"/>
      <c r="N33" s="263">
        <f>VLOOKUP($B33,BS!$I$5:$M$31,BS!J$3,FALSE)</f>
        <v>691</v>
      </c>
      <c r="O33" s="263">
        <f>VLOOKUP($B33,BS!$I$5:$M$31,BS!K$3,FALSE)</f>
        <v>242.5</v>
      </c>
      <c r="P33" s="263">
        <f>VLOOKUP($B33,BS!$I$5:$M$31,BS!L$3,FALSE)</f>
        <v>162.5</v>
      </c>
      <c r="Q33" s="263">
        <f>VLOOKUP($B33,BS!$I$5:$M$31,BS!M$3,FALSE)</f>
        <v>271</v>
      </c>
      <c r="R33" s="64">
        <f t="shared" si="12"/>
        <v>-8.1572966523416723E-2</v>
      </c>
    </row>
    <row r="34" spans="2:20" ht="14.45">
      <c r="B34" s="262" t="s">
        <v>548</v>
      </c>
      <c r="C34" s="89"/>
      <c r="D34" s="89"/>
      <c r="E34" s="89"/>
      <c r="G34" s="263"/>
      <c r="H34" s="263"/>
      <c r="I34" s="263"/>
      <c r="J34" s="263"/>
      <c r="K34" s="263"/>
      <c r="L34" s="263"/>
      <c r="M34" s="263"/>
      <c r="N34" s="263">
        <f>VLOOKUP($B34,BS!$I$5:$M$31,BS!J$3,FALSE)</f>
        <v>0</v>
      </c>
      <c r="O34" s="263">
        <f>VLOOKUP($B34,BS!$I$5:$M$31,BS!K$3,FALSE)</f>
        <v>229.3</v>
      </c>
      <c r="P34" s="263">
        <f>VLOOKUP($B34,BS!$I$5:$M$31,BS!L$3,FALSE)</f>
        <v>82.3</v>
      </c>
      <c r="Q34" s="263">
        <f>VLOOKUP($B34,BS!$I$5:$M$31,BS!M$3,FALSE)</f>
        <v>147.9</v>
      </c>
      <c r="R34" s="64" t="str">
        <f t="shared" si="12"/>
        <v/>
      </c>
    </row>
    <row r="35" spans="2:20" ht="14.45">
      <c r="B35" t="s">
        <v>304</v>
      </c>
      <c r="G35" s="225"/>
      <c r="H35" s="225"/>
      <c r="I35" s="225"/>
      <c r="J35" s="225"/>
      <c r="K35" s="225"/>
      <c r="L35" s="225"/>
      <c r="M35" s="225"/>
      <c r="N35" s="263">
        <f>VLOOKUP($B35,BS!$I$5:$M$31,BS!J$3,FALSE)</f>
        <v>14</v>
      </c>
      <c r="O35" s="263">
        <f>VLOOKUP($B35,BS!$I$5:$M$31,BS!K$3,FALSE)</f>
        <v>36.6</v>
      </c>
      <c r="P35" s="263">
        <f>VLOOKUP($B35,BS!$I$5:$M$31,BS!L$3,FALSE)</f>
        <v>35.200000000000003</v>
      </c>
      <c r="Q35" s="263">
        <f>VLOOKUP($B35,BS!$I$5:$M$31,BS!M$3,FALSE)</f>
        <v>36.4</v>
      </c>
      <c r="R35" s="64">
        <f t="shared" si="12"/>
        <v>9.0749066099261588E-2</v>
      </c>
    </row>
    <row r="36" spans="2:20" ht="14.45">
      <c r="B36" t="s">
        <v>458</v>
      </c>
      <c r="G36" s="225"/>
      <c r="H36" s="225"/>
      <c r="I36" s="225"/>
      <c r="J36" s="225"/>
      <c r="K36" s="225"/>
      <c r="L36" s="225"/>
      <c r="M36" s="225"/>
      <c r="N36" s="263">
        <f>VLOOKUP($B36,BS!$I$5:$M$31,BS!J$3,FALSE)</f>
        <v>47.9</v>
      </c>
      <c r="O36" s="263">
        <f>VLOOKUP($B36,BS!$I$5:$M$31,BS!K$3,FALSE)</f>
        <v>92.3</v>
      </c>
      <c r="P36" s="263">
        <f>VLOOKUP($B36,BS!$I$5:$M$31,BS!L$3,FALSE)</f>
        <v>107.9</v>
      </c>
      <c r="Q36" s="263">
        <f>VLOOKUP($B36,BS!$I$5:$M$31,BS!M$3,FALSE)</f>
        <v>119.1</v>
      </c>
      <c r="R36" s="64">
        <f t="shared" si="12"/>
        <v>8.6329259480750986E-2</v>
      </c>
    </row>
    <row r="37" spans="2:20">
      <c r="B37" s="38" t="s">
        <v>460</v>
      </c>
      <c r="C37" s="38"/>
      <c r="D37" s="38"/>
      <c r="E37" s="38"/>
      <c r="G37" s="231">
        <f t="shared" ref="G37:Q37" si="13">+G38-G32-G35-G36</f>
        <v>0</v>
      </c>
      <c r="H37" s="231">
        <f t="shared" si="13"/>
        <v>0</v>
      </c>
      <c r="I37" s="231">
        <f t="shared" si="13"/>
        <v>0</v>
      </c>
      <c r="J37" s="231">
        <f t="shared" si="13"/>
        <v>0</v>
      </c>
      <c r="K37" s="231">
        <f t="shared" si="13"/>
        <v>0</v>
      </c>
      <c r="L37" s="231">
        <f t="shared" si="13"/>
        <v>0</v>
      </c>
      <c r="M37" s="231">
        <f t="shared" si="13"/>
        <v>0</v>
      </c>
      <c r="N37" s="231">
        <f t="shared" si="13"/>
        <v>21.899999999999956</v>
      </c>
      <c r="O37" s="231">
        <f t="shared" si="13"/>
        <v>61.599999999999952</v>
      </c>
      <c r="P37" s="231">
        <f t="shared" si="13"/>
        <v>88.799999999999983</v>
      </c>
      <c r="Q37" s="231">
        <f t="shared" si="13"/>
        <v>118.20000000000005</v>
      </c>
      <c r="R37" s="232">
        <f t="shared" si="12"/>
        <v>0.1656313373930951</v>
      </c>
      <c r="T37" s="73"/>
    </row>
    <row r="38" spans="2:20" s="1" customFormat="1" ht="14.45">
      <c r="B38" s="76" t="s">
        <v>307</v>
      </c>
      <c r="C38" s="76"/>
      <c r="D38" s="76"/>
      <c r="E38" s="76"/>
      <c r="F38" s="629"/>
      <c r="G38" s="260"/>
      <c r="H38" s="260"/>
      <c r="I38" s="260"/>
      <c r="J38" s="260"/>
      <c r="K38" s="260"/>
      <c r="L38" s="260"/>
      <c r="M38" s="260"/>
      <c r="N38" s="263">
        <f>VLOOKUP($B38,BS!$I$5:$M$31,BS!J$3,FALSE)</f>
        <v>774.8</v>
      </c>
      <c r="O38" s="263">
        <f>VLOOKUP($B38,BS!$I$5:$M$31,BS!K$3,FALSE)</f>
        <v>662.3</v>
      </c>
      <c r="P38" s="263">
        <f>VLOOKUP($B38,BS!$I$5:$M$31,BS!L$3,FALSE)</f>
        <v>476.7</v>
      </c>
      <c r="Q38" s="263">
        <f>VLOOKUP($B38,BS!$I$5:$M$31,BS!M$3,FALSE)</f>
        <v>692.6</v>
      </c>
      <c r="R38" s="233">
        <f t="shared" si="12"/>
        <v>-1.0143864011870951E-2</v>
      </c>
    </row>
    <row r="39" spans="2:20">
      <c r="B39" t="s">
        <v>308</v>
      </c>
      <c r="G39" s="261">
        <f t="shared" ref="G39:Q39" si="14">+G40-G41</f>
        <v>0</v>
      </c>
      <c r="H39" s="261">
        <f t="shared" si="14"/>
        <v>0</v>
      </c>
      <c r="I39" s="261">
        <f t="shared" si="14"/>
        <v>0</v>
      </c>
      <c r="J39" s="261">
        <f t="shared" si="14"/>
        <v>0</v>
      </c>
      <c r="K39" s="261">
        <f t="shared" si="14"/>
        <v>0</v>
      </c>
      <c r="L39" s="261">
        <f t="shared" si="14"/>
        <v>0</v>
      </c>
      <c r="M39" s="261">
        <f t="shared" si="14"/>
        <v>0</v>
      </c>
      <c r="N39" s="261">
        <f t="shared" si="14"/>
        <v>93.8</v>
      </c>
      <c r="O39" s="261">
        <f t="shared" si="14"/>
        <v>152.4</v>
      </c>
      <c r="P39" s="261">
        <f t="shared" si="14"/>
        <v>219.79999999999998</v>
      </c>
      <c r="Q39" s="261">
        <f t="shared" si="14"/>
        <v>262.89999999999998</v>
      </c>
      <c r="R39" s="64">
        <f t="shared" si="12"/>
        <v>9.8221129694533005E-2</v>
      </c>
    </row>
    <row r="40" spans="2:20" ht="14.45">
      <c r="B40" s="262" t="s">
        <v>549</v>
      </c>
      <c r="C40" s="89"/>
      <c r="D40" s="89"/>
      <c r="E40" s="89"/>
      <c r="G40" s="263"/>
      <c r="H40" s="263"/>
      <c r="I40" s="263"/>
      <c r="J40" s="263"/>
      <c r="K40" s="263"/>
      <c r="L40" s="263"/>
      <c r="M40" s="263"/>
      <c r="N40" s="263">
        <f>VLOOKUP($B40,BS!$I$5:$M$31,BS!J$3,FALSE)</f>
        <v>116</v>
      </c>
      <c r="O40" s="263">
        <f>VLOOKUP($B40,BS!$I$5:$M$31,BS!K$3,FALSE)</f>
        <v>188.8</v>
      </c>
      <c r="P40" s="263">
        <f>VLOOKUP($B40,BS!$I$5:$M$31,BS!L$3,FALSE)</f>
        <v>268.89999999999998</v>
      </c>
      <c r="Q40" s="263">
        <f>VLOOKUP($B40,BS!$I$5:$M$31,BS!M$3,FALSE)</f>
        <v>328.5</v>
      </c>
      <c r="R40" s="64">
        <f t="shared" si="12"/>
        <v>9.9253720163263059E-2</v>
      </c>
    </row>
    <row r="41" spans="2:20" ht="14.45">
      <c r="B41" s="262" t="s">
        <v>464</v>
      </c>
      <c r="C41" s="89"/>
      <c r="D41" s="89"/>
      <c r="E41" s="89"/>
      <c r="G41" s="263"/>
      <c r="H41" s="263"/>
      <c r="I41" s="263"/>
      <c r="J41" s="263"/>
      <c r="K41" s="263"/>
      <c r="L41" s="263"/>
      <c r="M41" s="263"/>
      <c r="N41" s="263">
        <f>VLOOKUP($B41,BS!$I$5:$M$31,BS!J$3,FALSE)</f>
        <v>22.2</v>
      </c>
      <c r="O41" s="263">
        <f>VLOOKUP($B41,BS!$I$5:$M$31,BS!K$3,FALSE)</f>
        <v>36.4</v>
      </c>
      <c r="P41" s="263">
        <f>VLOOKUP($B41,BS!$I$5:$M$31,BS!L$3,FALSE)</f>
        <v>49.1</v>
      </c>
      <c r="Q41" s="263">
        <f>VLOOKUP($B41,BS!$I$5:$M$31,BS!M$3,FALSE)</f>
        <v>65.599999999999994</v>
      </c>
      <c r="R41" s="64">
        <f t="shared" si="12"/>
        <v>0.10351273980153142</v>
      </c>
    </row>
    <row r="42" spans="2:20" ht="14.45">
      <c r="B42" t="s">
        <v>463</v>
      </c>
      <c r="G42" s="289"/>
      <c r="H42" s="289"/>
      <c r="I42" s="289"/>
      <c r="J42" s="289"/>
      <c r="K42" s="289"/>
      <c r="L42" s="289"/>
      <c r="M42" s="289"/>
      <c r="N42" s="263">
        <v>0</v>
      </c>
      <c r="O42" s="263">
        <v>0</v>
      </c>
      <c r="P42" s="263">
        <v>0</v>
      </c>
      <c r="Q42" s="263">
        <v>0</v>
      </c>
      <c r="R42" s="64" t="str">
        <f t="shared" si="12"/>
        <v/>
      </c>
    </row>
    <row r="43" spans="2:20" ht="14.45">
      <c r="B43" t="s">
        <v>550</v>
      </c>
      <c r="G43" s="225"/>
      <c r="H43" s="225"/>
      <c r="I43" s="225"/>
      <c r="J43" s="225"/>
      <c r="K43" s="225"/>
      <c r="L43" s="225"/>
      <c r="M43" s="225"/>
      <c r="N43" s="263">
        <f>VLOOKUP($B43,BS!$I$5:$M$31,BS!J$3,FALSE)</f>
        <v>45.1</v>
      </c>
      <c r="O43" s="263">
        <f>VLOOKUP($B43,BS!$I$5:$M$31,BS!K$3,FALSE)</f>
        <v>150.69999999999999</v>
      </c>
      <c r="P43" s="263">
        <f>VLOOKUP($B43,BS!$I$5:$M$31,BS!L$3,FALSE)</f>
        <v>139.1</v>
      </c>
      <c r="Q43" s="263">
        <f>VLOOKUP($B43,BS!$I$5:$M$31,BS!M$3,FALSE)</f>
        <v>129.69999999999999</v>
      </c>
      <c r="R43" s="64">
        <f t="shared" si="12"/>
        <v>0.10079327259618065</v>
      </c>
    </row>
    <row r="44" spans="2:20" ht="14.45">
      <c r="B44" s="262" t="s">
        <v>551</v>
      </c>
      <c r="C44" s="89"/>
      <c r="D44" s="89"/>
      <c r="E44" s="89"/>
      <c r="G44" s="263"/>
      <c r="H44" s="263"/>
      <c r="I44" s="263"/>
      <c r="J44" s="263"/>
      <c r="K44" s="263"/>
      <c r="L44" s="263"/>
      <c r="M44" s="263"/>
      <c r="N44" s="263">
        <f>VLOOKUP($B44,BS!$I$5:$M$31,BS!J$3,FALSE)</f>
        <v>43.3</v>
      </c>
      <c r="O44" s="263">
        <f>VLOOKUP($B44,BS!$I$5:$M$31,BS!K$3,FALSE)</f>
        <v>71</v>
      </c>
      <c r="P44" s="263">
        <f>VLOOKUP($B44,BS!$I$5:$M$31,BS!L$3,FALSE)</f>
        <v>71</v>
      </c>
      <c r="Q44" s="263">
        <f>VLOOKUP($B44,BS!$I$5:$M$31,BS!M$3,FALSE)</f>
        <v>71</v>
      </c>
      <c r="R44" s="64">
        <f t="shared" si="12"/>
        <v>4.5982904692529081E-2</v>
      </c>
    </row>
    <row r="45" spans="2:20" ht="14.45">
      <c r="B45" s="262" t="s">
        <v>465</v>
      </c>
      <c r="C45" s="89"/>
      <c r="D45" s="89"/>
      <c r="E45" s="89"/>
      <c r="G45" s="264">
        <f>+G43-G44</f>
        <v>0</v>
      </c>
      <c r="H45" s="264">
        <f t="shared" ref="H45:Q45" si="15">+H43-H44</f>
        <v>0</v>
      </c>
      <c r="I45" s="264">
        <f t="shared" si="15"/>
        <v>0</v>
      </c>
      <c r="J45" s="264">
        <f t="shared" si="15"/>
        <v>0</v>
      </c>
      <c r="K45" s="264">
        <f t="shared" si="15"/>
        <v>0</v>
      </c>
      <c r="L45" s="264">
        <f t="shared" si="15"/>
        <v>0</v>
      </c>
      <c r="M45" s="264">
        <f t="shared" si="15"/>
        <v>0</v>
      </c>
      <c r="N45" s="264">
        <f t="shared" si="15"/>
        <v>1.8000000000000043</v>
      </c>
      <c r="O45" s="264">
        <f t="shared" si="15"/>
        <v>79.699999999999989</v>
      </c>
      <c r="P45" s="264">
        <f t="shared" si="15"/>
        <v>68.099999999999994</v>
      </c>
      <c r="Q45" s="264">
        <f t="shared" si="15"/>
        <v>58.699999999999989</v>
      </c>
      <c r="R45" s="64"/>
    </row>
    <row r="46" spans="2:20">
      <c r="B46" s="38" t="s">
        <v>552</v>
      </c>
      <c r="C46" s="38"/>
      <c r="D46" s="38"/>
      <c r="E46" s="38"/>
      <c r="G46" s="231">
        <f>+G47-G39-G42-G43</f>
        <v>0</v>
      </c>
      <c r="H46" s="231">
        <f t="shared" ref="H46:Q46" si="16">+H47-H39-H42-H43</f>
        <v>0</v>
      </c>
      <c r="I46" s="231">
        <f t="shared" si="16"/>
        <v>0</v>
      </c>
      <c r="J46" s="231">
        <f t="shared" si="16"/>
        <v>0</v>
      </c>
      <c r="K46" s="231">
        <f t="shared" si="16"/>
        <v>0</v>
      </c>
      <c r="L46" s="231">
        <f t="shared" si="16"/>
        <v>0</v>
      </c>
      <c r="M46" s="231">
        <f t="shared" si="16"/>
        <v>0</v>
      </c>
      <c r="N46" s="231">
        <f t="shared" si="16"/>
        <v>67.199999999999989</v>
      </c>
      <c r="O46" s="231">
        <f t="shared" si="16"/>
        <v>23.700000000000017</v>
      </c>
      <c r="P46" s="231">
        <f t="shared" si="16"/>
        <v>105.60000000000002</v>
      </c>
      <c r="Q46" s="231">
        <f t="shared" si="16"/>
        <v>99.100000000000023</v>
      </c>
      <c r="R46" s="232" t="str">
        <f t="shared" ref="R46" si="17">IFERROR((Q46/G46)^(1/COUNT($G$4:$Q$4))-1,"")</f>
        <v/>
      </c>
    </row>
    <row r="47" spans="2:20" s="1" customFormat="1" ht="15" thickBot="1">
      <c r="B47" s="1" t="s">
        <v>553</v>
      </c>
      <c r="F47" s="628"/>
      <c r="G47" s="235"/>
      <c r="H47" s="235"/>
      <c r="I47" s="235"/>
      <c r="J47" s="235"/>
      <c r="K47" s="235"/>
      <c r="L47" s="235"/>
      <c r="M47" s="235"/>
      <c r="N47" s="263">
        <f>VLOOKUP($B47,BS!$I$5:$M$31,BS!J$3,FALSE)</f>
        <v>206.1</v>
      </c>
      <c r="O47" s="263">
        <f>VLOOKUP($B47,BS!$I$5:$M$31,BS!K$3,FALSE)</f>
        <v>326.8</v>
      </c>
      <c r="P47" s="263">
        <f>VLOOKUP($B47,BS!$I$5:$M$31,BS!L$3,FALSE)</f>
        <v>464.5</v>
      </c>
      <c r="Q47" s="263">
        <f>VLOOKUP($B47,BS!$I$5:$M$31,BS!M$3,FALSE)</f>
        <v>491.7</v>
      </c>
      <c r="R47" s="236">
        <f t="shared" ref="R47:R61" si="18">IFERROR((Q47/N47)^(1/COUNT($G$4:$Q$4))-1,"")</f>
        <v>8.2254231190777238E-2</v>
      </c>
    </row>
    <row r="48" spans="2:20" s="1" customFormat="1" ht="14.45" thickBot="1">
      <c r="B48" s="237" t="s">
        <v>309</v>
      </c>
      <c r="C48" s="237"/>
      <c r="D48" s="237"/>
      <c r="E48" s="237"/>
      <c r="F48" s="630"/>
      <c r="G48" s="238">
        <f t="shared" ref="G48:Q48" si="19">SUM(G47,G38)</f>
        <v>0</v>
      </c>
      <c r="H48" s="238">
        <f t="shared" si="19"/>
        <v>0</v>
      </c>
      <c r="I48" s="238">
        <f t="shared" si="19"/>
        <v>0</v>
      </c>
      <c r="J48" s="238">
        <f t="shared" si="19"/>
        <v>0</v>
      </c>
      <c r="K48" s="238">
        <f t="shared" si="19"/>
        <v>0</v>
      </c>
      <c r="L48" s="238">
        <f t="shared" si="19"/>
        <v>0</v>
      </c>
      <c r="M48" s="238">
        <f t="shared" si="19"/>
        <v>0</v>
      </c>
      <c r="N48" s="238">
        <f t="shared" si="19"/>
        <v>980.9</v>
      </c>
      <c r="O48" s="238">
        <f t="shared" si="19"/>
        <v>989.09999999999991</v>
      </c>
      <c r="P48" s="238">
        <f t="shared" si="19"/>
        <v>941.2</v>
      </c>
      <c r="Q48" s="238">
        <f t="shared" si="19"/>
        <v>1184.3</v>
      </c>
      <c r="R48" s="239">
        <f t="shared" si="18"/>
        <v>1.7278174262761015E-2</v>
      </c>
    </row>
    <row r="49" spans="1:20" ht="14.45">
      <c r="B49" t="s">
        <v>310</v>
      </c>
      <c r="G49" s="225"/>
      <c r="H49" s="225"/>
      <c r="I49" s="225"/>
      <c r="J49" s="225"/>
      <c r="K49" s="225"/>
      <c r="L49" s="225"/>
      <c r="M49" s="225"/>
      <c r="N49" s="263">
        <f>VLOOKUP($B49,BS!$I$5:$M$31,BS!J$3,FALSE)</f>
        <v>14.5</v>
      </c>
      <c r="O49" s="263">
        <f>VLOOKUP($B49,BS!$I$5:$M$31,BS!K$3,FALSE)</f>
        <v>20.8</v>
      </c>
      <c r="P49" s="263">
        <f>VLOOKUP($B49,BS!$I$5:$M$31,BS!L$3,FALSE)</f>
        <v>34.9</v>
      </c>
      <c r="Q49" s="263">
        <f>VLOOKUP($B49,BS!$I$5:$M$31,BS!M$3,FALSE)</f>
        <v>72.5</v>
      </c>
      <c r="R49" s="64">
        <f t="shared" si="18"/>
        <v>0.15755791177065448</v>
      </c>
    </row>
    <row r="50" spans="1:20">
      <c r="B50" t="s">
        <v>554</v>
      </c>
      <c r="G50" s="234">
        <f>+SUM(G51:G52)</f>
        <v>0</v>
      </c>
      <c r="H50" s="234">
        <f t="shared" ref="H50:Q50" si="20">+SUM(H51:H52)</f>
        <v>0</v>
      </c>
      <c r="I50" s="234">
        <f t="shared" si="20"/>
        <v>0</v>
      </c>
      <c r="J50" s="234">
        <f t="shared" si="20"/>
        <v>0</v>
      </c>
      <c r="K50" s="234">
        <f t="shared" si="20"/>
        <v>0</v>
      </c>
      <c r="L50" s="234">
        <f t="shared" si="20"/>
        <v>0</v>
      </c>
      <c r="M50" s="234">
        <f t="shared" si="20"/>
        <v>0</v>
      </c>
      <c r="N50" s="234">
        <f t="shared" si="20"/>
        <v>2.8</v>
      </c>
      <c r="O50" s="234">
        <f t="shared" si="20"/>
        <v>2.9</v>
      </c>
      <c r="P50" s="234">
        <f t="shared" si="20"/>
        <v>17.8</v>
      </c>
      <c r="Q50" s="234">
        <f t="shared" si="20"/>
        <v>18.200000000000003</v>
      </c>
      <c r="R50" s="64">
        <f t="shared" si="18"/>
        <v>0.18549906077668488</v>
      </c>
    </row>
    <row r="51" spans="1:20" ht="14.45">
      <c r="B51" s="262" t="s">
        <v>555</v>
      </c>
      <c r="G51" s="263"/>
      <c r="H51" s="263"/>
      <c r="I51" s="263"/>
      <c r="J51" s="263"/>
      <c r="K51" s="263"/>
      <c r="L51" s="263"/>
      <c r="M51" s="263"/>
      <c r="N51" s="263">
        <f>VLOOKUP($B51,BS!$I$5:$M$31,BS!J$3,FALSE)</f>
        <v>2.8</v>
      </c>
      <c r="O51" s="263">
        <f>VLOOKUP($B51,BS!$I$5:$M$31,BS!K$3,FALSE)</f>
        <v>2.9</v>
      </c>
      <c r="P51" s="263">
        <f>VLOOKUP($B51,BS!$I$5:$M$31,BS!L$3,FALSE)</f>
        <v>17.8</v>
      </c>
      <c r="Q51" s="263">
        <f>VLOOKUP($B51,BS!$I$5:$M$31,BS!M$3,FALSE)</f>
        <v>11.8</v>
      </c>
      <c r="R51" s="64">
        <f t="shared" si="18"/>
        <v>0.13970666681021293</v>
      </c>
    </row>
    <row r="52" spans="1:20" ht="14.45">
      <c r="B52" s="262" t="s">
        <v>556</v>
      </c>
      <c r="G52" s="263"/>
      <c r="H52" s="263"/>
      <c r="I52" s="263"/>
      <c r="J52" s="263"/>
      <c r="K52" s="263"/>
      <c r="L52" s="263"/>
      <c r="M52" s="263"/>
      <c r="N52" s="263">
        <f>VLOOKUP($B52,BS!$I$5:$M$31,BS!J$3,FALSE)</f>
        <v>0</v>
      </c>
      <c r="O52" s="263" t="str">
        <f>VLOOKUP($B52,BS!$I$5:$M$31,BS!K$3,FALSE)</f>
        <v>—</v>
      </c>
      <c r="P52" s="263" t="str">
        <f>VLOOKUP($B52,BS!$I$5:$M$31,BS!L$3,FALSE)</f>
        <v>—</v>
      </c>
      <c r="Q52" s="263">
        <f>VLOOKUP($B52,BS!$I$5:$M$31,BS!M$3,FALSE)</f>
        <v>6.4</v>
      </c>
      <c r="R52" s="64" t="str">
        <f t="shared" si="18"/>
        <v/>
      </c>
    </row>
    <row r="53" spans="1:20">
      <c r="B53" s="38" t="s">
        <v>469</v>
      </c>
      <c r="C53" s="38"/>
      <c r="D53" s="38"/>
      <c r="E53" s="38"/>
      <c r="G53" s="231">
        <f t="shared" ref="G53:Q53" si="21">+G54-G49-G50</f>
        <v>0</v>
      </c>
      <c r="H53" s="231">
        <f t="shared" si="21"/>
        <v>0</v>
      </c>
      <c r="I53" s="231">
        <f t="shared" si="21"/>
        <v>0</v>
      </c>
      <c r="J53" s="231">
        <f t="shared" si="21"/>
        <v>0</v>
      </c>
      <c r="K53" s="231">
        <f t="shared" si="21"/>
        <v>0</v>
      </c>
      <c r="L53" s="231">
        <f t="shared" si="21"/>
        <v>0</v>
      </c>
      <c r="M53" s="231">
        <f t="shared" si="21"/>
        <v>0</v>
      </c>
      <c r="N53" s="231">
        <f t="shared" si="21"/>
        <v>79</v>
      </c>
      <c r="O53" s="231">
        <f t="shared" si="21"/>
        <v>139.19999999999999</v>
      </c>
      <c r="P53" s="231">
        <f t="shared" si="21"/>
        <v>170.7</v>
      </c>
      <c r="Q53" s="231">
        <f t="shared" si="21"/>
        <v>248.8</v>
      </c>
      <c r="R53" s="232">
        <f t="shared" si="18"/>
        <v>0.1099234469319994</v>
      </c>
      <c r="T53" s="73"/>
    </row>
    <row r="54" spans="1:20">
      <c r="A54" s="38"/>
      <c r="B54" s="38" t="s">
        <v>311</v>
      </c>
      <c r="C54" s="38"/>
      <c r="D54" s="38"/>
      <c r="E54" s="38"/>
      <c r="F54" s="797"/>
      <c r="G54" s="798"/>
      <c r="H54" s="798"/>
      <c r="I54" s="798"/>
      <c r="J54" s="798"/>
      <c r="K54" s="798"/>
      <c r="L54" s="798"/>
      <c r="M54" s="798"/>
      <c r="N54" s="798">
        <f>VLOOKUP($B54,BS!$I$5:$M$31,BS!J$3,FALSE)</f>
        <v>96.3</v>
      </c>
      <c r="O54" s="798">
        <f>VLOOKUP($B54,BS!$I$5:$M$31,BS!K$3,FALSE)</f>
        <v>162.9</v>
      </c>
      <c r="P54" s="798">
        <f>VLOOKUP($B54,BS!$I$5:$M$31,BS!L$3,FALSE)</f>
        <v>223.4</v>
      </c>
      <c r="Q54" s="798">
        <f>VLOOKUP($B54,BS!$I$5:$M$31,BS!M$3,FALSE)</f>
        <v>339.5</v>
      </c>
      <c r="R54" s="232">
        <f t="shared" si="18"/>
        <v>0.1213641847291651</v>
      </c>
    </row>
    <row r="55" spans="1:20">
      <c r="B55" t="s">
        <v>557</v>
      </c>
      <c r="G55" s="261">
        <f>+SUM(G56:G57)</f>
        <v>0</v>
      </c>
      <c r="H55" s="261">
        <f t="shared" ref="H55:Q55" si="22">+SUM(H56:H57)</f>
        <v>0</v>
      </c>
      <c r="I55" s="261">
        <f t="shared" si="22"/>
        <v>0</v>
      </c>
      <c r="J55" s="261">
        <f t="shared" si="22"/>
        <v>0</v>
      </c>
      <c r="K55" s="261">
        <f t="shared" si="22"/>
        <v>0</v>
      </c>
      <c r="L55" s="261">
        <f t="shared" si="22"/>
        <v>0</v>
      </c>
      <c r="M55" s="261">
        <f t="shared" si="22"/>
        <v>0</v>
      </c>
      <c r="N55" s="261">
        <f t="shared" si="22"/>
        <v>125.6</v>
      </c>
      <c r="O55" s="261">
        <f t="shared" si="22"/>
        <v>121.8</v>
      </c>
      <c r="P55" s="261">
        <f t="shared" si="22"/>
        <v>133.4</v>
      </c>
      <c r="Q55" s="261">
        <f t="shared" si="22"/>
        <v>441.4</v>
      </c>
      <c r="R55" s="64">
        <f t="shared" si="18"/>
        <v>0.1210424617158874</v>
      </c>
    </row>
    <row r="56" spans="1:20" ht="14.45">
      <c r="B56" s="262" t="s">
        <v>558</v>
      </c>
      <c r="G56" s="263"/>
      <c r="H56" s="263"/>
      <c r="I56" s="263"/>
      <c r="J56" s="263"/>
      <c r="K56" s="263"/>
      <c r="L56" s="263"/>
      <c r="M56" s="263"/>
      <c r="N56" s="263">
        <f>VLOOKUP($B56,BS!$I$5:$M$31,BS!J$3,FALSE)</f>
        <v>97.3</v>
      </c>
      <c r="O56" s="263">
        <f>VLOOKUP($B56,BS!$I$5:$M$31,BS!K$3,FALSE)</f>
        <v>84.1</v>
      </c>
      <c r="P56" s="263">
        <f>VLOOKUP($B56,BS!$I$5:$M$31,BS!L$3,FALSE)</f>
        <v>72</v>
      </c>
      <c r="Q56" s="263">
        <f>VLOOKUP($B56,BS!$I$5:$M$31,BS!M$3,FALSE)</f>
        <v>389.4</v>
      </c>
      <c r="R56" s="64">
        <f t="shared" si="18"/>
        <v>0.13436550022296889</v>
      </c>
    </row>
    <row r="57" spans="1:20" ht="14.45">
      <c r="B57" s="262" t="s">
        <v>559</v>
      </c>
      <c r="G57" s="263"/>
      <c r="H57" s="263"/>
      <c r="I57" s="263"/>
      <c r="J57" s="263"/>
      <c r="K57" s="263"/>
      <c r="L57" s="263"/>
      <c r="M57" s="263"/>
      <c r="N57" s="263">
        <f>VLOOKUP($B57,BS!$I$5:$M$31,BS!J$3,FALSE)</f>
        <v>28.3</v>
      </c>
      <c r="O57" s="263">
        <f>VLOOKUP($B57,BS!$I$5:$M$31,BS!K$3,FALSE)</f>
        <v>37.700000000000003</v>
      </c>
      <c r="P57" s="263">
        <f>VLOOKUP($B57,BS!$I$5:$M$31,BS!L$3,FALSE)</f>
        <v>61.4</v>
      </c>
      <c r="Q57" s="263">
        <f>VLOOKUP($B57,BS!$I$5:$M$31,BS!M$3,FALSE)</f>
        <v>52</v>
      </c>
      <c r="R57" s="64">
        <f t="shared" si="18"/>
        <v>5.6865494562267083E-2</v>
      </c>
    </row>
    <row r="58" spans="1:20">
      <c r="B58" s="38" t="s">
        <v>560</v>
      </c>
      <c r="C58" s="38"/>
      <c r="D58" s="38"/>
      <c r="E58" s="38"/>
      <c r="G58" s="240">
        <f>+G59-G55</f>
        <v>0</v>
      </c>
      <c r="H58" s="240">
        <f t="shared" ref="H58:Q58" si="23">+H59-H55</f>
        <v>0</v>
      </c>
      <c r="I58" s="240">
        <f t="shared" si="23"/>
        <v>0</v>
      </c>
      <c r="J58" s="240">
        <f t="shared" si="23"/>
        <v>0</v>
      </c>
      <c r="K58" s="240">
        <f t="shared" si="23"/>
        <v>0</v>
      </c>
      <c r="L58" s="240">
        <f t="shared" si="23"/>
        <v>0</v>
      </c>
      <c r="M58" s="240">
        <f t="shared" si="23"/>
        <v>0</v>
      </c>
      <c r="N58" s="240">
        <f t="shared" si="23"/>
        <v>60.5</v>
      </c>
      <c r="O58" s="240">
        <f t="shared" si="23"/>
        <v>31.200000000000003</v>
      </c>
      <c r="P58" s="240">
        <f t="shared" si="23"/>
        <v>29.900000000000006</v>
      </c>
      <c r="Q58" s="240">
        <f t="shared" si="23"/>
        <v>21</v>
      </c>
      <c r="R58" s="232">
        <f t="shared" si="18"/>
        <v>-9.1711129422521132E-2</v>
      </c>
    </row>
    <row r="59" spans="1:20" s="1" customFormat="1" ht="15" thickBot="1">
      <c r="B59" s="1" t="s">
        <v>561</v>
      </c>
      <c r="F59" s="628"/>
      <c r="G59" s="225"/>
      <c r="H59" s="225"/>
      <c r="I59" s="225"/>
      <c r="J59" s="225"/>
      <c r="K59" s="225"/>
      <c r="L59" s="225"/>
      <c r="M59" s="225"/>
      <c r="N59" s="263">
        <f>BS!J32</f>
        <v>186.1</v>
      </c>
      <c r="O59" s="263">
        <f>BS!K32</f>
        <v>153</v>
      </c>
      <c r="P59" s="263">
        <f>BS!L32</f>
        <v>163.30000000000001</v>
      </c>
      <c r="Q59" s="263">
        <f>BS!M32</f>
        <v>462.4</v>
      </c>
      <c r="R59" s="67">
        <f t="shared" si="18"/>
        <v>8.6259952084202229E-2</v>
      </c>
    </row>
    <row r="60" spans="1:20" s="1" customFormat="1" ht="14.45" thickBot="1">
      <c r="B60" s="237" t="s">
        <v>424</v>
      </c>
      <c r="C60" s="237"/>
      <c r="D60" s="237"/>
      <c r="E60" s="237"/>
      <c r="F60" s="630"/>
      <c r="G60" s="238">
        <f t="shared" ref="G60:Q60" si="24">SUM(G59,G54)</f>
        <v>0</v>
      </c>
      <c r="H60" s="238">
        <f t="shared" si="24"/>
        <v>0</v>
      </c>
      <c r="I60" s="238">
        <f t="shared" si="24"/>
        <v>0</v>
      </c>
      <c r="J60" s="238">
        <f t="shared" si="24"/>
        <v>0</v>
      </c>
      <c r="K60" s="238">
        <f t="shared" si="24"/>
        <v>0</v>
      </c>
      <c r="L60" s="238">
        <f t="shared" si="24"/>
        <v>0</v>
      </c>
      <c r="M60" s="238">
        <f t="shared" si="24"/>
        <v>0</v>
      </c>
      <c r="N60" s="238">
        <f t="shared" si="24"/>
        <v>282.39999999999998</v>
      </c>
      <c r="O60" s="238">
        <f t="shared" si="24"/>
        <v>315.89999999999998</v>
      </c>
      <c r="P60" s="238">
        <f t="shared" si="24"/>
        <v>386.70000000000005</v>
      </c>
      <c r="Q60" s="238">
        <f t="shared" si="24"/>
        <v>801.9</v>
      </c>
      <c r="R60" s="239">
        <f t="shared" si="18"/>
        <v>9.9524845487744873E-2</v>
      </c>
    </row>
    <row r="61" spans="1:20" s="1" customFormat="1">
      <c r="B61" s="1" t="s">
        <v>314</v>
      </c>
      <c r="F61"/>
      <c r="G61" s="227">
        <f t="shared" ref="G61:Q61" si="25">G48-G60</f>
        <v>0</v>
      </c>
      <c r="H61" s="227">
        <f t="shared" si="25"/>
        <v>0</v>
      </c>
      <c r="I61" s="227">
        <f t="shared" si="25"/>
        <v>0</v>
      </c>
      <c r="J61" s="227">
        <f t="shared" si="25"/>
        <v>0</v>
      </c>
      <c r="K61" s="227">
        <f t="shared" si="25"/>
        <v>0</v>
      </c>
      <c r="L61" s="227">
        <f t="shared" si="25"/>
        <v>0</v>
      </c>
      <c r="M61" s="227">
        <f t="shared" si="25"/>
        <v>0</v>
      </c>
      <c r="N61" s="227">
        <f t="shared" si="25"/>
        <v>698.5</v>
      </c>
      <c r="O61" s="227">
        <f t="shared" si="25"/>
        <v>673.19999999999993</v>
      </c>
      <c r="P61" s="227">
        <f t="shared" si="25"/>
        <v>554.5</v>
      </c>
      <c r="Q61" s="227">
        <f t="shared" si="25"/>
        <v>382.4</v>
      </c>
      <c r="R61" s="67">
        <f t="shared" si="18"/>
        <v>-5.3296963084767723E-2</v>
      </c>
    </row>
    <row r="62" spans="1:20" ht="14.45">
      <c r="B62" t="s">
        <v>562</v>
      </c>
      <c r="G62" s="263"/>
      <c r="H62" s="263"/>
      <c r="I62" s="263"/>
      <c r="J62" s="263"/>
      <c r="K62" s="263"/>
      <c r="L62" s="263"/>
      <c r="M62" s="263"/>
      <c r="N62" s="263"/>
      <c r="O62" s="263"/>
      <c r="P62" s="263"/>
      <c r="Q62" s="263"/>
      <c r="R62" s="64"/>
    </row>
    <row r="63" spans="1:20" ht="3.95" customHeight="1"/>
    <row r="64" spans="1:20" ht="15.6">
      <c r="A64" t="s">
        <v>405</v>
      </c>
      <c r="B64" s="52" t="s">
        <v>260</v>
      </c>
      <c r="C64" s="56"/>
      <c r="D64" s="56"/>
      <c r="E64" s="56"/>
      <c r="F64" s="56"/>
      <c r="G64" s="223">
        <v>2014</v>
      </c>
      <c r="H64" s="223">
        <f>+G64+1</f>
        <v>2015</v>
      </c>
      <c r="I64" s="223">
        <f t="shared" ref="I64:M64" si="26">+H64+1</f>
        <v>2016</v>
      </c>
      <c r="J64" s="223">
        <f t="shared" si="26"/>
        <v>2017</v>
      </c>
      <c r="K64" s="223">
        <f t="shared" si="26"/>
        <v>2018</v>
      </c>
      <c r="L64" s="223">
        <f t="shared" si="26"/>
        <v>2019</v>
      </c>
      <c r="M64" s="223">
        <f t="shared" si="26"/>
        <v>2020</v>
      </c>
      <c r="N64" s="223">
        <f>+M64+1</f>
        <v>2021</v>
      </c>
      <c r="O64" s="223">
        <f>+N64+1</f>
        <v>2022</v>
      </c>
      <c r="P64" s="223">
        <f t="shared" ref="P64" si="27">+O64+1</f>
        <v>2023</v>
      </c>
      <c r="Q64" s="223">
        <f>+P64+1</f>
        <v>2024</v>
      </c>
      <c r="R64" s="58" t="str">
        <f>"CAGR "&amp;$G$4&amp;" - "&amp;$Q$4</f>
        <v>CAGR 2014 - 2024</v>
      </c>
    </row>
    <row r="65" spans="2:18" ht="3.95" customHeight="1">
      <c r="B65" s="229"/>
      <c r="C65" s="229"/>
      <c r="D65" s="229"/>
      <c r="E65" s="229"/>
      <c r="F65" s="229"/>
      <c r="G65" s="230"/>
      <c r="H65" s="230"/>
      <c r="I65" s="230"/>
      <c r="J65" s="230"/>
      <c r="K65" s="230"/>
      <c r="L65" s="230"/>
      <c r="M65" s="230"/>
      <c r="N65" s="230"/>
      <c r="O65" s="230"/>
      <c r="P65" s="230"/>
      <c r="Q65" s="230"/>
      <c r="R65" s="60"/>
    </row>
    <row r="66" spans="2:18">
      <c r="B66" t="s">
        <v>299</v>
      </c>
      <c r="G66" s="241">
        <f>G24</f>
        <v>0</v>
      </c>
      <c r="H66" s="241">
        <f t="shared" ref="H66:Q66" si="28">H24</f>
        <v>0</v>
      </c>
      <c r="I66" s="241">
        <f t="shared" si="28"/>
        <v>0</v>
      </c>
      <c r="J66" s="241">
        <f t="shared" si="28"/>
        <v>0</v>
      </c>
      <c r="K66" s="241">
        <f t="shared" si="28"/>
        <v>0</v>
      </c>
      <c r="L66" s="241">
        <f t="shared" si="28"/>
        <v>0</v>
      </c>
      <c r="M66" s="241">
        <f t="shared" si="28"/>
        <v>0</v>
      </c>
      <c r="N66" s="241">
        <f t="shared" si="28"/>
        <v>-106.58999999999997</v>
      </c>
      <c r="O66" s="241">
        <f t="shared" si="28"/>
        <v>-106.46999999999998</v>
      </c>
      <c r="P66" s="241">
        <f t="shared" si="28"/>
        <v>-154.19999999999999</v>
      </c>
      <c r="Q66" s="241">
        <f t="shared" si="28"/>
        <v>-150.73000000000002</v>
      </c>
      <c r="R66" s="64">
        <f>IFERROR((Q66/N66)^(1/COUNT($G$4:$Q$4))-1,"")</f>
        <v>3.2001418575820173E-2</v>
      </c>
    </row>
    <row r="67" spans="2:18">
      <c r="B67" t="s">
        <v>563</v>
      </c>
      <c r="G67" s="234">
        <f>+G13</f>
        <v>0</v>
      </c>
      <c r="H67" s="234">
        <f t="shared" ref="H67:Q67" si="29">+H13</f>
        <v>0</v>
      </c>
      <c r="I67" s="234">
        <f t="shared" si="29"/>
        <v>0</v>
      </c>
      <c r="J67" s="234">
        <f t="shared" si="29"/>
        <v>0</v>
      </c>
      <c r="K67" s="234">
        <f t="shared" si="29"/>
        <v>0</v>
      </c>
      <c r="L67" s="234">
        <f t="shared" si="29"/>
        <v>0</v>
      </c>
      <c r="M67" s="234">
        <f t="shared" si="29"/>
        <v>0</v>
      </c>
      <c r="N67" s="234">
        <f t="shared" si="29"/>
        <v>10.81</v>
      </c>
      <c r="O67" s="234">
        <f t="shared" si="29"/>
        <v>29.43</v>
      </c>
      <c r="P67" s="234">
        <f t="shared" si="29"/>
        <v>28.5</v>
      </c>
      <c r="Q67" s="234">
        <f t="shared" si="29"/>
        <v>31.87</v>
      </c>
      <c r="R67" s="64">
        <f>IFERROR((Q67/N67)^(1/COUNT($G$4:$Q$4))-1,"")</f>
        <v>0.10328304142165767</v>
      </c>
    </row>
    <row r="68" spans="2:18">
      <c r="B68" t="s">
        <v>476</v>
      </c>
      <c r="G68" s="261">
        <f>+SUM(G69:G72)</f>
        <v>0</v>
      </c>
      <c r="H68" s="261">
        <f t="shared" ref="H68:Q68" si="30">+SUM(H69:H72)</f>
        <v>0</v>
      </c>
      <c r="I68" s="261">
        <f t="shared" si="30"/>
        <v>0</v>
      </c>
      <c r="J68" s="261">
        <f t="shared" si="30"/>
        <v>0</v>
      </c>
      <c r="K68" s="261">
        <f t="shared" si="30"/>
        <v>0</v>
      </c>
      <c r="L68" s="261">
        <f t="shared" si="30"/>
        <v>0</v>
      </c>
      <c r="M68" s="261">
        <f t="shared" si="30"/>
        <v>0</v>
      </c>
      <c r="N68" s="261">
        <f t="shared" si="30"/>
        <v>2.5</v>
      </c>
      <c r="O68" s="261">
        <f t="shared" si="30"/>
        <v>-35.5</v>
      </c>
      <c r="P68" s="261">
        <f t="shared" si="30"/>
        <v>-6.5</v>
      </c>
      <c r="Q68" s="261">
        <f t="shared" si="30"/>
        <v>38.099999999999994</v>
      </c>
      <c r="R68" s="64">
        <f>IFERROR((Q68/N68)^(1/COUNT($G$4:$Q$4))-1,"")</f>
        <v>0.28098512863100922</v>
      </c>
    </row>
    <row r="69" spans="2:18" ht="14.45">
      <c r="B69" s="262" t="s">
        <v>564</v>
      </c>
      <c r="G69" s="225"/>
      <c r="H69" s="225"/>
      <c r="I69" s="225"/>
      <c r="J69" s="225"/>
      <c r="K69" s="225"/>
      <c r="L69" s="225"/>
      <c r="M69" s="225"/>
      <c r="N69" s="225">
        <f>VLOOKUP(Inputs!$B69,CF!$L$8:$P$36,CF!M$6,FALSE)</f>
        <v>-7.8</v>
      </c>
      <c r="O69" s="225">
        <f>VLOOKUP(Inputs!$B69,CF!$L$8:$P$36,CF!N$6,FALSE)</f>
        <v>-9.4</v>
      </c>
      <c r="P69" s="225">
        <f>VLOOKUP(Inputs!$B69,CF!$L$8:$P$36,CF!O$6,FALSE)</f>
        <v>1.5</v>
      </c>
      <c r="Q69" s="225">
        <f>VLOOKUP(Inputs!$B69,CF!$L$8:$P$36,CF!P$6,FALSE)</f>
        <v>-1.4</v>
      </c>
      <c r="R69" s="64"/>
    </row>
    <row r="70" spans="2:18" ht="14.45">
      <c r="B70" s="262" t="s">
        <v>565</v>
      </c>
      <c r="G70" s="225"/>
      <c r="H70" s="225"/>
      <c r="I70" s="225"/>
      <c r="J70" s="225"/>
      <c r="K70" s="225"/>
      <c r="L70" s="225"/>
      <c r="M70" s="225"/>
      <c r="N70" s="225">
        <f>VLOOKUP(Inputs!$B70,CF!$L$8:$P$36,CF!M$6,FALSE)</f>
        <v>-12.7</v>
      </c>
      <c r="O70" s="225">
        <f>VLOOKUP(Inputs!$B70,CF!$L$8:$P$36,CF!N$6,FALSE)</f>
        <v>-26</v>
      </c>
      <c r="P70" s="225">
        <f>VLOOKUP(Inputs!$B70,CF!$L$8:$P$36,CF!O$6,FALSE)</f>
        <v>-15.6</v>
      </c>
      <c r="Q70" s="225">
        <f>VLOOKUP(Inputs!$B70,CF!$L$8:$P$36,CF!P$6,FALSE)</f>
        <v>-12.4</v>
      </c>
      <c r="R70" s="64"/>
    </row>
    <row r="71" spans="2:18" ht="14.45">
      <c r="B71" s="262" t="s">
        <v>566</v>
      </c>
      <c r="G71" s="225"/>
      <c r="H71" s="225"/>
      <c r="I71" s="225"/>
      <c r="J71" s="225"/>
      <c r="K71" s="225"/>
      <c r="L71" s="225"/>
      <c r="M71" s="225"/>
      <c r="N71" s="225">
        <f>VLOOKUP(Inputs!$B71,CF!$L$8:$P$36,CF!M$6,FALSE)</f>
        <v>0</v>
      </c>
      <c r="O71" s="225">
        <f>VLOOKUP(Inputs!$B71,CF!$L$8:$P$36,CF!N$6,FALSE)</f>
        <v>0</v>
      </c>
      <c r="P71" s="225">
        <f>VLOOKUP(Inputs!$B71,CF!$L$8:$P$36,CF!O$6,FALSE)</f>
        <v>0</v>
      </c>
      <c r="Q71" s="225">
        <f>VLOOKUP(Inputs!$B71,CF!$L$8:$P$36,CF!P$6,FALSE)</f>
        <v>0</v>
      </c>
      <c r="R71" s="64"/>
    </row>
    <row r="72" spans="2:18" ht="14.45">
      <c r="B72" s="262" t="s">
        <v>567</v>
      </c>
      <c r="G72" s="225"/>
      <c r="H72" s="225"/>
      <c r="I72" s="225"/>
      <c r="J72" s="225"/>
      <c r="K72" s="225"/>
      <c r="L72" s="225"/>
      <c r="M72" s="225"/>
      <c r="N72" s="225">
        <f>VLOOKUP(Inputs!$B72,CF!$L$8:$P$36,CF!M$6,FALSE)</f>
        <v>23</v>
      </c>
      <c r="O72" s="225">
        <f>VLOOKUP(Inputs!$B72,CF!$L$8:$P$36,CF!N$6,FALSE)</f>
        <v>-0.1</v>
      </c>
      <c r="P72" s="225">
        <f>VLOOKUP(Inputs!$B72,CF!$L$8:$P$36,CF!O$6,FALSE)</f>
        <v>7.6</v>
      </c>
      <c r="Q72" s="225">
        <f>VLOOKUP(Inputs!$B72,CF!$L$8:$P$36,CF!P$6,FALSE)</f>
        <v>51.9</v>
      </c>
      <c r="R72" s="64"/>
    </row>
    <row r="73" spans="2:18">
      <c r="B73" t="s">
        <v>474</v>
      </c>
      <c r="G73" s="225"/>
      <c r="H73" s="225"/>
      <c r="I73" s="225"/>
      <c r="J73" s="225"/>
      <c r="K73" s="225"/>
      <c r="L73" s="225"/>
      <c r="M73" s="225"/>
      <c r="N73" s="225">
        <f>VLOOKUP(Inputs!$B73,CF!$L$8:$P$36,CF!M$6,FALSE)</f>
        <v>32.6</v>
      </c>
      <c r="O73" s="225">
        <f>VLOOKUP(Inputs!$B73,CF!$L$8:$P$36,CF!N$6,FALSE)</f>
        <v>55.6</v>
      </c>
      <c r="P73" s="225">
        <f>VLOOKUP(Inputs!$B73,CF!$L$8:$P$36,CF!O$6,FALSE)</f>
        <v>53.5</v>
      </c>
      <c r="Q73" s="225">
        <f>VLOOKUP(Inputs!$B73,CF!$L$8:$P$36,CF!P$6,FALSE)</f>
        <v>56.8</v>
      </c>
      <c r="R73" s="64"/>
    </row>
    <row r="74" spans="2:18">
      <c r="B74" t="s">
        <v>477</v>
      </c>
      <c r="G74" s="261">
        <f>+G75-G66-G67-G68-G73</f>
        <v>0</v>
      </c>
      <c r="H74" s="261">
        <f t="shared" ref="H74:Q74" si="31">+H75-H66-H67-H68-H73</f>
        <v>0</v>
      </c>
      <c r="I74" s="261">
        <f t="shared" si="31"/>
        <v>0</v>
      </c>
      <c r="J74" s="261">
        <f t="shared" si="31"/>
        <v>0</v>
      </c>
      <c r="K74" s="261">
        <f t="shared" si="31"/>
        <v>0</v>
      </c>
      <c r="L74" s="261">
        <f t="shared" si="31"/>
        <v>0</v>
      </c>
      <c r="M74" s="261">
        <f t="shared" si="31"/>
        <v>0</v>
      </c>
      <c r="N74" s="261">
        <f t="shared" si="31"/>
        <v>-11.120000000000026</v>
      </c>
      <c r="O74" s="261">
        <f t="shared" si="31"/>
        <v>-49.560000000000016</v>
      </c>
      <c r="P74" s="261">
        <f t="shared" si="31"/>
        <v>-20.200000000000017</v>
      </c>
      <c r="Q74" s="261">
        <f t="shared" si="31"/>
        <v>-24.939999999999984</v>
      </c>
      <c r="R74" s="64">
        <f t="shared" ref="R74:R94" si="32">IFERROR((Q74/N74)^(1/COUNT($G$4:$Q$4))-1,"")</f>
        <v>7.6192970736995269E-2</v>
      </c>
    </row>
    <row r="75" spans="2:18" s="1" customFormat="1">
      <c r="B75" s="265" t="s">
        <v>316</v>
      </c>
      <c r="C75" s="265"/>
      <c r="D75" s="265"/>
      <c r="E75" s="265"/>
      <c r="F75" s="629"/>
      <c r="G75" s="266"/>
      <c r="H75" s="266"/>
      <c r="I75" s="266"/>
      <c r="J75" s="266"/>
      <c r="K75" s="266"/>
      <c r="L75" s="266"/>
      <c r="M75" s="266"/>
      <c r="N75" s="266">
        <f>VLOOKUP(Inputs!$B75,CF!$L$8:$P$36,CF!M$6,FALSE)</f>
        <v>-71.8</v>
      </c>
      <c r="O75" s="266">
        <f>VLOOKUP(Inputs!$B75,CF!$L$8:$P$36,CF!N$6,FALSE)</f>
        <v>-106.5</v>
      </c>
      <c r="P75" s="266">
        <f>VLOOKUP(Inputs!$B75,CF!$L$8:$P$36,CF!O$6,FALSE)</f>
        <v>-98.9</v>
      </c>
      <c r="Q75" s="266">
        <f>VLOOKUP(Inputs!$B75,CF!$L$8:$P$36,CF!P$6,FALSE)</f>
        <v>-48.9</v>
      </c>
      <c r="R75" s="267">
        <f t="shared" si="32"/>
        <v>-3.4316197942803939E-2</v>
      </c>
    </row>
    <row r="76" spans="2:18">
      <c r="B76" t="s">
        <v>27</v>
      </c>
      <c r="G76" s="234">
        <f t="shared" ref="G76:M76" si="33">+SUM(G77:G78)</f>
        <v>0</v>
      </c>
      <c r="H76" s="234">
        <f t="shared" si="33"/>
        <v>0</v>
      </c>
      <c r="I76" s="234">
        <f t="shared" si="33"/>
        <v>0</v>
      </c>
      <c r="J76" s="234">
        <f t="shared" si="33"/>
        <v>0</v>
      </c>
      <c r="K76" s="234">
        <f t="shared" si="33"/>
        <v>0</v>
      </c>
      <c r="L76" s="234">
        <f t="shared" si="33"/>
        <v>0</v>
      </c>
      <c r="M76" s="234">
        <f t="shared" si="33"/>
        <v>0</v>
      </c>
      <c r="N76" s="234">
        <f>+SUM(N77:N78)</f>
        <v>-92.1</v>
      </c>
      <c r="O76" s="234">
        <f>+SUM(O77:O78)</f>
        <v>-108.2</v>
      </c>
      <c r="P76" s="234">
        <f>+SUM(P77:P78)</f>
        <v>-70</v>
      </c>
      <c r="Q76" s="234">
        <f>+SUM(Q77:Q78)</f>
        <v>-54.599999999999994</v>
      </c>
      <c r="R76" s="64">
        <f t="shared" si="32"/>
        <v>-4.6419093579432413E-2</v>
      </c>
    </row>
    <row r="77" spans="2:18" ht="14.45">
      <c r="B77" s="262" t="s">
        <v>479</v>
      </c>
      <c r="G77" s="263"/>
      <c r="H77" s="263"/>
      <c r="I77" s="263"/>
      <c r="J77" s="263"/>
      <c r="K77" s="263"/>
      <c r="L77" s="263"/>
      <c r="M77" s="263"/>
      <c r="N77" s="225">
        <f>VLOOKUP(Inputs!$B77,CF!$L$8:$P$36,CF!M$6,FALSE)</f>
        <v>-92.1</v>
      </c>
      <c r="O77" s="225">
        <f>VLOOKUP(Inputs!$B77,CF!$L$8:$P$36,CF!N$6,FALSE)</f>
        <v>-108.2</v>
      </c>
      <c r="P77" s="225">
        <f>VLOOKUP(Inputs!$B77,CF!$L$8:$P$36,CF!O$6,FALSE)</f>
        <v>-73.7</v>
      </c>
      <c r="Q77" s="225">
        <f>VLOOKUP(Inputs!$B77,CF!$L$8:$P$36,CF!P$6,FALSE)</f>
        <v>-67.099999999999994</v>
      </c>
      <c r="R77" s="64">
        <f t="shared" si="32"/>
        <v>-2.8379596087566017E-2</v>
      </c>
    </row>
    <row r="78" spans="2:18" ht="14.45">
      <c r="B78" s="262" t="s">
        <v>480</v>
      </c>
      <c r="G78" s="263"/>
      <c r="H78" s="263"/>
      <c r="I78" s="263"/>
      <c r="J78" s="263"/>
      <c r="K78" s="263"/>
      <c r="L78" s="263"/>
      <c r="M78" s="263"/>
      <c r="N78" s="225">
        <f>VLOOKUP(Inputs!$B78,CF!$L$8:$P$36,CF!M$6,FALSE)</f>
        <v>0</v>
      </c>
      <c r="O78" s="225">
        <f>VLOOKUP(Inputs!$B78,CF!$L$8:$P$36,CF!N$6,FALSE)</f>
        <v>0</v>
      </c>
      <c r="P78" s="225">
        <f>VLOOKUP(Inputs!$B78,CF!$L$8:$P$36,CF!O$6,FALSE)</f>
        <v>3.7</v>
      </c>
      <c r="Q78" s="225">
        <f>VLOOKUP(Inputs!$B78,CF!$L$8:$P$36,CF!P$6,FALSE)</f>
        <v>12.5</v>
      </c>
      <c r="R78" s="64" t="str">
        <f t="shared" si="32"/>
        <v/>
      </c>
    </row>
    <row r="79" spans="2:18" ht="14.45">
      <c r="B79" s="89" t="s">
        <v>482</v>
      </c>
      <c r="G79" s="234">
        <f t="shared" ref="G79:Q79" si="34">+SUM(G80:G83)</f>
        <v>0</v>
      </c>
      <c r="H79" s="234">
        <f t="shared" si="34"/>
        <v>0</v>
      </c>
      <c r="I79" s="234">
        <f t="shared" si="34"/>
        <v>0</v>
      </c>
      <c r="J79" s="234">
        <f t="shared" si="34"/>
        <v>0</v>
      </c>
      <c r="K79" s="234">
        <f t="shared" si="34"/>
        <v>0</v>
      </c>
      <c r="L79" s="234">
        <f t="shared" si="34"/>
        <v>0</v>
      </c>
      <c r="M79" s="234">
        <f>+SUM(M80:M83)</f>
        <v>0</v>
      </c>
      <c r="N79" s="234">
        <f t="shared" si="34"/>
        <v>2.5</v>
      </c>
      <c r="O79" s="234">
        <f t="shared" si="34"/>
        <v>0.6</v>
      </c>
      <c r="P79" s="234">
        <f t="shared" si="34"/>
        <v>0.3</v>
      </c>
      <c r="Q79" s="234">
        <f t="shared" si="34"/>
        <v>2.4</v>
      </c>
      <c r="R79" s="64">
        <f t="shared" si="32"/>
        <v>-3.7042128253242934E-3</v>
      </c>
    </row>
    <row r="80" spans="2:18" ht="14.45">
      <c r="B80" s="262" t="s">
        <v>568</v>
      </c>
      <c r="G80" s="263"/>
      <c r="H80" s="263"/>
      <c r="I80" s="263"/>
      <c r="J80" s="263"/>
      <c r="K80" s="263"/>
      <c r="L80" s="263"/>
      <c r="M80" s="263"/>
      <c r="N80" s="225">
        <f>VLOOKUP(Inputs!$B80,CF!$L$8:$P$36,CF!M$6,FALSE)</f>
        <v>2.5</v>
      </c>
      <c r="O80" s="225">
        <f>VLOOKUP(Inputs!$B80,CF!$L$8:$P$36,CF!N$6,FALSE)</f>
        <v>0.6</v>
      </c>
      <c r="P80" s="225">
        <f>VLOOKUP(Inputs!$B80,CF!$L$8:$P$36,CF!O$6,FALSE)</f>
        <v>0.3</v>
      </c>
      <c r="Q80" s="225">
        <f>VLOOKUP(Inputs!$B80,CF!$L$8:$P$36,CF!P$6,FALSE)</f>
        <v>2.4</v>
      </c>
      <c r="R80" s="64">
        <f t="shared" si="32"/>
        <v>-3.7042128253242934E-3</v>
      </c>
    </row>
    <row r="81" spans="1:18" ht="14.45">
      <c r="B81" s="262" t="s">
        <v>569</v>
      </c>
      <c r="G81" s="263"/>
      <c r="H81" s="263"/>
      <c r="I81" s="263"/>
      <c r="J81" s="263"/>
      <c r="K81" s="263"/>
      <c r="L81" s="263"/>
      <c r="M81" s="263"/>
      <c r="N81" s="225">
        <f>VLOOKUP(Inputs!$B81,CF!$L$8:$P$36,CF!M$6,FALSE)</f>
        <v>0</v>
      </c>
      <c r="O81" s="225">
        <f>VLOOKUP(Inputs!$B81,CF!$L$8:$P$36,CF!N$6,FALSE)</f>
        <v>0</v>
      </c>
      <c r="P81" s="225">
        <f>VLOOKUP(Inputs!$B81,CF!$L$8:$P$36,CF!O$6,FALSE)</f>
        <v>0</v>
      </c>
      <c r="Q81" s="225">
        <f>VLOOKUP(Inputs!$B81,CF!$L$8:$P$36,CF!P$6,FALSE)</f>
        <v>0</v>
      </c>
      <c r="R81" s="64" t="str">
        <f t="shared" si="32"/>
        <v/>
      </c>
    </row>
    <row r="82" spans="1:18" ht="14.45">
      <c r="B82" s="262" t="s">
        <v>570</v>
      </c>
      <c r="G82" s="263"/>
      <c r="H82" s="263"/>
      <c r="I82" s="263"/>
      <c r="J82" s="263"/>
      <c r="K82" s="263"/>
      <c r="L82" s="263"/>
      <c r="M82" s="263"/>
      <c r="N82" s="225">
        <f>VLOOKUP(Inputs!$B82,CF!$L$8:$P$36,CF!M$6,FALSE)</f>
        <v>0</v>
      </c>
      <c r="O82" s="225">
        <f>VLOOKUP(Inputs!$B82,CF!$L$8:$P$36,CF!N$6,FALSE)</f>
        <v>0</v>
      </c>
      <c r="P82" s="225">
        <f>VLOOKUP(Inputs!$B82,CF!$L$8:$P$36,CF!O$6,FALSE)</f>
        <v>0</v>
      </c>
      <c r="Q82" s="225">
        <f>VLOOKUP(Inputs!$B82,CF!$L$8:$P$36,CF!P$6,FALSE)</f>
        <v>0</v>
      </c>
      <c r="R82" s="64" t="str">
        <f t="shared" si="32"/>
        <v/>
      </c>
    </row>
    <row r="83" spans="1:18" ht="14.45">
      <c r="B83" s="262" t="s">
        <v>571</v>
      </c>
      <c r="G83" s="263"/>
      <c r="H83" s="263"/>
      <c r="I83" s="263"/>
      <c r="J83" s="263"/>
      <c r="K83" s="263"/>
      <c r="L83" s="263"/>
      <c r="M83" s="263"/>
      <c r="N83" s="225">
        <f>VLOOKUP(Inputs!$B83,CF!$L$8:$P$36,CF!M$6,FALSE)</f>
        <v>0</v>
      </c>
      <c r="O83" s="225">
        <f>VLOOKUP(Inputs!$B83,CF!$L$8:$P$36,CF!N$6,FALSE)</f>
        <v>0</v>
      </c>
      <c r="P83" s="225">
        <f>VLOOKUP(Inputs!$B83,CF!$L$8:$P$36,CF!O$6,FALSE)</f>
        <v>0</v>
      </c>
      <c r="Q83" s="225">
        <f>VLOOKUP(Inputs!$B83,CF!$L$8:$P$36,CF!P$6,FALSE)</f>
        <v>0</v>
      </c>
      <c r="R83" s="64" t="str">
        <f t="shared" si="32"/>
        <v/>
      </c>
    </row>
    <row r="84" spans="1:18">
      <c r="B84" t="s">
        <v>483</v>
      </c>
      <c r="G84" s="234">
        <f>+G85-G76-G79</f>
        <v>0</v>
      </c>
      <c r="H84" s="234">
        <f t="shared" ref="H84:Q84" si="35">+H85-H76-H79</f>
        <v>0</v>
      </c>
      <c r="I84" s="234">
        <f t="shared" si="35"/>
        <v>0</v>
      </c>
      <c r="J84" s="234">
        <f t="shared" si="35"/>
        <v>0</v>
      </c>
      <c r="K84" s="234">
        <f t="shared" si="35"/>
        <v>0</v>
      </c>
      <c r="L84" s="234">
        <f t="shared" si="35"/>
        <v>0</v>
      </c>
      <c r="M84" s="234">
        <f t="shared" si="35"/>
        <v>0</v>
      </c>
      <c r="N84" s="234">
        <f t="shared" si="35"/>
        <v>-2.5</v>
      </c>
      <c r="O84" s="234">
        <f t="shared" si="35"/>
        <v>-238.50000000000003</v>
      </c>
      <c r="P84" s="234">
        <f t="shared" si="35"/>
        <v>81.7</v>
      </c>
      <c r="Q84" s="234">
        <f t="shared" si="35"/>
        <v>-46.1</v>
      </c>
      <c r="R84" s="64">
        <f t="shared" si="32"/>
        <v>0.30337436285412944</v>
      </c>
    </row>
    <row r="85" spans="1:18" s="1" customFormat="1">
      <c r="B85" s="265" t="s">
        <v>317</v>
      </c>
      <c r="C85" s="265"/>
      <c r="D85" s="265"/>
      <c r="E85" s="265"/>
      <c r="F85" s="629"/>
      <c r="G85" s="266"/>
      <c r="H85" s="266"/>
      <c r="I85" s="266"/>
      <c r="J85" s="266"/>
      <c r="K85" s="266"/>
      <c r="L85" s="266"/>
      <c r="M85" s="266"/>
      <c r="N85" s="266">
        <f>VLOOKUP(Inputs!$B85,CF!$L$8:$P$36,CF!M$6,FALSE)</f>
        <v>-92.1</v>
      </c>
      <c r="O85" s="266">
        <f>VLOOKUP(Inputs!$B85,CF!$L$8:$P$36,CF!N$6,FALSE)</f>
        <v>-346.1</v>
      </c>
      <c r="P85" s="266">
        <f>VLOOKUP(Inputs!$B85,CF!$L$8:$P$36,CF!O$6,FALSE)</f>
        <v>12</v>
      </c>
      <c r="Q85" s="266">
        <f>VLOOKUP(Inputs!$B85,CF!$L$8:$P$36,CF!P$6,FALSE)</f>
        <v>-98.3</v>
      </c>
      <c r="R85" s="267">
        <f t="shared" si="32"/>
        <v>5.9402175228822074E-3</v>
      </c>
    </row>
    <row r="86" spans="1:18">
      <c r="B86" t="s">
        <v>318</v>
      </c>
      <c r="G86" s="225"/>
      <c r="H86" s="225"/>
      <c r="I86" s="225"/>
      <c r="J86" s="225"/>
      <c r="K86" s="225"/>
      <c r="L86" s="225"/>
      <c r="M86" s="225"/>
      <c r="N86" s="225" t="str">
        <f>VLOOKUP(Inputs!$B86,CF!$L$8:$P$36,CF!M$6,FALSE)</f>
        <v>100,1</v>
      </c>
      <c r="O86" s="225">
        <f>VLOOKUP(Inputs!$B86,CF!$L$8:$P$36,CF!N$6,FALSE)</f>
        <v>87</v>
      </c>
      <c r="P86" s="225">
        <f>VLOOKUP(Inputs!$B86,CF!$L$8:$P$36,CF!O$6,FALSE)</f>
        <v>89.8</v>
      </c>
      <c r="Q86" s="225">
        <f>VLOOKUP(Inputs!$B86,CF!$L$8:$P$36,CF!P$6,FALSE)</f>
        <v>401.2</v>
      </c>
      <c r="R86" s="64" t="str">
        <f t="shared" si="32"/>
        <v/>
      </c>
    </row>
    <row r="87" spans="1:18">
      <c r="B87" t="s">
        <v>319</v>
      </c>
      <c r="G87" s="225"/>
      <c r="H87" s="225"/>
      <c r="I87" s="225"/>
      <c r="J87" s="225"/>
      <c r="K87" s="225"/>
      <c r="L87" s="225"/>
      <c r="M87" s="225"/>
      <c r="N87" s="225">
        <f>VLOOKUP(Inputs!$B87,CF!$L$8:$P$36,CF!M$6,FALSE)</f>
        <v>796.8</v>
      </c>
      <c r="O87" s="225">
        <f>VLOOKUP(Inputs!$B87,CF!$L$8:$P$36,CF!N$6,FALSE)</f>
        <v>-0.3</v>
      </c>
      <c r="P87" s="225">
        <f>VLOOKUP(Inputs!$B87,CF!$L$8:$P$36,CF!O$6,FALSE)</f>
        <v>-0.3</v>
      </c>
      <c r="Q87" s="225">
        <f>VLOOKUP(Inputs!$B87,CF!$L$8:$P$36,CF!P$6,FALSE)</f>
        <v>302.89999999999998</v>
      </c>
      <c r="R87" s="64">
        <f t="shared" si="32"/>
        <v>-8.4172602341437974E-2</v>
      </c>
    </row>
    <row r="88" spans="1:18">
      <c r="B88" t="s">
        <v>488</v>
      </c>
      <c r="G88" s="225"/>
      <c r="H88" s="225"/>
      <c r="I88" s="225"/>
      <c r="J88" s="225"/>
      <c r="K88" s="225"/>
      <c r="L88" s="225"/>
      <c r="M88" s="225"/>
      <c r="N88" s="225">
        <f>VLOOKUP(Inputs!$B88,CF!$L$8:$P$36,CF!M$6,FALSE)</f>
        <v>28.3</v>
      </c>
      <c r="O88" s="225">
        <f>VLOOKUP(Inputs!$B88,CF!$L$8:$P$36,CF!N$6,FALSE)</f>
        <v>37.700000000000003</v>
      </c>
      <c r="P88" s="225">
        <f>VLOOKUP(Inputs!$B88,CF!$L$8:$P$36,CF!O$6,FALSE)</f>
        <v>61.4</v>
      </c>
      <c r="Q88" s="225">
        <f>VLOOKUP(Inputs!$B88,CF!$L$8:$P$36,CF!P$6,FALSE)</f>
        <v>58.2</v>
      </c>
      <c r="R88" s="64">
        <f t="shared" si="32"/>
        <v>6.7743555852562753E-2</v>
      </c>
    </row>
    <row r="89" spans="1:18">
      <c r="B89" t="s">
        <v>484</v>
      </c>
      <c r="G89" s="225"/>
      <c r="H89" s="225"/>
      <c r="I89" s="225"/>
      <c r="J89" s="225"/>
      <c r="K89" s="225"/>
      <c r="L89" s="225"/>
      <c r="M89" s="225"/>
      <c r="N89" s="225">
        <f>VLOOKUP(Inputs!$B89,CF!$L$8:$P$36,CF!M$6,FALSE)</f>
        <v>0</v>
      </c>
      <c r="O89" s="225">
        <f>VLOOKUP(Inputs!$B89,CF!$L$8:$P$36,CF!N$6,FALSE)</f>
        <v>0</v>
      </c>
      <c r="P89" s="225">
        <f>VLOOKUP(Inputs!$B89,CF!$L$8:$P$36,CF!O$6,FALSE)</f>
        <v>0</v>
      </c>
      <c r="Q89" s="225">
        <f>VLOOKUP(Inputs!$B89,CF!$L$8:$P$36,CF!P$6,FALSE)</f>
        <v>0</v>
      </c>
      <c r="R89" s="64" t="str">
        <f t="shared" si="32"/>
        <v/>
      </c>
    </row>
    <row r="90" spans="1:18">
      <c r="B90" t="s">
        <v>486</v>
      </c>
      <c r="G90" s="225"/>
      <c r="H90" s="225"/>
      <c r="I90" s="225"/>
      <c r="J90" s="225"/>
      <c r="K90" s="225"/>
      <c r="L90" s="225"/>
      <c r="M90" s="225"/>
      <c r="N90" s="225">
        <f>VLOOKUP(Inputs!$B90,CF!$L$8:$P$36,CF!M$6,FALSE)</f>
        <v>3.1</v>
      </c>
      <c r="O90" s="225">
        <f>VLOOKUP(Inputs!$B90,CF!$L$8:$P$36,CF!N$6,FALSE)</f>
        <v>3.9</v>
      </c>
      <c r="P90" s="225">
        <f>VLOOKUP(Inputs!$B90,CF!$L$8:$P$36,CF!O$6,FALSE)</f>
        <v>2.4</v>
      </c>
      <c r="Q90" s="225">
        <f>VLOOKUP(Inputs!$B90,CF!$L$8:$P$36,CF!P$6,FALSE)</f>
        <v>-26.1</v>
      </c>
      <c r="R90" s="64">
        <f t="shared" si="32"/>
        <v>-2.2137137045605044</v>
      </c>
    </row>
    <row r="91" spans="1:18">
      <c r="B91" t="s">
        <v>491</v>
      </c>
      <c r="G91" s="234">
        <f>+G92-G86-G87-G88-G89-G90</f>
        <v>0</v>
      </c>
      <c r="H91" s="234">
        <f t="shared" ref="H91:Q91" si="36">+H92-H86-H87-H88-H89-H90</f>
        <v>0</v>
      </c>
      <c r="I91" s="234">
        <f t="shared" si="36"/>
        <v>0</v>
      </c>
      <c r="J91" s="234">
        <f t="shared" si="36"/>
        <v>0</v>
      </c>
      <c r="K91" s="234">
        <f t="shared" si="36"/>
        <v>0</v>
      </c>
      <c r="L91" s="234">
        <f t="shared" si="36"/>
        <v>0</v>
      </c>
      <c r="M91" s="234">
        <f t="shared" si="36"/>
        <v>0</v>
      </c>
      <c r="N91" s="234" t="e">
        <f t="shared" si="36"/>
        <v>#VALUE!</v>
      </c>
      <c r="O91" s="234">
        <f t="shared" si="36"/>
        <v>-128.30000000000001</v>
      </c>
      <c r="P91" s="234">
        <f t="shared" si="36"/>
        <v>-153.30000000000001</v>
      </c>
      <c r="Q91" s="234">
        <f t="shared" si="36"/>
        <v>-736.19999999999993</v>
      </c>
      <c r="R91" s="64" t="str">
        <f t="shared" si="32"/>
        <v/>
      </c>
    </row>
    <row r="92" spans="1:18" s="1" customFormat="1">
      <c r="B92" s="265" t="s">
        <v>320</v>
      </c>
      <c r="C92" s="265"/>
      <c r="D92" s="265"/>
      <c r="E92" s="265"/>
      <c r="F92" s="629"/>
      <c r="G92" s="270"/>
      <c r="H92" s="270"/>
      <c r="I92" s="270"/>
      <c r="J92" s="270"/>
      <c r="K92" s="270"/>
      <c r="L92" s="270"/>
      <c r="M92" s="270"/>
      <c r="N92" s="270"/>
      <c r="O92" s="270"/>
      <c r="P92" s="270"/>
      <c r="Q92" s="270"/>
      <c r="R92" s="267" t="str">
        <f t="shared" si="32"/>
        <v/>
      </c>
    </row>
    <row r="93" spans="1:18" s="1" customFormat="1" ht="14.45" thickBot="1">
      <c r="B93" s="271" t="s">
        <v>572</v>
      </c>
      <c r="C93" s="268"/>
      <c r="D93" s="268"/>
      <c r="E93" s="268"/>
      <c r="F93" s="631"/>
      <c r="G93" s="272"/>
      <c r="H93" s="272"/>
      <c r="I93" s="272"/>
      <c r="J93" s="272"/>
      <c r="K93" s="272"/>
      <c r="L93" s="272"/>
      <c r="M93" s="272"/>
      <c r="N93" s="266">
        <f>VLOOKUP(Inputs!$B93,CF!$L$8:$P$36,CF!M$6,FALSE)</f>
        <v>2.1</v>
      </c>
      <c r="O93" s="266">
        <f>VLOOKUP(Inputs!$B93,CF!$L$8:$P$36,CF!N$6,FALSE)</f>
        <v>4.4000000000000004</v>
      </c>
      <c r="P93" s="266">
        <f>VLOOKUP(Inputs!$B93,CF!$L$8:$P$36,CF!O$6,FALSE)</f>
        <v>0</v>
      </c>
      <c r="Q93" s="266">
        <f>VLOOKUP(Inputs!$B93,CF!$L$8:$P$36,CF!P$6,FALSE)</f>
        <v>-0.6</v>
      </c>
      <c r="R93" s="269">
        <f t="shared" si="32"/>
        <v>-1.8923583025430002</v>
      </c>
    </row>
    <row r="94" spans="1:18" s="1" customFormat="1">
      <c r="B94" s="1" t="s">
        <v>321</v>
      </c>
      <c r="F94"/>
      <c r="G94" s="235"/>
      <c r="H94" s="235"/>
      <c r="I94" s="235"/>
      <c r="J94" s="235"/>
      <c r="K94" s="235"/>
      <c r="L94" s="235"/>
      <c r="M94" s="235"/>
      <c r="N94" s="225">
        <f>VLOOKUP(Inputs!$B94,CF!$L$8:$P$36,CF!M$6,FALSE)</f>
        <v>638.1</v>
      </c>
      <c r="O94" s="225">
        <f>VLOOKUP(Inputs!$B94,CF!$L$8:$P$36,CF!N$6,FALSE)</f>
        <v>-446.2</v>
      </c>
      <c r="P94" s="225">
        <f>VLOOKUP(Inputs!$B94,CF!$L$8:$P$36,CF!O$6,FALSE)</f>
        <v>-79.400000000000006</v>
      </c>
      <c r="Q94" s="225">
        <f>VLOOKUP(Inputs!$B94,CF!$L$8:$P$36,CF!P$6,FALSE)</f>
        <v>108.9</v>
      </c>
      <c r="R94" s="67">
        <f t="shared" si="32"/>
        <v>-0.14848075690916884</v>
      </c>
    </row>
    <row r="95" spans="1:18" ht="14.45">
      <c r="B95" s="89" t="s">
        <v>573</v>
      </c>
    </row>
    <row r="96" spans="1:18" ht="15.6">
      <c r="A96" t="s">
        <v>405</v>
      </c>
      <c r="B96" s="222" t="s">
        <v>574</v>
      </c>
      <c r="C96" s="56"/>
      <c r="D96" s="56"/>
      <c r="E96" s="56"/>
      <c r="F96" s="56"/>
      <c r="G96" s="492">
        <v>42004</v>
      </c>
      <c r="H96" s="492">
        <v>42369</v>
      </c>
      <c r="I96" s="492">
        <v>42735</v>
      </c>
      <c r="J96" s="492">
        <v>43100</v>
      </c>
      <c r="K96" s="492">
        <v>43465</v>
      </c>
      <c r="L96" s="492">
        <v>43830</v>
      </c>
      <c r="M96" s="492">
        <v>44196</v>
      </c>
      <c r="N96" s="492">
        <v>44561</v>
      </c>
      <c r="O96" s="492">
        <v>44926</v>
      </c>
      <c r="P96" s="492">
        <v>45291</v>
      </c>
      <c r="Q96" s="492">
        <v>45657</v>
      </c>
      <c r="R96" s="26"/>
    </row>
    <row r="97" spans="1:18" ht="3.95" customHeight="1">
      <c r="B97" s="229"/>
      <c r="C97" s="229"/>
      <c r="D97" s="229"/>
      <c r="E97" s="229"/>
      <c r="F97" s="229"/>
      <c r="G97" s="230"/>
      <c r="H97" s="230"/>
      <c r="I97" s="230"/>
      <c r="J97" s="230"/>
      <c r="K97" s="230"/>
      <c r="L97" s="230"/>
      <c r="M97" s="230"/>
      <c r="N97" s="230"/>
      <c r="O97" s="230"/>
      <c r="P97" s="230"/>
      <c r="Q97" s="230"/>
      <c r="R97" s="26"/>
    </row>
    <row r="98" spans="1:18">
      <c r="B98" t="s">
        <v>575</v>
      </c>
      <c r="G98" s="261" t="e" cm="1">
        <f t="array" ref="G98">(IFERROR(_xlfn.STOCKHISTORY(#REF!, G96, G96, 0, 0, 1), IFERROR(_xlfn.STOCKHISTORY(#REF!, G96+1, G96+1, 0, 0, 1), _xlfn.STOCKHISTORY(#REF!, G96-2, G96-2, 0, 0, 1))))*_xlfn.XLOOKUP("Basic Weighted Average Shares",$B:$B,G:G)</f>
        <v>#REF!</v>
      </c>
      <c r="H98" s="261" t="e" cm="1">
        <f t="array" ref="H98">(IFERROR(_xlfn.STOCKHISTORY(#REF!, H96, H96, 0, 0, 1), IFERROR(_xlfn.STOCKHISTORY(#REF!, H96+1, H96+1, 0, 0, 1), _xlfn.STOCKHISTORY(#REF!, H96-2, H96-2, 0, 0, 1))))*_xlfn.XLOOKUP("Basic Weighted Average Shares",$B:$B,H:H)</f>
        <v>#REF!</v>
      </c>
      <c r="I98" s="261" t="e" cm="1">
        <f t="array" ref="I98">(IFERROR(_xlfn.STOCKHISTORY(#REF!, I96, I96, 0, 0, 1), IFERROR(_xlfn.STOCKHISTORY(#REF!, I96+1, I96+1, 0, 0, 1), _xlfn.STOCKHISTORY(#REF!, I96-2, I96-2, 0, 0, 1))))*_xlfn.XLOOKUP("Basic Weighted Average Shares",$B:$B,I:I)</f>
        <v>#REF!</v>
      </c>
      <c r="J98" s="261" t="e" cm="1">
        <f t="array" ref="J98">(IFERROR(_xlfn.STOCKHISTORY(#REF!, J96, J96, 0, 0, 1), IFERROR(_xlfn.STOCKHISTORY(#REF!, J96+1, J96+1, 0, 0, 1), _xlfn.STOCKHISTORY(#REF!, J96-2, J96-2, 0, 0, 1))))*_xlfn.XLOOKUP("Basic Weighted Average Shares",$B:$B,J:J)</f>
        <v>#REF!</v>
      </c>
      <c r="K98" s="261" t="e" cm="1">
        <f t="array" ref="K98">(IFERROR(_xlfn.STOCKHISTORY(#REF!, K96, K96, 0, 0, 1), IFERROR(_xlfn.STOCKHISTORY(#REF!, K96+1, K96+1, 0, 0, 1), _xlfn.STOCKHISTORY(#REF!, K96-2, K96-2, 0, 0, 1))))*_xlfn.XLOOKUP("Basic Weighted Average Shares",$B:$B,K:K)</f>
        <v>#REF!</v>
      </c>
      <c r="L98" s="261" t="e" cm="1">
        <f t="array" ref="L98">(IFERROR(_xlfn.STOCKHISTORY(#REF!, L96, L96, 0, 0, 1), IFERROR(_xlfn.STOCKHISTORY(#REF!, L96+1, L96+1, 0, 0, 1), _xlfn.STOCKHISTORY(#REF!, L96-2, L96-2, 0, 0, 1))))*_xlfn.XLOOKUP("Basic Weighted Average Shares",$B:$B,L:L)</f>
        <v>#REF!</v>
      </c>
      <c r="M98" s="261" t="e" cm="1">
        <f t="array" ref="M98">(IFERROR(_xlfn.STOCKHISTORY(#REF!, M96, M96, 0, 0, 1), IFERROR(_xlfn.STOCKHISTORY(#REF!, M96+1, M96+1, 0, 0, 1), _xlfn.STOCKHISTORY(#REF!, M96-2, M96-2, 0, 0, 1))))*_xlfn.XLOOKUP("Basic Weighted Average Shares",$B:$B,M:M)</f>
        <v>#REF!</v>
      </c>
      <c r="N98" s="261" t="e" cm="1">
        <f t="array" ref="N98">(IFERROR(_xlfn.STOCKHISTORY(#REF!, N96, N96, 0, 0, 1), IFERROR(_xlfn.STOCKHISTORY(#REF!, N96+1, N96+1, 0, 0, 1), _xlfn.STOCKHISTORY(#REF!, N96-2, N96-2, 0, 0, 1))))*_xlfn.XLOOKUP("Basic Weighted Average Shares",$B:$B,N:N)</f>
        <v>#REF!</v>
      </c>
      <c r="O98" s="261" t="e" cm="1">
        <f t="array" ref="O98">(IFERROR(_xlfn.STOCKHISTORY(#REF!, O96, O96, 0, 0, 1), IFERROR(_xlfn.STOCKHISTORY(#REF!, O96+1, O96+1, 0, 0, 1), _xlfn.STOCKHISTORY(#REF!, O96-2, O96-2, 0, 0, 1))))*_xlfn.XLOOKUP("Basic Weighted Average Shares",$B:$B,O:O)</f>
        <v>#REF!</v>
      </c>
      <c r="P98" s="261" t="e" cm="1">
        <f t="array" ref="P98">(IFERROR(_xlfn.STOCKHISTORY(#REF!, P96, P96, 0, 0, 1), IFERROR(_xlfn.STOCKHISTORY(#REF!, P96+1, P96+1, 0, 0, 1), _xlfn.STOCKHISTORY(#REF!, P96-2, P96-2, 0, 0, 1))))*_xlfn.XLOOKUP("Basic Weighted Average Shares",$B:$B,P:P)</f>
        <v>#REF!</v>
      </c>
      <c r="Q98" s="261" t="e" cm="1">
        <f t="array" ref="Q98">(IFERROR(_xlfn.STOCKHISTORY(#REF!, Q96, Q96, 0, 0, 1), IFERROR(_xlfn.STOCKHISTORY(#REF!, Q96+1, Q96+1, 0, 0, 1), _xlfn.STOCKHISTORY(#REF!, Q96-2, Q96-2, 0, 0, 1))))*_xlfn.XLOOKUP("Basic Weighted Average Shares",$B:$B,Q:Q)</f>
        <v>#REF!</v>
      </c>
    </row>
    <row r="99" spans="1:18">
      <c r="B99" t="s">
        <v>303</v>
      </c>
      <c r="G99" s="242">
        <f t="shared" ref="G99:Q99" si="37">_xlfn.XLOOKUP("Cash &amp; Cash Equivalents &amp; ST Investments",$B$30:$B$62,G$30:G$62)</f>
        <v>0</v>
      </c>
      <c r="H99" s="242">
        <f t="shared" si="37"/>
        <v>0</v>
      </c>
      <c r="I99" s="242">
        <f t="shared" si="37"/>
        <v>0</v>
      </c>
      <c r="J99" s="242">
        <f t="shared" si="37"/>
        <v>0</v>
      </c>
      <c r="K99" s="242">
        <f t="shared" si="37"/>
        <v>0</v>
      </c>
      <c r="L99" s="242">
        <f t="shared" si="37"/>
        <v>0</v>
      </c>
      <c r="M99" s="242">
        <f t="shared" si="37"/>
        <v>0</v>
      </c>
      <c r="N99" s="242">
        <f t="shared" si="37"/>
        <v>691</v>
      </c>
      <c r="O99" s="242">
        <f t="shared" si="37"/>
        <v>471.8</v>
      </c>
      <c r="P99" s="242">
        <f t="shared" si="37"/>
        <v>244.8</v>
      </c>
      <c r="Q99" s="242">
        <f t="shared" si="37"/>
        <v>418.9</v>
      </c>
    </row>
    <row r="100" spans="1:18">
      <c r="B100" t="s">
        <v>313</v>
      </c>
      <c r="G100" s="242">
        <f t="shared" ref="G100:Q100" si="38">(_xlfn.XLOOKUP("Short-Term Debt",$B$30:$B$62,G$30:G$62)+_xlfn.XLOOKUP("Long-Term Debt",$B$30:$B$62,G$30:G$62))</f>
        <v>0</v>
      </c>
      <c r="H100" s="242">
        <f t="shared" si="38"/>
        <v>0</v>
      </c>
      <c r="I100" s="242">
        <f t="shared" si="38"/>
        <v>0</v>
      </c>
      <c r="J100" s="242">
        <f t="shared" si="38"/>
        <v>0</v>
      </c>
      <c r="K100" s="242">
        <f t="shared" si="38"/>
        <v>0</v>
      </c>
      <c r="L100" s="242">
        <f t="shared" si="38"/>
        <v>0</v>
      </c>
      <c r="M100" s="242">
        <f t="shared" si="38"/>
        <v>0</v>
      </c>
      <c r="N100" s="242">
        <f t="shared" si="38"/>
        <v>128.4</v>
      </c>
      <c r="O100" s="242">
        <f t="shared" si="38"/>
        <v>124.7</v>
      </c>
      <c r="P100" s="242">
        <f t="shared" si="38"/>
        <v>151.20000000000002</v>
      </c>
      <c r="Q100" s="242">
        <f t="shared" si="38"/>
        <v>459.59999999999997</v>
      </c>
    </row>
    <row r="101" spans="1:18">
      <c r="B101" t="s">
        <v>576</v>
      </c>
      <c r="G101" s="243"/>
      <c r="H101" s="243"/>
      <c r="I101" s="243"/>
      <c r="J101" s="243"/>
      <c r="K101" s="243"/>
      <c r="L101" s="243"/>
      <c r="M101" s="243"/>
      <c r="N101" s="243"/>
      <c r="O101" s="243"/>
      <c r="P101" s="243"/>
      <c r="Q101" s="243"/>
    </row>
    <row r="102" spans="1:18">
      <c r="B102" t="s">
        <v>562</v>
      </c>
      <c r="G102" s="26">
        <f t="shared" ref="G102:Q102" si="39">_xlfn.XLOOKUP("Non-Controlling Interest",$B$30:$B$62,G$30:G$62)</f>
        <v>0</v>
      </c>
      <c r="H102" s="26">
        <f t="shared" si="39"/>
        <v>0</v>
      </c>
      <c r="I102" s="26">
        <f t="shared" si="39"/>
        <v>0</v>
      </c>
      <c r="J102" s="26">
        <f t="shared" si="39"/>
        <v>0</v>
      </c>
      <c r="K102" s="26">
        <f t="shared" si="39"/>
        <v>0</v>
      </c>
      <c r="L102" s="26">
        <f t="shared" si="39"/>
        <v>0</v>
      </c>
      <c r="M102" s="26">
        <f t="shared" si="39"/>
        <v>0</v>
      </c>
      <c r="N102" s="26">
        <f t="shared" si="39"/>
        <v>0</v>
      </c>
      <c r="O102" s="26">
        <f t="shared" si="39"/>
        <v>0</v>
      </c>
      <c r="P102" s="26">
        <f t="shared" si="39"/>
        <v>0</v>
      </c>
      <c r="Q102" s="26">
        <f t="shared" si="39"/>
        <v>0</v>
      </c>
    </row>
    <row r="103" spans="1:18">
      <c r="B103" t="s">
        <v>502</v>
      </c>
      <c r="G103" s="244" t="e">
        <f t="shared" ref="G103:M103" si="40">+G98-G99+G100+G101+G102</f>
        <v>#REF!</v>
      </c>
      <c r="H103" s="244" t="e">
        <f t="shared" si="40"/>
        <v>#REF!</v>
      </c>
      <c r="I103" s="244" t="e">
        <f t="shared" si="40"/>
        <v>#REF!</v>
      </c>
      <c r="J103" s="244" t="e">
        <f t="shared" si="40"/>
        <v>#REF!</v>
      </c>
      <c r="K103" s="244" t="e">
        <f t="shared" si="40"/>
        <v>#REF!</v>
      </c>
      <c r="L103" s="244" t="e">
        <f t="shared" si="40"/>
        <v>#REF!</v>
      </c>
      <c r="M103" s="244" t="e">
        <f t="shared" si="40"/>
        <v>#REF!</v>
      </c>
      <c r="N103" s="244" t="e">
        <f>+N98-N99+N100+N101+N102</f>
        <v>#REF!</v>
      </c>
      <c r="O103" s="244" t="e">
        <f t="shared" ref="O103:Q103" si="41">+O98-O99+O100+O101+O102</f>
        <v>#REF!</v>
      </c>
      <c r="P103" s="244" t="e">
        <f t="shared" si="41"/>
        <v>#REF!</v>
      </c>
      <c r="Q103" s="244" t="e">
        <f t="shared" si="41"/>
        <v>#REF!</v>
      </c>
    </row>
    <row r="104" spans="1:18" ht="5.25" customHeight="1"/>
    <row r="105" spans="1:18" ht="15.6">
      <c r="A105" t="s">
        <v>405</v>
      </c>
      <c r="B105" s="52" t="s">
        <v>99</v>
      </c>
      <c r="C105" s="56"/>
      <c r="D105" s="56"/>
      <c r="E105" s="56"/>
      <c r="F105" s="56"/>
      <c r="G105" s="245" t="s">
        <v>577</v>
      </c>
      <c r="H105" s="223">
        <v>2025</v>
      </c>
      <c r="I105" s="223">
        <f>+H105+1</f>
        <v>2026</v>
      </c>
      <c r="J105" s="223">
        <f t="shared" ref="J105:Q105" si="42">+I105+1</f>
        <v>2027</v>
      </c>
      <c r="K105" s="223">
        <f t="shared" si="42"/>
        <v>2028</v>
      </c>
      <c r="L105" s="223">
        <f t="shared" si="42"/>
        <v>2029</v>
      </c>
      <c r="M105" s="223">
        <f t="shared" si="42"/>
        <v>2030</v>
      </c>
      <c r="N105" s="223">
        <f t="shared" si="42"/>
        <v>2031</v>
      </c>
      <c r="O105" s="223">
        <f t="shared" si="42"/>
        <v>2032</v>
      </c>
      <c r="P105" s="223">
        <f t="shared" si="42"/>
        <v>2033</v>
      </c>
      <c r="Q105" s="745">
        <f t="shared" si="42"/>
        <v>2034</v>
      </c>
    </row>
    <row r="106" spans="1:18" ht="3.95" customHeight="1">
      <c r="B106" s="229"/>
      <c r="C106" s="229"/>
      <c r="D106" s="229"/>
      <c r="E106" s="229"/>
      <c r="F106" s="229"/>
      <c r="G106" s="230"/>
      <c r="H106" s="230"/>
      <c r="I106" s="230"/>
      <c r="J106" s="230"/>
      <c r="K106" s="230"/>
      <c r="L106" s="230"/>
      <c r="M106" s="230"/>
      <c r="N106" s="230"/>
      <c r="O106" s="230"/>
      <c r="P106" s="230"/>
      <c r="Q106" s="230"/>
    </row>
    <row r="107" spans="1:18">
      <c r="B107" t="s">
        <v>578</v>
      </c>
      <c r="G107"/>
      <c r="H107" s="243"/>
      <c r="I107" s="243"/>
      <c r="J107" s="243"/>
      <c r="K107" s="243"/>
      <c r="L107" s="243">
        <v>355</v>
      </c>
      <c r="M107" s="243"/>
      <c r="N107" s="243"/>
      <c r="O107" s="243"/>
      <c r="P107" s="243"/>
      <c r="Q107" s="243"/>
    </row>
    <row r="108" spans="1:18">
      <c r="B108" t="s">
        <v>579</v>
      </c>
      <c r="G108"/>
      <c r="H108" s="243"/>
      <c r="I108" s="243"/>
      <c r="J108" s="243"/>
      <c r="K108" s="243"/>
      <c r="L108" s="243"/>
      <c r="M108" s="243"/>
      <c r="N108" s="243"/>
      <c r="O108" s="243"/>
      <c r="P108" s="243"/>
      <c r="Q108" s="243"/>
    </row>
    <row r="109" spans="1:18" ht="3.75" customHeight="1"/>
    <row r="110" spans="1:18" ht="15.6">
      <c r="A110" t="s">
        <v>405</v>
      </c>
      <c r="B110" s="52" t="s">
        <v>580</v>
      </c>
      <c r="C110" s="56"/>
      <c r="D110" s="56"/>
      <c r="E110" s="56"/>
      <c r="F110" s="56"/>
      <c r="G110" s="223">
        <v>2014</v>
      </c>
      <c r="H110" s="223">
        <f>+G110+1</f>
        <v>2015</v>
      </c>
      <c r="I110" s="223">
        <f t="shared" ref="I110" si="43">+H110+1</f>
        <v>2016</v>
      </c>
      <c r="J110" s="223">
        <f t="shared" ref="J110" si="44">+I110+1</f>
        <v>2017</v>
      </c>
      <c r="K110" s="223">
        <f t="shared" ref="K110" si="45">+J110+1</f>
        <v>2018</v>
      </c>
      <c r="L110" s="223">
        <f t="shared" ref="L110" si="46">+K110+1</f>
        <v>2019</v>
      </c>
      <c r="M110" s="223">
        <f t="shared" ref="M110" si="47">+L110+1</f>
        <v>2020</v>
      </c>
      <c r="N110" s="223">
        <f>+M110+1</f>
        <v>2021</v>
      </c>
      <c r="O110" s="223">
        <f>+N110+1</f>
        <v>2022</v>
      </c>
      <c r="P110" s="223">
        <f t="shared" ref="P110" si="48">+O110+1</f>
        <v>2023</v>
      </c>
      <c r="Q110" s="223">
        <f>+P110+1</f>
        <v>2024</v>
      </c>
      <c r="R110" s="58" t="str">
        <f>"CAGR "&amp;$G$4&amp;" - "&amp;$Q$4</f>
        <v>CAGR 2014 - 2024</v>
      </c>
    </row>
    <row r="111" spans="1:18" ht="5.25" customHeight="1">
      <c r="B111" s="229"/>
      <c r="C111" s="229"/>
      <c r="D111" s="229"/>
      <c r="E111" s="229"/>
      <c r="F111" s="229"/>
      <c r="G111" s="230"/>
      <c r="H111" s="230"/>
      <c r="I111" s="230"/>
      <c r="J111" s="230"/>
      <c r="K111" s="230"/>
      <c r="L111" s="230"/>
      <c r="M111" s="230"/>
      <c r="N111" s="230"/>
      <c r="O111" s="230"/>
      <c r="P111" s="230"/>
      <c r="Q111" s="230"/>
      <c r="R111" s="60"/>
    </row>
    <row r="112" spans="1:18">
      <c r="B112" t="s">
        <v>313</v>
      </c>
      <c r="G112" s="241">
        <f t="shared" ref="G112:Q112" si="49">IFERROR(SUM(G55+G50),"")</f>
        <v>0</v>
      </c>
      <c r="H112" s="241">
        <f t="shared" si="49"/>
        <v>0</v>
      </c>
      <c r="I112" s="241">
        <f t="shared" si="49"/>
        <v>0</v>
      </c>
      <c r="J112" s="241">
        <f t="shared" si="49"/>
        <v>0</v>
      </c>
      <c r="K112" s="241">
        <f t="shared" si="49"/>
        <v>0</v>
      </c>
      <c r="L112" s="241">
        <f t="shared" si="49"/>
        <v>0</v>
      </c>
      <c r="M112" s="241">
        <f t="shared" si="49"/>
        <v>0</v>
      </c>
      <c r="N112" s="241">
        <f t="shared" si="49"/>
        <v>128.4</v>
      </c>
      <c r="O112" s="241">
        <f t="shared" si="49"/>
        <v>124.7</v>
      </c>
      <c r="P112" s="241">
        <f t="shared" si="49"/>
        <v>151.20000000000002</v>
      </c>
      <c r="Q112" s="241">
        <f t="shared" si="49"/>
        <v>459.59999999999997</v>
      </c>
      <c r="R112" s="64">
        <f t="shared" ref="R112:R120" si="50">IFERROR((Q112/N112)^(1/COUNT($G$4:$Q$4))-1,"")</f>
        <v>0.12291483096902667</v>
      </c>
    </row>
    <row r="113" spans="2:18">
      <c r="B113" t="s">
        <v>471</v>
      </c>
      <c r="G113" s="241">
        <f t="shared" ref="G113:Q113" si="51">IFERROR(SUM(G51,G56),"")</f>
        <v>0</v>
      </c>
      <c r="H113" s="241">
        <f t="shared" si="51"/>
        <v>0</v>
      </c>
      <c r="I113" s="241">
        <f t="shared" si="51"/>
        <v>0</v>
      </c>
      <c r="J113" s="241">
        <f t="shared" si="51"/>
        <v>0</v>
      </c>
      <c r="K113" s="241">
        <f t="shared" si="51"/>
        <v>0</v>
      </c>
      <c r="L113" s="241">
        <f t="shared" si="51"/>
        <v>0</v>
      </c>
      <c r="M113" s="241">
        <f t="shared" si="51"/>
        <v>0</v>
      </c>
      <c r="N113" s="241">
        <f t="shared" si="51"/>
        <v>100.1</v>
      </c>
      <c r="O113" s="241">
        <f t="shared" si="51"/>
        <v>87</v>
      </c>
      <c r="P113" s="241">
        <f t="shared" si="51"/>
        <v>89.8</v>
      </c>
      <c r="Q113" s="241">
        <f t="shared" si="51"/>
        <v>401.2</v>
      </c>
      <c r="R113" s="64">
        <f t="shared" si="50"/>
        <v>0.13451836792556215</v>
      </c>
    </row>
    <row r="114" spans="2:18">
      <c r="B114" t="s">
        <v>472</v>
      </c>
      <c r="G114" s="241">
        <f t="shared" ref="G114:Q114" si="52">IFERROR(SUM(G52,G57),"")</f>
        <v>0</v>
      </c>
      <c r="H114" s="241">
        <f t="shared" si="52"/>
        <v>0</v>
      </c>
      <c r="I114" s="241">
        <f t="shared" si="52"/>
        <v>0</v>
      </c>
      <c r="J114" s="241">
        <f t="shared" si="52"/>
        <v>0</v>
      </c>
      <c r="K114" s="241">
        <f t="shared" si="52"/>
        <v>0</v>
      </c>
      <c r="L114" s="241">
        <f t="shared" si="52"/>
        <v>0</v>
      </c>
      <c r="M114" s="241">
        <f t="shared" si="52"/>
        <v>0</v>
      </c>
      <c r="N114" s="241">
        <f t="shared" si="52"/>
        <v>28.3</v>
      </c>
      <c r="O114" s="241">
        <f t="shared" si="52"/>
        <v>37.700000000000003</v>
      </c>
      <c r="P114" s="241">
        <f t="shared" si="52"/>
        <v>61.4</v>
      </c>
      <c r="Q114" s="241">
        <f t="shared" si="52"/>
        <v>58.4</v>
      </c>
      <c r="R114" s="64">
        <f t="shared" si="50"/>
        <v>6.8076601577613083E-2</v>
      </c>
    </row>
    <row r="115" spans="2:18">
      <c r="B115" t="s">
        <v>581</v>
      </c>
      <c r="G115" s="241">
        <f t="shared" ref="G115:Q115" si="53">+G112-G32</f>
        <v>0</v>
      </c>
      <c r="H115" s="241">
        <f t="shared" si="53"/>
        <v>0</v>
      </c>
      <c r="I115" s="241">
        <f t="shared" si="53"/>
        <v>0</v>
      </c>
      <c r="J115" s="241">
        <f t="shared" si="53"/>
        <v>0</v>
      </c>
      <c r="K115" s="241">
        <f t="shared" si="53"/>
        <v>0</v>
      </c>
      <c r="L115" s="241">
        <f t="shared" si="53"/>
        <v>0</v>
      </c>
      <c r="M115" s="241">
        <f t="shared" si="53"/>
        <v>0</v>
      </c>
      <c r="N115" s="241">
        <f t="shared" si="53"/>
        <v>-562.6</v>
      </c>
      <c r="O115" s="241">
        <f t="shared" si="53"/>
        <v>-347.1</v>
      </c>
      <c r="P115" s="241">
        <f t="shared" si="53"/>
        <v>-93.6</v>
      </c>
      <c r="Q115" s="241">
        <f t="shared" si="53"/>
        <v>40.699999999999989</v>
      </c>
      <c r="R115" s="64">
        <f t="shared" si="50"/>
        <v>-1.7876052590935227</v>
      </c>
    </row>
    <row r="116" spans="2:18">
      <c r="B116" t="s">
        <v>582</v>
      </c>
      <c r="G116" s="256" t="str">
        <f t="shared" ref="G116:Q116" si="54">IFERROR(G23/G22,"")</f>
        <v/>
      </c>
      <c r="H116" s="256" t="str">
        <f t="shared" si="54"/>
        <v/>
      </c>
      <c r="I116" s="256" t="str">
        <f t="shared" si="54"/>
        <v/>
      </c>
      <c r="J116" s="256" t="str">
        <f t="shared" si="54"/>
        <v/>
      </c>
      <c r="K116" s="256" t="str">
        <f t="shared" si="54"/>
        <v/>
      </c>
      <c r="L116" s="256" t="str">
        <f t="shared" si="54"/>
        <v/>
      </c>
      <c r="M116" s="256" t="str">
        <f t="shared" si="54"/>
        <v/>
      </c>
      <c r="N116" s="256">
        <f t="shared" si="54"/>
        <v>6.5737575598211959E-2</v>
      </c>
      <c r="O116" s="256">
        <f t="shared" si="54"/>
        <v>-2.899391127863149E-2</v>
      </c>
      <c r="P116" s="256">
        <f t="shared" si="54"/>
        <v>-2.4584717607973424E-2</v>
      </c>
      <c r="Q116" s="256">
        <f t="shared" si="54"/>
        <v>-5.3358233842459813E-3</v>
      </c>
      <c r="R116" s="64">
        <f t="shared" si="50"/>
        <v>-1.7958907054703022</v>
      </c>
    </row>
    <row r="117" spans="2:18">
      <c r="B117" t="s">
        <v>422</v>
      </c>
      <c r="G117" s="261" t="str">
        <f t="shared" ref="G117:Q117" si="55">IFERROR(G16*(1-G116),"")</f>
        <v/>
      </c>
      <c r="H117" s="261" t="str">
        <f t="shared" si="55"/>
        <v/>
      </c>
      <c r="I117" s="261" t="str">
        <f t="shared" si="55"/>
        <v/>
      </c>
      <c r="J117" s="261" t="str">
        <f t="shared" si="55"/>
        <v/>
      </c>
      <c r="K117" s="261" t="str">
        <f t="shared" si="55"/>
        <v/>
      </c>
      <c r="L117" s="261" t="str">
        <f t="shared" si="55"/>
        <v/>
      </c>
      <c r="M117" s="261" t="str">
        <f t="shared" si="55"/>
        <v/>
      </c>
      <c r="N117" s="261">
        <f t="shared" si="55"/>
        <v>-85.288816723639229</v>
      </c>
      <c r="O117" s="261">
        <f t="shared" si="55"/>
        <v>-108.83668599594084</v>
      </c>
      <c r="P117" s="261">
        <f t="shared" si="55"/>
        <v>-153.17541528239204</v>
      </c>
      <c r="Q117" s="261">
        <f t="shared" si="55"/>
        <v>-151.03160074701529</v>
      </c>
      <c r="R117" s="64">
        <f t="shared" si="50"/>
        <v>5.3322668146245977E-2</v>
      </c>
    </row>
    <row r="118" spans="2:18">
      <c r="B118" t="s">
        <v>457</v>
      </c>
      <c r="G118" s="493" t="str">
        <f>IFERROR(G35/G6*365,"")</f>
        <v/>
      </c>
      <c r="H118" s="493" t="str">
        <f t="shared" ref="H118:Q118" si="56">IFERROR(H35/H6*365,"")</f>
        <v/>
      </c>
      <c r="I118" s="493" t="str">
        <f t="shared" si="56"/>
        <v/>
      </c>
      <c r="J118" s="493" t="str">
        <f t="shared" si="56"/>
        <v/>
      </c>
      <c r="K118" s="493" t="str">
        <f t="shared" si="56"/>
        <v/>
      </c>
      <c r="L118" s="493" t="str">
        <f t="shared" si="56"/>
        <v/>
      </c>
      <c r="M118" s="493" t="str">
        <f t="shared" si="56"/>
        <v/>
      </c>
      <c r="N118" s="493">
        <f t="shared" si="56"/>
        <v>82.154340836012864</v>
      </c>
      <c r="O118" s="493">
        <f t="shared" si="56"/>
        <v>63.312796208530813</v>
      </c>
      <c r="P118" s="493">
        <f t="shared" si="56"/>
        <v>52.526573998364682</v>
      </c>
      <c r="Q118" s="493">
        <f t="shared" si="56"/>
        <v>30.458505272810637</v>
      </c>
      <c r="R118" s="64">
        <f t="shared" si="50"/>
        <v>-8.6254440971649027E-2</v>
      </c>
    </row>
    <row r="119" spans="2:18">
      <c r="B119" t="s">
        <v>459</v>
      </c>
      <c r="G119" s="493" t="str">
        <f>IFERROR(G36/G7*365,"")</f>
        <v/>
      </c>
      <c r="H119" s="493" t="str">
        <f t="shared" ref="H119:Q119" si="57">IFERROR(H36/H7*365,"")</f>
        <v/>
      </c>
      <c r="I119" s="493" t="str">
        <f t="shared" si="57"/>
        <v/>
      </c>
      <c r="J119" s="493" t="str">
        <f t="shared" si="57"/>
        <v/>
      </c>
      <c r="K119" s="493" t="str">
        <f t="shared" si="57"/>
        <v/>
      </c>
      <c r="L119" s="493" t="str">
        <f t="shared" si="57"/>
        <v/>
      </c>
      <c r="M119" s="493" t="str">
        <f t="shared" si="57"/>
        <v/>
      </c>
      <c r="N119" s="493">
        <f t="shared" si="57"/>
        <v>272.75351014040564</v>
      </c>
      <c r="O119" s="493">
        <f t="shared" si="57"/>
        <v>175.46614583333331</v>
      </c>
      <c r="P119" s="493">
        <f t="shared" si="57"/>
        <v>203.84834368530025</v>
      </c>
      <c r="Q119" s="493">
        <f t="shared" si="57"/>
        <v>135.80599812558575</v>
      </c>
      <c r="R119" s="64">
        <f t="shared" si="50"/>
        <v>-6.142700392407463E-2</v>
      </c>
    </row>
    <row r="120" spans="2:18">
      <c r="B120" t="s">
        <v>468</v>
      </c>
      <c r="G120" s="493" t="str">
        <f>IFERROR(G49/G6*365,"")</f>
        <v/>
      </c>
      <c r="H120" s="493" t="str">
        <f t="shared" ref="H120:Q120" si="58">IFERROR(H49/H6*365,"")</f>
        <v/>
      </c>
      <c r="I120" s="493" t="str">
        <f t="shared" si="58"/>
        <v/>
      </c>
      <c r="J120" s="493" t="str">
        <f t="shared" si="58"/>
        <v/>
      </c>
      <c r="K120" s="493" t="str">
        <f t="shared" si="58"/>
        <v/>
      </c>
      <c r="L120" s="493" t="str">
        <f t="shared" si="58"/>
        <v/>
      </c>
      <c r="M120" s="493" t="str">
        <f t="shared" si="58"/>
        <v/>
      </c>
      <c r="N120" s="493">
        <f t="shared" si="58"/>
        <v>85.088424437299039</v>
      </c>
      <c r="O120" s="493">
        <f t="shared" si="58"/>
        <v>35.981042654028435</v>
      </c>
      <c r="P120" s="493">
        <f t="shared" si="58"/>
        <v>52.078904333605884</v>
      </c>
      <c r="Q120" s="493">
        <f t="shared" si="58"/>
        <v>60.665978908757452</v>
      </c>
      <c r="R120" s="64">
        <f t="shared" si="50"/>
        <v>-3.0287135627662276E-2</v>
      </c>
    </row>
    <row r="123" spans="2:18">
      <c r="O123"/>
    </row>
    <row r="124" spans="2:18">
      <c r="C124" s="594"/>
    </row>
    <row r="125" spans="2:18">
      <c r="C125" s="594"/>
    </row>
    <row r="126" spans="2:18">
      <c r="C126" s="594"/>
    </row>
    <row r="127" spans="2:18">
      <c r="C127" s="594"/>
    </row>
    <row r="128" spans="2:18">
      <c r="C128" s="594"/>
    </row>
    <row r="129" spans="3:3">
      <c r="C129" s="594"/>
    </row>
    <row r="130" spans="3:3">
      <c r="C130" s="594"/>
    </row>
    <row r="131" spans="3:3">
      <c r="C131" s="594"/>
    </row>
    <row r="132" spans="3:3">
      <c r="C132" s="594"/>
    </row>
    <row r="133" spans="3:3">
      <c r="C133" s="594"/>
    </row>
    <row r="134" spans="3:3">
      <c r="C134" s="594"/>
    </row>
    <row r="135" spans="3:3">
      <c r="C135" s="594"/>
    </row>
    <row r="136" spans="3:3">
      <c r="C136" s="594"/>
    </row>
    <row r="137" spans="3:3">
      <c r="C137" s="594"/>
    </row>
    <row r="138" spans="3:3">
      <c r="C138" s="594"/>
    </row>
    <row r="139" spans="3:3">
      <c r="C139" s="594"/>
    </row>
    <row r="140" spans="3:3">
      <c r="C140" s="594"/>
    </row>
    <row r="141" spans="3:3">
      <c r="C141" s="594"/>
    </row>
    <row r="142" spans="3:3">
      <c r="C142" s="594"/>
    </row>
    <row r="143" spans="3:3">
      <c r="C143" s="594"/>
    </row>
    <row r="144" spans="3:3">
      <c r="C144" s="594"/>
    </row>
    <row r="145" spans="3:3">
      <c r="C145" s="594"/>
    </row>
    <row r="146" spans="3:3">
      <c r="C146" s="594"/>
    </row>
    <row r="147" spans="3:3">
      <c r="C147" s="594"/>
    </row>
    <row r="148" spans="3:3">
      <c r="C148" s="594"/>
    </row>
    <row r="149" spans="3:3">
      <c r="C149" s="594"/>
    </row>
    <row r="150" spans="3:3">
      <c r="C150" s="594"/>
    </row>
    <row r="151" spans="3:3">
      <c r="C151" s="594"/>
    </row>
    <row r="152" spans="3:3">
      <c r="C152" s="594"/>
    </row>
    <row r="153" spans="3:3">
      <c r="C153" s="594"/>
    </row>
    <row r="154" spans="3:3">
      <c r="C154" s="594"/>
    </row>
    <row r="155" spans="3:3">
      <c r="C155" s="594"/>
    </row>
    <row r="156" spans="3:3">
      <c r="C156" s="594"/>
    </row>
    <row r="157" spans="3:3">
      <c r="C157" s="594"/>
    </row>
    <row r="158" spans="3:3">
      <c r="C158" s="594"/>
    </row>
    <row r="159" spans="3:3">
      <c r="C159" s="594"/>
    </row>
    <row r="160" spans="3:3">
      <c r="C160" s="594"/>
    </row>
    <row r="161" spans="3:3">
      <c r="C161" s="594"/>
    </row>
    <row r="162" spans="3:3">
      <c r="C162" s="594"/>
    </row>
    <row r="163" spans="3:3">
      <c r="C163" s="594"/>
    </row>
    <row r="164" spans="3:3">
      <c r="C164" s="594"/>
    </row>
    <row r="165" spans="3:3">
      <c r="C165" s="594"/>
    </row>
    <row r="166" spans="3:3">
      <c r="C166" s="594"/>
    </row>
    <row r="167" spans="3:3">
      <c r="C167" s="594"/>
    </row>
    <row r="168" spans="3:3">
      <c r="C168" s="594"/>
    </row>
    <row r="169" spans="3:3">
      <c r="C169" s="594"/>
    </row>
    <row r="170" spans="3:3">
      <c r="C170" s="594"/>
    </row>
    <row r="171" spans="3:3">
      <c r="C171" s="594"/>
    </row>
    <row r="172" spans="3:3">
      <c r="C172" s="594"/>
    </row>
    <row r="173" spans="3:3">
      <c r="C173" s="594"/>
    </row>
    <row r="174" spans="3:3">
      <c r="C174" s="594"/>
    </row>
    <row r="175" spans="3:3">
      <c r="C175" s="594"/>
    </row>
    <row r="176" spans="3:3">
      <c r="C176" s="594"/>
    </row>
    <row r="177" spans="3:3">
      <c r="C177" s="594"/>
    </row>
    <row r="178" spans="3:3">
      <c r="C178" s="594"/>
    </row>
    <row r="179" spans="3:3">
      <c r="C179" s="594"/>
    </row>
    <row r="180" spans="3:3">
      <c r="C180" s="594"/>
    </row>
    <row r="181" spans="3:3">
      <c r="C181" s="594"/>
    </row>
    <row r="182" spans="3:3">
      <c r="C182" s="594"/>
    </row>
    <row r="183" spans="3:3">
      <c r="C183" s="594"/>
    </row>
    <row r="184" spans="3:3">
      <c r="C184" s="594"/>
    </row>
    <row r="185" spans="3:3">
      <c r="C185" s="594"/>
    </row>
    <row r="186" spans="3:3">
      <c r="C186" s="594"/>
    </row>
    <row r="187" spans="3:3">
      <c r="C187" s="594"/>
    </row>
    <row r="188" spans="3:3">
      <c r="C188" s="594"/>
    </row>
    <row r="189" spans="3:3">
      <c r="C189" s="594"/>
    </row>
    <row r="190" spans="3:3">
      <c r="C190" s="594"/>
    </row>
    <row r="191" spans="3:3">
      <c r="C191" s="594"/>
    </row>
    <row r="192" spans="3:3">
      <c r="C192" s="594"/>
    </row>
    <row r="193" spans="3:3">
      <c r="C193" s="594"/>
    </row>
    <row r="194" spans="3:3">
      <c r="C194" s="594"/>
    </row>
    <row r="195" spans="3:3">
      <c r="C195" s="594"/>
    </row>
    <row r="196" spans="3:3">
      <c r="C196" s="594"/>
    </row>
    <row r="197" spans="3:3">
      <c r="C197" s="594"/>
    </row>
    <row r="198" spans="3:3">
      <c r="C198" s="594"/>
    </row>
    <row r="199" spans="3:3">
      <c r="C199" s="594"/>
    </row>
    <row r="200" spans="3:3">
      <c r="C200" s="594"/>
    </row>
    <row r="201" spans="3:3">
      <c r="C201" s="594"/>
    </row>
    <row r="202" spans="3:3">
      <c r="C202" s="594"/>
    </row>
    <row r="203" spans="3:3">
      <c r="C203" s="594"/>
    </row>
    <row r="204" spans="3:3">
      <c r="C204" s="594"/>
    </row>
    <row r="205" spans="3:3">
      <c r="C205" s="594"/>
    </row>
    <row r="206" spans="3:3">
      <c r="C206" s="594"/>
    </row>
    <row r="207" spans="3:3">
      <c r="C207" s="594"/>
    </row>
    <row r="208" spans="3:3">
      <c r="C208" s="594"/>
    </row>
    <row r="209" spans="3:3">
      <c r="C209" s="594"/>
    </row>
    <row r="210" spans="3:3">
      <c r="C210" s="594"/>
    </row>
    <row r="211" spans="3:3">
      <c r="C211" s="594"/>
    </row>
    <row r="212" spans="3:3">
      <c r="C212" s="594"/>
    </row>
    <row r="213" spans="3:3">
      <c r="C213" s="594"/>
    </row>
    <row r="214" spans="3:3">
      <c r="C214" s="594"/>
    </row>
    <row r="215" spans="3:3">
      <c r="C215" s="594"/>
    </row>
    <row r="216" spans="3:3">
      <c r="C216" s="594"/>
    </row>
    <row r="217" spans="3:3">
      <c r="C217" s="594"/>
    </row>
    <row r="218" spans="3:3">
      <c r="C218" s="594"/>
    </row>
    <row r="219" spans="3:3">
      <c r="C219" s="594"/>
    </row>
    <row r="220" spans="3:3">
      <c r="C220" s="594"/>
    </row>
    <row r="221" spans="3:3">
      <c r="C221" s="594"/>
    </row>
    <row r="222" spans="3:3">
      <c r="C222" s="594"/>
    </row>
    <row r="223" spans="3:3">
      <c r="C223" s="594"/>
    </row>
    <row r="224" spans="3:3">
      <c r="C224" s="594"/>
    </row>
    <row r="225" spans="3:3">
      <c r="C225" s="594"/>
    </row>
    <row r="226" spans="3:3">
      <c r="C226" s="594"/>
    </row>
    <row r="227" spans="3:3">
      <c r="C227" s="594"/>
    </row>
    <row r="228" spans="3:3">
      <c r="C228" s="594"/>
    </row>
    <row r="229" spans="3:3">
      <c r="C229" s="594"/>
    </row>
    <row r="230" spans="3:3">
      <c r="C230" s="594"/>
    </row>
    <row r="231" spans="3:3">
      <c r="C231" s="594"/>
    </row>
    <row r="232" spans="3:3">
      <c r="C232" s="594"/>
    </row>
    <row r="233" spans="3:3">
      <c r="C233" s="594"/>
    </row>
    <row r="234" spans="3:3">
      <c r="C234" s="594"/>
    </row>
    <row r="235" spans="3:3">
      <c r="C235" s="594"/>
    </row>
    <row r="236" spans="3:3">
      <c r="C236" s="594"/>
    </row>
    <row r="237" spans="3:3">
      <c r="C237" s="594"/>
    </row>
    <row r="238" spans="3:3">
      <c r="C238" s="594"/>
    </row>
    <row r="239" spans="3:3">
      <c r="C239" s="594"/>
    </row>
    <row r="240" spans="3:3">
      <c r="C240" s="594"/>
    </row>
    <row r="241" spans="3:3">
      <c r="C241" s="594"/>
    </row>
    <row r="242" spans="3:3">
      <c r="C242" s="594"/>
    </row>
    <row r="243" spans="3:3">
      <c r="C243" s="594"/>
    </row>
    <row r="244" spans="3:3">
      <c r="C244" s="594"/>
    </row>
    <row r="245" spans="3:3">
      <c r="C245" s="594"/>
    </row>
    <row r="246" spans="3:3">
      <c r="C246" s="594"/>
    </row>
    <row r="247" spans="3:3">
      <c r="C247" s="594"/>
    </row>
    <row r="248" spans="3:3">
      <c r="C248" s="594"/>
    </row>
    <row r="249" spans="3:3">
      <c r="C249" s="594"/>
    </row>
    <row r="250" spans="3:3">
      <c r="C250" s="594"/>
    </row>
    <row r="251" spans="3:3">
      <c r="C251" s="594"/>
    </row>
    <row r="252" spans="3:3">
      <c r="C252" s="594"/>
    </row>
    <row r="253" spans="3:3">
      <c r="C253" s="594"/>
    </row>
    <row r="254" spans="3:3">
      <c r="C254" s="594"/>
    </row>
    <row r="255" spans="3:3">
      <c r="C255" s="594"/>
    </row>
    <row r="256" spans="3:3">
      <c r="C256" s="594"/>
    </row>
    <row r="257" spans="3:3">
      <c r="C257" s="594"/>
    </row>
    <row r="258" spans="3:3">
      <c r="C258" s="594"/>
    </row>
    <row r="259" spans="3:3">
      <c r="C259" s="594"/>
    </row>
    <row r="260" spans="3:3">
      <c r="C260" s="594"/>
    </row>
    <row r="261" spans="3:3">
      <c r="C261" s="594"/>
    </row>
    <row r="262" spans="3:3">
      <c r="C262" s="594"/>
    </row>
    <row r="263" spans="3:3">
      <c r="C263" s="594"/>
    </row>
    <row r="264" spans="3:3">
      <c r="C264" s="594"/>
    </row>
    <row r="265" spans="3:3">
      <c r="C265" s="594"/>
    </row>
    <row r="266" spans="3:3">
      <c r="C266" s="594"/>
    </row>
    <row r="267" spans="3:3">
      <c r="C267" s="594"/>
    </row>
    <row r="268" spans="3:3">
      <c r="C268" s="594"/>
    </row>
    <row r="269" spans="3:3">
      <c r="C269" s="594"/>
    </row>
    <row r="270" spans="3:3">
      <c r="C270" s="594"/>
    </row>
    <row r="271" spans="3:3">
      <c r="C271" s="594"/>
    </row>
    <row r="272" spans="3:3">
      <c r="C272" s="594"/>
    </row>
    <row r="273" spans="3:3">
      <c r="C273" s="594"/>
    </row>
    <row r="274" spans="3:3">
      <c r="C274" s="594"/>
    </row>
    <row r="275" spans="3:3">
      <c r="C275" s="594"/>
    </row>
    <row r="276" spans="3:3">
      <c r="C276" s="594"/>
    </row>
    <row r="277" spans="3:3">
      <c r="C277" s="594"/>
    </row>
    <row r="278" spans="3:3">
      <c r="C278" s="594"/>
    </row>
    <row r="279" spans="3:3">
      <c r="C279" s="594"/>
    </row>
    <row r="280" spans="3:3">
      <c r="C280" s="594"/>
    </row>
    <row r="281" spans="3:3">
      <c r="C281" s="594"/>
    </row>
    <row r="282" spans="3:3">
      <c r="C282" s="594"/>
    </row>
    <row r="283" spans="3:3">
      <c r="C283" s="594"/>
    </row>
    <row r="284" spans="3:3">
      <c r="C284" s="594"/>
    </row>
    <row r="285" spans="3:3">
      <c r="C285" s="594"/>
    </row>
    <row r="286" spans="3:3">
      <c r="C286" s="594"/>
    </row>
    <row r="287" spans="3:3">
      <c r="C287" s="594"/>
    </row>
    <row r="288" spans="3:3">
      <c r="C288" s="594"/>
    </row>
    <row r="289" spans="3:3">
      <c r="C289" s="594"/>
    </row>
    <row r="290" spans="3:3">
      <c r="C290" s="594"/>
    </row>
    <row r="291" spans="3:3">
      <c r="C291" s="594"/>
    </row>
    <row r="292" spans="3:3">
      <c r="C292" s="594"/>
    </row>
    <row r="293" spans="3:3">
      <c r="C293" s="594"/>
    </row>
    <row r="294" spans="3:3">
      <c r="C294" s="594"/>
    </row>
    <row r="295" spans="3:3">
      <c r="C295" s="594"/>
    </row>
    <row r="296" spans="3:3">
      <c r="C296" s="594"/>
    </row>
    <row r="297" spans="3:3">
      <c r="C297" s="594"/>
    </row>
    <row r="298" spans="3:3">
      <c r="C298" s="594"/>
    </row>
    <row r="299" spans="3:3">
      <c r="C299" s="594"/>
    </row>
    <row r="300" spans="3:3">
      <c r="C300" s="594"/>
    </row>
    <row r="301" spans="3:3">
      <c r="C301" s="594"/>
    </row>
    <row r="302" spans="3:3">
      <c r="C302" s="594"/>
    </row>
    <row r="303" spans="3:3">
      <c r="C303" s="594"/>
    </row>
    <row r="304" spans="3:3">
      <c r="C304" s="594"/>
    </row>
    <row r="305" spans="3:3">
      <c r="C305" s="594"/>
    </row>
    <row r="306" spans="3:3">
      <c r="C306" s="594"/>
    </row>
    <row r="307" spans="3:3">
      <c r="C307" s="594"/>
    </row>
    <row r="308" spans="3:3">
      <c r="C308" s="594"/>
    </row>
    <row r="309" spans="3:3">
      <c r="C309" s="594"/>
    </row>
    <row r="310" spans="3:3">
      <c r="C310" s="594"/>
    </row>
    <row r="311" spans="3:3">
      <c r="C311" s="594"/>
    </row>
    <row r="312" spans="3:3">
      <c r="C312" s="594"/>
    </row>
    <row r="313" spans="3:3">
      <c r="C313" s="594"/>
    </row>
    <row r="314" spans="3:3">
      <c r="C314" s="594"/>
    </row>
    <row r="315" spans="3:3">
      <c r="C315" s="594"/>
    </row>
    <row r="316" spans="3:3">
      <c r="C316" s="594"/>
    </row>
    <row r="317" spans="3:3">
      <c r="C317" s="594"/>
    </row>
    <row r="318" spans="3:3">
      <c r="C318" s="594"/>
    </row>
    <row r="319" spans="3:3">
      <c r="C319" s="594"/>
    </row>
    <row r="320" spans="3:3">
      <c r="C320" s="594"/>
    </row>
    <row r="321" spans="3:3">
      <c r="C321" s="594"/>
    </row>
    <row r="322" spans="3:3">
      <c r="C322" s="594"/>
    </row>
    <row r="323" spans="3:3">
      <c r="C323" s="594"/>
    </row>
    <row r="324" spans="3:3">
      <c r="C324" s="594"/>
    </row>
    <row r="325" spans="3:3">
      <c r="C325" s="594"/>
    </row>
    <row r="326" spans="3:3">
      <c r="C326" s="594"/>
    </row>
    <row r="327" spans="3:3">
      <c r="C327" s="594"/>
    </row>
    <row r="328" spans="3:3">
      <c r="C328" s="594"/>
    </row>
    <row r="329" spans="3:3">
      <c r="C329" s="594"/>
    </row>
    <row r="330" spans="3:3">
      <c r="C330" s="594"/>
    </row>
    <row r="331" spans="3:3">
      <c r="C331" s="594"/>
    </row>
    <row r="332" spans="3:3">
      <c r="C332" s="594"/>
    </row>
    <row r="333" spans="3:3">
      <c r="C333" s="594"/>
    </row>
    <row r="334" spans="3:3">
      <c r="C334" s="594"/>
    </row>
    <row r="335" spans="3:3">
      <c r="C335" s="594"/>
    </row>
    <row r="336" spans="3:3">
      <c r="C336" s="594"/>
    </row>
    <row r="337" spans="3:3">
      <c r="C337" s="594"/>
    </row>
    <row r="338" spans="3:3">
      <c r="C338" s="594"/>
    </row>
    <row r="339" spans="3:3">
      <c r="C339" s="594"/>
    </row>
    <row r="340" spans="3:3">
      <c r="C340" s="594"/>
    </row>
    <row r="341" spans="3:3">
      <c r="C341" s="594"/>
    </row>
    <row r="342" spans="3:3">
      <c r="C342" s="594"/>
    </row>
    <row r="343" spans="3:3">
      <c r="C343" s="594"/>
    </row>
    <row r="344" spans="3:3">
      <c r="C344" s="594"/>
    </row>
    <row r="345" spans="3:3">
      <c r="C345" s="594"/>
    </row>
    <row r="346" spans="3:3">
      <c r="C346" s="594"/>
    </row>
    <row r="347" spans="3:3">
      <c r="C347" s="594"/>
    </row>
    <row r="348" spans="3:3">
      <c r="C348" s="594"/>
    </row>
    <row r="349" spans="3:3">
      <c r="C349" s="594"/>
    </row>
    <row r="350" spans="3:3">
      <c r="C350" s="594"/>
    </row>
    <row r="351" spans="3:3">
      <c r="C351" s="594"/>
    </row>
    <row r="352" spans="3:3">
      <c r="C352" s="594"/>
    </row>
    <row r="353" spans="3:3">
      <c r="C353" s="594"/>
    </row>
    <row r="354" spans="3:3">
      <c r="C354" s="594"/>
    </row>
    <row r="355" spans="3:3">
      <c r="C355" s="594"/>
    </row>
    <row r="356" spans="3:3">
      <c r="C356" s="594"/>
    </row>
    <row r="357" spans="3:3">
      <c r="C357" s="594"/>
    </row>
    <row r="358" spans="3:3">
      <c r="C358" s="594"/>
    </row>
    <row r="359" spans="3:3">
      <c r="C359" s="594"/>
    </row>
    <row r="360" spans="3:3">
      <c r="C360" s="594"/>
    </row>
    <row r="361" spans="3:3">
      <c r="C361" s="594"/>
    </row>
    <row r="362" spans="3:3">
      <c r="C362" s="594"/>
    </row>
    <row r="363" spans="3:3">
      <c r="C363" s="594"/>
    </row>
    <row r="364" spans="3:3">
      <c r="C364" s="594"/>
    </row>
    <row r="365" spans="3:3">
      <c r="C365" s="594"/>
    </row>
    <row r="366" spans="3:3">
      <c r="C366" s="594"/>
    </row>
    <row r="367" spans="3:3">
      <c r="C367" s="594"/>
    </row>
    <row r="368" spans="3:3">
      <c r="C368" s="594"/>
    </row>
    <row r="369" spans="3:3">
      <c r="C369" s="594"/>
    </row>
    <row r="370" spans="3:3">
      <c r="C370" s="594"/>
    </row>
    <row r="371" spans="3:3">
      <c r="C371" s="594"/>
    </row>
    <row r="372" spans="3:3">
      <c r="C372" s="594"/>
    </row>
    <row r="373" spans="3:3">
      <c r="C373" s="594"/>
    </row>
    <row r="374" spans="3:3">
      <c r="C374" s="594"/>
    </row>
    <row r="375" spans="3:3">
      <c r="C375" s="594"/>
    </row>
    <row r="376" spans="3:3">
      <c r="C376" s="594"/>
    </row>
    <row r="377" spans="3:3">
      <c r="C377" s="594"/>
    </row>
    <row r="378" spans="3:3">
      <c r="C378" s="594"/>
    </row>
    <row r="379" spans="3:3">
      <c r="C379" s="594"/>
    </row>
    <row r="380" spans="3:3">
      <c r="C380" s="594"/>
    </row>
    <row r="381" spans="3:3">
      <c r="C381" s="594"/>
    </row>
    <row r="382" spans="3:3">
      <c r="C382" s="594"/>
    </row>
    <row r="383" spans="3:3">
      <c r="C383" s="594"/>
    </row>
    <row r="384" spans="3:3">
      <c r="C384" s="594"/>
    </row>
    <row r="385" spans="3:3">
      <c r="C385" s="594"/>
    </row>
    <row r="386" spans="3:3">
      <c r="C386" s="594"/>
    </row>
    <row r="387" spans="3:3">
      <c r="C387" s="594"/>
    </row>
    <row r="388" spans="3:3">
      <c r="C388" s="594"/>
    </row>
    <row r="389" spans="3:3">
      <c r="C389" s="594"/>
    </row>
    <row r="390" spans="3:3">
      <c r="C390" s="594"/>
    </row>
    <row r="391" spans="3:3">
      <c r="C391" s="594"/>
    </row>
    <row r="392" spans="3:3">
      <c r="C392" s="594"/>
    </row>
    <row r="393" spans="3:3">
      <c r="C393" s="594"/>
    </row>
    <row r="394" spans="3:3">
      <c r="C394" s="594"/>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Inputs!G112:P112</xm:f>
              <xm:sqref>F112</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8"/>
    <pageSetUpPr autoPageBreaks="0"/>
  </sheetPr>
  <dimension ref="B2:N32"/>
  <sheetViews>
    <sheetView showGridLines="0" zoomScale="87" zoomScaleNormal="115" workbookViewId="0">
      <selection activeCell="G29" sqref="G29"/>
    </sheetView>
  </sheetViews>
  <sheetFormatPr defaultRowHeight="14.1"/>
  <cols>
    <col min="1" max="1" width="2.375" customWidth="1"/>
    <col min="3" max="3" width="16.125" bestFit="1" customWidth="1"/>
    <col min="4" max="4" width="25.625" bestFit="1" customWidth="1"/>
    <col min="6" max="6" width="8.125" customWidth="1"/>
    <col min="7" max="7" width="9.125" bestFit="1" customWidth="1"/>
    <col min="8" max="8" width="13.625" bestFit="1" customWidth="1"/>
    <col min="9" max="9" width="15.375" customWidth="1"/>
    <col min="10" max="10" width="7.5" customWidth="1"/>
    <col min="13" max="13" width="33" customWidth="1"/>
    <col min="14" max="14" width="14" customWidth="1"/>
    <col min="16" max="16" width="26.75" bestFit="1" customWidth="1"/>
    <col min="17" max="17" width="10.375" bestFit="1" customWidth="1"/>
    <col min="18" max="18" width="12.125" bestFit="1" customWidth="1"/>
  </cols>
  <sheetData>
    <row r="2" spans="2:14" s="37" customFormat="1" ht="20.100000000000001">
      <c r="B2" s="40" t="s">
        <v>426</v>
      </c>
    </row>
    <row r="4" spans="2:14">
      <c r="B4" t="s">
        <v>583</v>
      </c>
    </row>
    <row r="5" spans="2:14">
      <c r="B5" t="s">
        <v>584</v>
      </c>
    </row>
    <row r="7" spans="2:14">
      <c r="B7" s="2" t="s">
        <v>426</v>
      </c>
      <c r="C7" s="3"/>
      <c r="D7" s="3"/>
      <c r="E7" s="3"/>
      <c r="F7" s="3"/>
      <c r="G7" s="115"/>
      <c r="I7" s="2" t="s">
        <v>585</v>
      </c>
      <c r="J7" s="116" t="s">
        <v>159</v>
      </c>
      <c r="K7" s="116" t="s">
        <v>586</v>
      </c>
      <c r="M7" s="695" t="s">
        <v>221</v>
      </c>
      <c r="N7" s="696" t="s">
        <v>587</v>
      </c>
    </row>
    <row r="8" spans="2:14" ht="3.95" customHeight="1">
      <c r="B8" s="117"/>
      <c r="C8" s="118"/>
      <c r="D8" s="118"/>
      <c r="E8" s="118"/>
      <c r="F8" s="118"/>
      <c r="G8" s="119"/>
      <c r="I8" s="118"/>
      <c r="J8" s="120"/>
      <c r="K8" s="121"/>
      <c r="M8" s="697" t="s">
        <v>588</v>
      </c>
      <c r="N8" s="697"/>
    </row>
    <row r="9" spans="2:14">
      <c r="B9" s="122" t="s">
        <v>589</v>
      </c>
      <c r="G9" s="123" cm="1">
        <f t="array" aca="1" ref="G9" ca="1">_FV(DCF!R4,"Market cap",TRUE)/1000000</f>
        <v>23495.324063</v>
      </c>
      <c r="I9" t="str">
        <f>Segments!B6</f>
        <v>United States</v>
      </c>
      <c r="J9" s="124">
        <f>Segments!D6</f>
        <v>0.61512468650708141</v>
      </c>
      <c r="K9" s="125">
        <v>4.3299999999999998E-2</v>
      </c>
      <c r="M9" s="122" t="str">
        <f>+Peers!B8</f>
        <v/>
      </c>
      <c r="N9" s="699" t="str">
        <f>+Peers!E75</f>
        <v/>
      </c>
    </row>
    <row r="10" spans="2:14">
      <c r="B10" t="s">
        <v>590</v>
      </c>
      <c r="G10" s="17">
        <f ca="1">IFERROR(G9/G24,"")</f>
        <v>0.98081396547986222</v>
      </c>
      <c r="I10" t="str">
        <f>Segments!B7</f>
        <v>Japan</v>
      </c>
      <c r="J10" s="124">
        <f>Segments!D7</f>
        <v>7.034162131430903E-2</v>
      </c>
      <c r="K10" s="125">
        <v>5.2699999999999997E-2</v>
      </c>
      <c r="M10" s="122" t="str">
        <f>+Peers!B9</f>
        <v/>
      </c>
      <c r="N10" s="699" t="str">
        <f>+Peers!F75</f>
        <v/>
      </c>
    </row>
    <row r="11" spans="2:14">
      <c r="B11" t="s">
        <v>591</v>
      </c>
      <c r="G11" s="32">
        <f ca="1">IFERROR(G12+G14*G15,"")</f>
        <v>0.13172978165923147</v>
      </c>
      <c r="I11" t="str">
        <f>Segments!B9</f>
        <v xml:space="preserve">Canada </v>
      </c>
      <c r="J11" s="124">
        <f>Segments!D9</f>
        <v>0.23930456152255541</v>
      </c>
      <c r="K11" s="125">
        <v>4.3299999999999998E-2</v>
      </c>
      <c r="M11" s="122" t="str">
        <f>+Peers!B10</f>
        <v/>
      </c>
      <c r="N11" s="699" t="str">
        <f>+Peers!G75</f>
        <v/>
      </c>
    </row>
    <row r="12" spans="2:14">
      <c r="B12" t="s">
        <v>592</v>
      </c>
      <c r="G12" s="126">
        <v>4.4179999999999997E-2</v>
      </c>
      <c r="K12" s="125"/>
      <c r="M12" s="122" t="str">
        <f>+Peers!B11</f>
        <v/>
      </c>
      <c r="N12" s="699" t="str">
        <f>+Peers!H75</f>
        <v/>
      </c>
    </row>
    <row r="13" spans="2:14">
      <c r="B13" t="s">
        <v>593</v>
      </c>
      <c r="G13" s="127" t="str">
        <f>+N19</f>
        <v/>
      </c>
      <c r="J13" s="124"/>
      <c r="K13" s="125"/>
      <c r="M13" s="122" t="str">
        <f>+Peers!B12</f>
        <v/>
      </c>
      <c r="N13" s="699" t="str">
        <f>+Peers!I75</f>
        <v/>
      </c>
    </row>
    <row r="14" spans="2:14">
      <c r="B14" t="s">
        <v>39</v>
      </c>
      <c r="G14" s="809" cm="1">
        <f t="array" aca="1" ref="G14" ca="1">_FV(DCF!R4,"Beta")</f>
        <v>2.1509</v>
      </c>
      <c r="I14" t="s">
        <v>183</v>
      </c>
      <c r="J14" s="32">
        <f>1-SUM(J9:J13)</f>
        <v>7.5229130656054188E-2</v>
      </c>
      <c r="K14" s="32">
        <f>MAX(K9:K13)</f>
        <v>5.2699999999999997E-2</v>
      </c>
      <c r="M14" s="122" t="str">
        <f>+Peers!B13</f>
        <v/>
      </c>
      <c r="N14" s="699" t="str">
        <f>+Peers!J75</f>
        <v/>
      </c>
    </row>
    <row r="15" spans="2:14">
      <c r="B15" t="s">
        <v>594</v>
      </c>
      <c r="G15" s="394">
        <f>SUMPRODUCT(J9:J13,K9:K13)</f>
        <v>4.0703789882947358E-2</v>
      </c>
      <c r="J15" s="32"/>
      <c r="K15" s="32"/>
      <c r="M15" s="122" t="str">
        <f>+Peers!B14</f>
        <v/>
      </c>
      <c r="N15" s="699" t="str">
        <f>+Peers!K75</f>
        <v/>
      </c>
    </row>
    <row r="16" spans="2:14">
      <c r="B16" s="1" t="s">
        <v>595</v>
      </c>
      <c r="G16" s="32">
        <f ca="1">+G14*G15+G12</f>
        <v>0.13172978165923147</v>
      </c>
      <c r="J16" s="32"/>
      <c r="K16" s="32"/>
      <c r="M16" s="122" t="str">
        <f>+Peers!B15</f>
        <v/>
      </c>
      <c r="N16" s="699" t="str">
        <f>+Peers!L75</f>
        <v/>
      </c>
    </row>
    <row r="17" spans="2:14">
      <c r="M17" s="122" t="str">
        <f>+Peers!B16</f>
        <v/>
      </c>
      <c r="N17" s="699" t="str">
        <f>+Peers!M75</f>
        <v/>
      </c>
    </row>
    <row r="18" spans="2:14">
      <c r="B18" s="122" t="s">
        <v>596</v>
      </c>
      <c r="G18" s="128">
        <f>+Inputs!Q55+Inputs!Q50</f>
        <v>459.59999999999997</v>
      </c>
      <c r="M18" s="122" t="str">
        <f>+Peers!B17</f>
        <v/>
      </c>
      <c r="N18" s="699" t="str">
        <f>+Peers!N75</f>
        <v/>
      </c>
    </row>
    <row r="19" spans="2:14">
      <c r="B19" t="s">
        <v>449</v>
      </c>
      <c r="G19" s="17">
        <f ca="1">IFERROR(G18/G24,"")</f>
        <v>1.9186034520137899E-2</v>
      </c>
      <c r="M19" s="698" t="s">
        <v>223</v>
      </c>
      <c r="N19" s="700" t="str">
        <f>IFERROR(+AVERAGEIF(N9:N18,"&gt;0"),"")</f>
        <v/>
      </c>
    </row>
    <row r="20" spans="2:14">
      <c r="B20" t="s">
        <v>597</v>
      </c>
      <c r="G20" s="126">
        <v>4.2500000000000003E-2</v>
      </c>
    </row>
    <row r="21" spans="2:14">
      <c r="B21" t="s">
        <v>598</v>
      </c>
      <c r="C21" t="s">
        <v>599</v>
      </c>
      <c r="G21" s="126">
        <v>0</v>
      </c>
    </row>
    <row r="22" spans="2:14">
      <c r="B22" t="s">
        <v>598</v>
      </c>
      <c r="C22" t="s">
        <v>600</v>
      </c>
      <c r="G22" s="126">
        <v>0.24</v>
      </c>
    </row>
    <row r="24" spans="2:14">
      <c r="B24" t="s">
        <v>160</v>
      </c>
      <c r="G24" s="27">
        <f ca="1">+G9+G18</f>
        <v>23954.924062999999</v>
      </c>
    </row>
    <row r="26" spans="2:14">
      <c r="B26" s="1" t="s">
        <v>426</v>
      </c>
      <c r="C26" t="s">
        <v>599</v>
      </c>
      <c r="G26" s="129">
        <f ca="1">IFERROR(G10*G11+G19*G20*(1-G21),"")</f>
        <v>0.13001781598809312</v>
      </c>
    </row>
    <row r="27" spans="2:14">
      <c r="B27" s="1" t="s">
        <v>426</v>
      </c>
      <c r="C27" t="s">
        <v>600</v>
      </c>
      <c r="G27" s="839">
        <f ca="1">IFERROR(G10*G11+G19*G20*(1-G22),"")</f>
        <v>0.1298221184359877</v>
      </c>
    </row>
    <row r="29" spans="2:14">
      <c r="C29" s="748"/>
      <c r="G29" s="748"/>
    </row>
    <row r="30" spans="2:14">
      <c r="C30" s="837"/>
      <c r="G30" s="748"/>
    </row>
    <row r="31" spans="2:14">
      <c r="G31" s="837"/>
    </row>
    <row r="32" spans="2:14">
      <c r="C32" s="838"/>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8" tint="0.39997558519241921"/>
  </sheetPr>
  <dimension ref="B1:T76"/>
  <sheetViews>
    <sheetView showGridLines="0" topLeftCell="A6" zoomScale="82" zoomScaleNormal="100" workbookViewId="0">
      <selection activeCell="P15" sqref="P15"/>
    </sheetView>
  </sheetViews>
  <sheetFormatPr defaultRowHeight="14.1"/>
  <cols>
    <col min="1" max="1" width="1.625" customWidth="1"/>
    <col min="2" max="2" width="15.625" style="8" customWidth="1"/>
    <col min="4" max="4" width="16.125" customWidth="1"/>
    <col min="5" max="5" width="13.375" customWidth="1"/>
    <col min="6" max="12" width="13.375" hidden="1" customWidth="1"/>
    <col min="13" max="13" width="13.375" customWidth="1"/>
    <col min="14" max="17" width="12.75" style="26" customWidth="1"/>
    <col min="18" max="18" width="12.75" customWidth="1"/>
  </cols>
  <sheetData>
    <row r="1" spans="2:19">
      <c r="R1" s="26"/>
    </row>
    <row r="2" spans="2:19" s="249" customFormat="1" ht="20.100000000000001" customHeight="1">
      <c r="B2" s="248" t="s">
        <v>601</v>
      </c>
      <c r="C2" s="490"/>
      <c r="D2" s="490"/>
      <c r="E2" s="490"/>
      <c r="F2" s="490"/>
      <c r="G2" s="490"/>
      <c r="H2" s="490"/>
      <c r="I2" s="490"/>
      <c r="J2" s="490"/>
      <c r="K2" s="490"/>
      <c r="L2" s="490"/>
      <c r="M2" s="490"/>
      <c r="N2" s="491"/>
      <c r="O2" s="491"/>
      <c r="P2" s="491"/>
      <c r="Q2" s="250"/>
      <c r="R2" s="250"/>
      <c r="S2" s="490"/>
    </row>
    <row r="3" spans="2:19">
      <c r="R3" s="26"/>
    </row>
    <row r="4" spans="2:19" ht="15.6">
      <c r="B4" s="7" t="s">
        <v>602</v>
      </c>
      <c r="C4" s="56"/>
      <c r="D4" s="58"/>
      <c r="E4" s="58"/>
      <c r="F4" s="371">
        <v>2014</v>
      </c>
      <c r="G4" s="371">
        <f t="shared" ref="G4:J4" si="0">+F4+1</f>
        <v>2015</v>
      </c>
      <c r="H4" s="371">
        <f t="shared" si="0"/>
        <v>2016</v>
      </c>
      <c r="I4" s="371">
        <f t="shared" si="0"/>
        <v>2017</v>
      </c>
      <c r="J4" s="371">
        <f t="shared" si="0"/>
        <v>2018</v>
      </c>
      <c r="K4" s="371">
        <f t="shared" ref="K4" si="1">+J4+1</f>
        <v>2019</v>
      </c>
      <c r="L4" s="371">
        <f t="shared" ref="L4" si="2">+K4+1</f>
        <v>2020</v>
      </c>
      <c r="M4" s="371">
        <f t="shared" ref="M4" si="3">+L4+1</f>
        <v>2021</v>
      </c>
      <c r="N4" s="371">
        <v>2022</v>
      </c>
      <c r="O4" s="371">
        <f t="shared" ref="O4" si="4">+N4+1</f>
        <v>2023</v>
      </c>
      <c r="P4" s="372">
        <f>+O4+1</f>
        <v>2024</v>
      </c>
      <c r="Q4" s="370">
        <f>+P4+1</f>
        <v>2025</v>
      </c>
      <c r="R4" s="370">
        <f>+Q4+1</f>
        <v>2026</v>
      </c>
    </row>
    <row r="5" spans="2:19" ht="3.95" customHeight="1">
      <c r="B5" s="251"/>
      <c r="C5" s="53"/>
      <c r="D5" s="60"/>
      <c r="E5" s="60"/>
      <c r="F5" s="60"/>
      <c r="G5" s="60"/>
      <c r="H5" s="60"/>
      <c r="I5" s="60"/>
      <c r="J5" s="60"/>
      <c r="K5" s="60"/>
      <c r="L5" s="60"/>
      <c r="M5" s="60"/>
      <c r="N5" s="224"/>
      <c r="O5" s="224"/>
      <c r="P5" s="351"/>
      <c r="Q5" s="224"/>
      <c r="R5" s="224"/>
    </row>
    <row r="6" spans="2:19" ht="15.6">
      <c r="B6" s="15" t="s">
        <v>10</v>
      </c>
      <c r="F6" s="16" t="str">
        <f>IFERROR(_xlfn.XLOOKUP("Enterprise Value",Inputs!$B:$B,Inputs!G:G)/_xlfn.XLOOKUP("Revenue (Sales)",Inputs!$B:$B,Inputs!G:G),"")</f>
        <v/>
      </c>
      <c r="G6" s="16" t="str">
        <f>IFERROR(_xlfn.XLOOKUP("Enterprise Value",Inputs!$B:$B,Inputs!H:H)/_xlfn.XLOOKUP("Revenue (Sales)",Inputs!$B:$B,Inputs!H:H),"")</f>
        <v/>
      </c>
      <c r="H6" s="16" t="str">
        <f>IFERROR(_xlfn.XLOOKUP("Enterprise Value",Inputs!$B:$B,Inputs!I:I)/_xlfn.XLOOKUP("Revenue (Sales)",Inputs!$B:$B,Inputs!I:I),"")</f>
        <v/>
      </c>
      <c r="I6" s="16" t="str">
        <f>IFERROR(_xlfn.XLOOKUP("Enterprise Value",Inputs!$B:$B,Inputs!J:J)/_xlfn.XLOOKUP("Revenue (Sales)",Inputs!$B:$B,Inputs!J:J),"")</f>
        <v/>
      </c>
      <c r="J6" s="16" t="str">
        <f>IFERROR(_xlfn.XLOOKUP("Enterprise Value",Inputs!$B:$B,Inputs!K:K)/_xlfn.XLOOKUP("Revenue (Sales)",Inputs!$B:$B,Inputs!K:K),"")</f>
        <v/>
      </c>
      <c r="K6" s="16" t="str">
        <f>IFERROR(_xlfn.XLOOKUP("Enterprise Value",Inputs!$B:$B,Inputs!L:L)/_xlfn.XLOOKUP("Revenue (Sales)",Inputs!$B:$B,Inputs!L:L),"")</f>
        <v/>
      </c>
      <c r="L6" s="16" t="str">
        <f>IFERROR(_xlfn.XLOOKUP("Enterprise Value",Inputs!$B:$B,Inputs!M:M)/_xlfn.XLOOKUP("Revenue (Sales)",Inputs!$B:$B,Inputs!M:M),"")</f>
        <v/>
      </c>
      <c r="M6" s="16" t="str">
        <f>IFERROR(_xlfn.XLOOKUP("Enterprise Value",Inputs!$B:$B,Inputs!N:N)/_xlfn.XLOOKUP("Revenue (Sales)",Inputs!$B:$B,Inputs!N:N),"")</f>
        <v/>
      </c>
      <c r="N6" s="16" t="str">
        <f>IFERROR(_xlfn.XLOOKUP("Enterprise Value",Inputs!$B:$B,Inputs!O:O)/_xlfn.XLOOKUP("Revenue (Sales)",Inputs!$B:$B,Inputs!O:O),"")</f>
        <v/>
      </c>
      <c r="O6" s="16" t="str">
        <f>IFERROR(_xlfn.XLOOKUP("Enterprise Value",Inputs!$B:$B,Inputs!P:P)/_xlfn.XLOOKUP("Revenue (Sales)",Inputs!$B:$B,Inputs!P:P),"")</f>
        <v/>
      </c>
      <c r="P6" s="349" t="str">
        <f>IFERROR(_xlfn.XLOOKUP("Enterprise Value",Inputs!$B:$B,Inputs!Q:Q)/_xlfn.XLOOKUP("Revenue (Sales)",Inputs!$B:$B,Inputs!Q:Q),"")</f>
        <v/>
      </c>
      <c r="Q6" s="356" t="str">
        <f>IFERROR(_xlfn.XLOOKUP("Enterprise Value",#REF!,#REF!)/_xlfn.XLOOKUP("Revenue (Sales)",#REF!,#REF!),"")</f>
        <v/>
      </c>
      <c r="R6" s="356" t="str">
        <f>IFERROR(_xlfn.XLOOKUP("Enterprise Value",#REF!,#REF!)/_xlfn.XLOOKUP("Revenue (Sales)",#REF!,#REF!),"")</f>
        <v/>
      </c>
    </row>
    <row r="7" spans="2:19" ht="15.6">
      <c r="B7" s="18" t="s">
        <v>12</v>
      </c>
      <c r="F7" s="16" t="str">
        <f>IFERROR(_xlfn.XLOOKUP("Market Capitalization",Inputs!$B:$B,Inputs!G:G)/_xlfn.XLOOKUP("Revenue (Sales)",Inputs!$B:$B,Inputs!G:G),"")</f>
        <v/>
      </c>
      <c r="G7" s="16" t="str">
        <f>IFERROR(_xlfn.XLOOKUP("Market Capitalization",Inputs!$B:$B,Inputs!H:H)/_xlfn.XLOOKUP("Revenue (Sales)",Inputs!$B:$B,Inputs!H:H),"")</f>
        <v/>
      </c>
      <c r="H7" s="16" t="str">
        <f>IFERROR(_xlfn.XLOOKUP("Market Capitalization",Inputs!$B:$B,Inputs!I:I)/_xlfn.XLOOKUP("Revenue (Sales)",Inputs!$B:$B,Inputs!I:I),"")</f>
        <v/>
      </c>
      <c r="I7" s="16" t="str">
        <f>IFERROR(_xlfn.XLOOKUP("Market Capitalization",Inputs!$B:$B,Inputs!J:J)/_xlfn.XLOOKUP("Revenue (Sales)",Inputs!$B:$B,Inputs!J:J),"")</f>
        <v/>
      </c>
      <c r="J7" s="16" t="str">
        <f>IFERROR(_xlfn.XLOOKUP("Market Capitalization",Inputs!$B:$B,Inputs!K:K)/_xlfn.XLOOKUP("Revenue (Sales)",Inputs!$B:$B,Inputs!K:K),"")</f>
        <v/>
      </c>
      <c r="K7" s="16" t="str">
        <f>IFERROR(_xlfn.XLOOKUP("Market Capitalization",Inputs!$B:$B,Inputs!L:L)/_xlfn.XLOOKUP("Revenue (Sales)",Inputs!$B:$B,Inputs!L:L),"")</f>
        <v/>
      </c>
      <c r="L7" s="16" t="str">
        <f>IFERROR(_xlfn.XLOOKUP("Market Capitalization",Inputs!$B:$B,Inputs!M:M)/_xlfn.XLOOKUP("Revenue (Sales)",Inputs!$B:$B,Inputs!M:M),"")</f>
        <v/>
      </c>
      <c r="M7" s="16" t="str">
        <f>IFERROR(_xlfn.XLOOKUP("Market Capitalization",Inputs!$B:$B,Inputs!N:N)/_xlfn.XLOOKUP("Revenue (Sales)",Inputs!$B:$B,Inputs!N:N),"")</f>
        <v/>
      </c>
      <c r="N7" s="16" t="str">
        <f>IFERROR(_xlfn.XLOOKUP("Market Capitalization",Inputs!$B:$B,Inputs!O:O)/_xlfn.XLOOKUP("Revenue (Sales)",Inputs!$B:$B,Inputs!O:O),"")</f>
        <v/>
      </c>
      <c r="O7" s="16" t="str">
        <f>IFERROR(_xlfn.XLOOKUP("Market Capitalization",Inputs!$B:$B,Inputs!P:P)/_xlfn.XLOOKUP("Revenue (Sales)",Inputs!$B:$B,Inputs!P:P),"")</f>
        <v/>
      </c>
      <c r="P7" s="349" t="str">
        <f>IFERROR(_xlfn.XLOOKUP("Market Capitalization",Inputs!$B:$B,Inputs!Q:Q)/_xlfn.XLOOKUP("Revenue (Sales)",Inputs!$B:$B,Inputs!Q:Q),"")</f>
        <v/>
      </c>
      <c r="Q7" s="356" t="str">
        <f>IFERROR(_xlfn.XLOOKUP("Equity Value",#REF!,#REF!)/_xlfn.XLOOKUP("Revenue (Sales)",#REF!,#REF!),"")</f>
        <v/>
      </c>
      <c r="R7" s="356" t="str">
        <f>IFERROR(_xlfn.XLOOKUP("Equity Value",#REF!,#REF!)/_xlfn.XLOOKUP("Revenue (Sales)",#REF!,#REF!),"")</f>
        <v/>
      </c>
    </row>
    <row r="8" spans="2:19" ht="15.6">
      <c r="B8" s="252" t="s">
        <v>14</v>
      </c>
      <c r="F8" s="16" t="str">
        <f>IFERROR(_xlfn.XLOOKUP("Enterprise Value",Inputs!$B:$B,Inputs!G:G)/_xlfn.XLOOKUP("EBITDA",Inputs!$B:$B,Inputs!G:G),"")</f>
        <v/>
      </c>
      <c r="G8" s="16" t="str">
        <f>IFERROR(_xlfn.XLOOKUP("Enterprise Value",Inputs!$B:$B,Inputs!H:H)/_xlfn.XLOOKUP("EBITDA",Inputs!$B:$B,Inputs!H:H),"")</f>
        <v/>
      </c>
      <c r="H8" s="16" t="str">
        <f>IFERROR(_xlfn.XLOOKUP("Enterprise Value",Inputs!$B:$B,Inputs!I:I)/_xlfn.XLOOKUP("EBITDA",Inputs!$B:$B,Inputs!I:I),"")</f>
        <v/>
      </c>
      <c r="I8" s="16" t="str">
        <f>IFERROR(_xlfn.XLOOKUP("Enterprise Value",Inputs!$B:$B,Inputs!J:J)/_xlfn.XLOOKUP("EBITDA",Inputs!$B:$B,Inputs!J:J),"")</f>
        <v/>
      </c>
      <c r="J8" s="16" t="str">
        <f>IFERROR(_xlfn.XLOOKUP("Enterprise Value",Inputs!$B:$B,Inputs!K:K)/_xlfn.XLOOKUP("EBITDA",Inputs!$B:$B,Inputs!K:K),"")</f>
        <v/>
      </c>
      <c r="K8" s="16" t="str">
        <f>IFERROR(_xlfn.XLOOKUP("Enterprise Value",Inputs!$B:$B,Inputs!L:L)/_xlfn.XLOOKUP("EBITDA",Inputs!$B:$B,Inputs!L:L),"")</f>
        <v/>
      </c>
      <c r="L8" s="16" t="str">
        <f>IFERROR(_xlfn.XLOOKUP("Enterprise Value",Inputs!$B:$B,Inputs!M:M)/_xlfn.XLOOKUP("EBITDA",Inputs!$B:$B,Inputs!M:M),"")</f>
        <v/>
      </c>
      <c r="M8" s="16" t="str">
        <f>IFERROR(_xlfn.XLOOKUP("Enterprise Value",Inputs!$B:$B,Inputs!N:N)/_xlfn.XLOOKUP("EBITDA",Inputs!$B:$B,Inputs!N:N),"")</f>
        <v/>
      </c>
      <c r="N8" s="16" t="str">
        <f>IFERROR(_xlfn.XLOOKUP("Enterprise Value",Inputs!$B:$B,Inputs!O:O)/_xlfn.XLOOKUP("EBITDA",Inputs!$B:$B,Inputs!O:O),"")</f>
        <v/>
      </c>
      <c r="O8" s="16" t="str">
        <f>IFERROR(_xlfn.XLOOKUP("Enterprise Value",Inputs!$B:$B,Inputs!P:P)/_xlfn.XLOOKUP("EBITDA",Inputs!$B:$B,Inputs!P:P),"")</f>
        <v/>
      </c>
      <c r="P8" s="349" t="str">
        <f>IFERROR(_xlfn.XLOOKUP("Enterprise Value",Inputs!$B:$B,Inputs!Q:Q)/_xlfn.XLOOKUP("EBITDA",Inputs!$B:$B,Inputs!Q:Q),"")</f>
        <v/>
      </c>
      <c r="Q8" s="356" t="str">
        <f>IFERROR(_xlfn.XLOOKUP("Enterprise Value",#REF!,#REF!)/_xlfn.XLOOKUP("EBITDA",#REF!,#REF!),"")</f>
        <v/>
      </c>
      <c r="R8" s="356" t="str">
        <f>IFERROR(_xlfn.XLOOKUP("Enterprise Value",#REF!,#REF!)/_xlfn.XLOOKUP("EBITDA",#REF!,#REF!),"")</f>
        <v/>
      </c>
    </row>
    <row r="9" spans="2:19" ht="15.6">
      <c r="B9" s="252" t="s">
        <v>16</v>
      </c>
      <c r="F9" s="16" t="str">
        <f>IFERROR(_xlfn.XLOOKUP("Enterprise Value",Inputs!$B:$B,Inputs!G:G)/_xlfn.XLOOKUP("Operating Income (EBIT)",Inputs!$B:$B,Inputs!G:G),"")</f>
        <v/>
      </c>
      <c r="G9" s="16" t="str">
        <f>IFERROR(_xlfn.XLOOKUP("Enterprise Value",Inputs!$B:$B,Inputs!H:H)/_xlfn.XLOOKUP("Operating Income (EBIT)",Inputs!$B:$B,Inputs!H:H),"")</f>
        <v/>
      </c>
      <c r="H9" s="16" t="str">
        <f>IFERROR(_xlfn.XLOOKUP("Enterprise Value",Inputs!$B:$B,Inputs!I:I)/_xlfn.XLOOKUP("Operating Income (EBIT)",Inputs!$B:$B,Inputs!I:I),"")</f>
        <v/>
      </c>
      <c r="I9" s="16" t="str">
        <f>IFERROR(_xlfn.XLOOKUP("Enterprise Value",Inputs!$B:$B,Inputs!J:J)/_xlfn.XLOOKUP("Operating Income (EBIT)",Inputs!$B:$B,Inputs!J:J),"")</f>
        <v/>
      </c>
      <c r="J9" s="16" t="str">
        <f>IFERROR(_xlfn.XLOOKUP("Enterprise Value",Inputs!$B:$B,Inputs!K:K)/_xlfn.XLOOKUP("Operating Income (EBIT)",Inputs!$B:$B,Inputs!K:K),"")</f>
        <v/>
      </c>
      <c r="K9" s="16" t="str">
        <f>IFERROR(_xlfn.XLOOKUP("Enterprise Value",Inputs!$B:$B,Inputs!L:L)/_xlfn.XLOOKUP("Operating Income (EBIT)",Inputs!$B:$B,Inputs!L:L),"")</f>
        <v/>
      </c>
      <c r="L9" s="16" t="str">
        <f>IFERROR(_xlfn.XLOOKUP("Enterprise Value",Inputs!$B:$B,Inputs!M:M)/_xlfn.XLOOKUP("Operating Income (EBIT)",Inputs!$B:$B,Inputs!M:M),"")</f>
        <v/>
      </c>
      <c r="M9" s="16" t="str">
        <f>IFERROR(_xlfn.XLOOKUP("Enterprise Value",Inputs!$B:$B,Inputs!N:N)/_xlfn.XLOOKUP("Operating Income (EBIT)",Inputs!$B:$B,Inputs!N:N),"")</f>
        <v/>
      </c>
      <c r="N9" s="16" t="str">
        <f>IFERROR(_xlfn.XLOOKUP("Enterprise Value",Inputs!$B:$B,Inputs!O:O)/_xlfn.XLOOKUP("Operating Income (EBIT)",Inputs!$B:$B,Inputs!O:O),"")</f>
        <v/>
      </c>
      <c r="O9" s="16" t="str">
        <f>IFERROR(_xlfn.XLOOKUP("Enterprise Value",Inputs!$B:$B,Inputs!P:P)/_xlfn.XLOOKUP("Operating Income (EBIT)",Inputs!$B:$B,Inputs!P:P),"")</f>
        <v/>
      </c>
      <c r="P9" s="349" t="str">
        <f>IFERROR(_xlfn.XLOOKUP("Enterprise Value",Inputs!$B:$B,Inputs!Q:Q)/_xlfn.XLOOKUP("Operating Income (EBIT)",Inputs!$B:$B,Inputs!Q:Q),"")</f>
        <v/>
      </c>
      <c r="Q9" s="356" t="str">
        <f>IFERROR(_xlfn.XLOOKUP("Enterprise Value",#REF!,#REF!)/_xlfn.XLOOKUP("Operating Income (EBIT)",#REF!,#REF!),"")</f>
        <v/>
      </c>
      <c r="R9" s="356" t="str">
        <f>IFERROR(_xlfn.XLOOKUP("Enterprise Value",#REF!,#REF!)/_xlfn.XLOOKUP("Operating Income (EBIT)",#REF!,#REF!),"")</f>
        <v/>
      </c>
    </row>
    <row r="10" spans="2:19" ht="15.6">
      <c r="B10" s="18" t="s">
        <v>18</v>
      </c>
      <c r="F10" s="16" t="str">
        <f>IFERROR(_xlfn.XLOOKUP("Market Capitalization",Inputs!$B:$B,Inputs!G:G)/_xlfn.XLOOKUP("Net Income",Inputs!$B:$B,Inputs!G:G),"")</f>
        <v/>
      </c>
      <c r="G10" s="16" t="str">
        <f>IFERROR(_xlfn.XLOOKUP("Market Capitalization",Inputs!$B:$B,Inputs!H:H)/_xlfn.XLOOKUP("Net Income",Inputs!$B:$B,Inputs!H:H),"")</f>
        <v/>
      </c>
      <c r="H10" s="16" t="str">
        <f>IFERROR(_xlfn.XLOOKUP("Market Capitalization",Inputs!$B:$B,Inputs!I:I)/_xlfn.XLOOKUP("Net Income",Inputs!$B:$B,Inputs!I:I),"")</f>
        <v/>
      </c>
      <c r="I10" s="16" t="str">
        <f>IFERROR(_xlfn.XLOOKUP("Market Capitalization",Inputs!$B:$B,Inputs!J:J)/_xlfn.XLOOKUP("Net Income",Inputs!$B:$B,Inputs!J:J),"")</f>
        <v/>
      </c>
      <c r="J10" s="16" t="str">
        <f>IFERROR(_xlfn.XLOOKUP("Market Capitalization",Inputs!$B:$B,Inputs!K:K)/_xlfn.XLOOKUP("Net Income",Inputs!$B:$B,Inputs!K:K),"")</f>
        <v/>
      </c>
      <c r="K10" s="16" t="str">
        <f>IFERROR(_xlfn.XLOOKUP("Market Capitalization",Inputs!$B:$B,Inputs!L:L)/_xlfn.XLOOKUP("Net Income",Inputs!$B:$B,Inputs!L:L),"")</f>
        <v/>
      </c>
      <c r="L10" s="16" t="str">
        <f>IFERROR(_xlfn.XLOOKUP("Market Capitalization",Inputs!$B:$B,Inputs!M:M)/_xlfn.XLOOKUP("Net Income",Inputs!$B:$B,Inputs!M:M),"")</f>
        <v/>
      </c>
      <c r="M10" s="16" t="str">
        <f>IFERROR(_xlfn.XLOOKUP("Market Capitalization",Inputs!$B:$B,Inputs!N:N)/_xlfn.XLOOKUP("Net Income",Inputs!$B:$B,Inputs!N:N),"")</f>
        <v/>
      </c>
      <c r="N10" s="16" t="str">
        <f>IFERROR(_xlfn.XLOOKUP("Market Capitalization",Inputs!$B:$B,Inputs!O:O)/_xlfn.XLOOKUP("Net Income",Inputs!$B:$B,Inputs!O:O),"")</f>
        <v/>
      </c>
      <c r="O10" s="16" t="str">
        <f>IFERROR(_xlfn.XLOOKUP("Market Capitalization",Inputs!$B:$B,Inputs!P:P)/_xlfn.XLOOKUP("Net Income",Inputs!$B:$B,Inputs!P:P),"")</f>
        <v/>
      </c>
      <c r="P10" s="349" t="str">
        <f>IFERROR(_xlfn.XLOOKUP("Market Capitalization",Inputs!$B:$B,Inputs!Q:Q)/_xlfn.XLOOKUP("Net Income",Inputs!$B:$B,Inputs!Q:Q),"")</f>
        <v/>
      </c>
      <c r="Q10" s="356" t="str">
        <f>IFERROR(_xlfn.XLOOKUP("Equity Value",#REF!,#REF!)/_xlfn.XLOOKUP("Net Income",#REF!,#REF!),"")</f>
        <v/>
      </c>
      <c r="R10" s="356" t="str">
        <f>IFERROR(_xlfn.XLOOKUP("Equity Value",#REF!,#REF!)/_xlfn.XLOOKUP("Net Income",#REF!,#REF!),"")</f>
        <v/>
      </c>
    </row>
    <row r="11" spans="2:19" ht="15.6">
      <c r="B11" s="252" t="s">
        <v>20</v>
      </c>
      <c r="F11" s="16" t="str">
        <f>IFERROR(_xlfn.XLOOKUP("Market Capitalization",Inputs!$B:$B,Inputs!G:G)/_xlfn.XLOOKUP("Shareholder's Equity",Inputs!$B:$B,Inputs!G:G),"")</f>
        <v/>
      </c>
      <c r="G11" s="16" t="str">
        <f>IFERROR(_xlfn.XLOOKUP("Market Capitalization",Inputs!$B:$B,Inputs!H:H)/_xlfn.XLOOKUP("Shareholder's Equity",Inputs!$B:$B,Inputs!H:H),"")</f>
        <v/>
      </c>
      <c r="H11" s="16" t="str">
        <f>IFERROR(_xlfn.XLOOKUP("Market Capitalization",Inputs!$B:$B,Inputs!I:I)/_xlfn.XLOOKUP("Shareholder's Equity",Inputs!$B:$B,Inputs!I:I),"")</f>
        <v/>
      </c>
      <c r="I11" s="16" t="str">
        <f>IFERROR(_xlfn.XLOOKUP("Market Capitalization",Inputs!$B:$B,Inputs!J:J)/_xlfn.XLOOKUP("Shareholder's Equity",Inputs!$B:$B,Inputs!J:J),"")</f>
        <v/>
      </c>
      <c r="J11" s="16" t="str">
        <f>IFERROR(_xlfn.XLOOKUP("Market Capitalization",Inputs!$B:$B,Inputs!K:K)/_xlfn.XLOOKUP("Shareholder's Equity",Inputs!$B:$B,Inputs!K:K),"")</f>
        <v/>
      </c>
      <c r="K11" s="16" t="str">
        <f>IFERROR(_xlfn.XLOOKUP("Market Capitalization",Inputs!$B:$B,Inputs!L:L)/_xlfn.XLOOKUP("Shareholder's Equity",Inputs!$B:$B,Inputs!L:L),"")</f>
        <v/>
      </c>
      <c r="L11" s="16" t="str">
        <f>IFERROR(_xlfn.XLOOKUP("Market Capitalization",Inputs!$B:$B,Inputs!M:M)/_xlfn.XLOOKUP("Shareholder's Equity",Inputs!$B:$B,Inputs!M:M),"")</f>
        <v/>
      </c>
      <c r="M11" s="16" t="str">
        <f>IFERROR(_xlfn.XLOOKUP("Market Capitalization",Inputs!$B:$B,Inputs!N:N)/_xlfn.XLOOKUP("Shareholder's Equity",Inputs!$B:$B,Inputs!N:N),"")</f>
        <v/>
      </c>
      <c r="N11" s="16" t="str">
        <f>IFERROR(_xlfn.XLOOKUP("Market Capitalization",Inputs!$B:$B,Inputs!O:O)/_xlfn.XLOOKUP("Shareholder's Equity",Inputs!$B:$B,Inputs!O:O),"")</f>
        <v/>
      </c>
      <c r="O11" s="16" t="str">
        <f>IFERROR(_xlfn.XLOOKUP("Market Capitalization",Inputs!$B:$B,Inputs!P:P)/_xlfn.XLOOKUP("Shareholder's Equity",Inputs!$B:$B,Inputs!P:P),"")</f>
        <v/>
      </c>
      <c r="P11" s="349" t="str">
        <f>IFERROR(_xlfn.XLOOKUP("Market Capitalization",Inputs!$B:$B,Inputs!Q:Q)/_xlfn.XLOOKUP("Shareholder's Equity",Inputs!$B:$B,Inputs!Q:Q),"")</f>
        <v/>
      </c>
      <c r="Q11" s="356" t="str">
        <f>IFERROR(+_xlfn.XLOOKUP("Equity Value",#REF!,#REF!)/(_xlfn.XLOOKUP("Shareholder's Equity",Inputs!$B:$B,Inputs!$Q:$Q)+_xlfn.XLOOKUP("Net Income",#REF!,#REF!)+_xlfn.XLOOKUP("Total Payout",#REF!,#REF!)),"")</f>
        <v/>
      </c>
      <c r="R11" s="356" t="str">
        <f>IFERROR(+_xlfn.XLOOKUP("Equity Value",#REF!,#REF!)/(_xlfn.XLOOKUP("Shareholder's Equity",Inputs!$B:$B,Inputs!$Q:$Q)+_xlfn.XLOOKUP("Net Income",#REF!,#REF!)+_xlfn.XLOOKUP("Total Payout",#REF!,#REF!)),"")</f>
        <v/>
      </c>
    </row>
    <row r="12" spans="2:19" ht="8.1" customHeight="1">
      <c r="B12" s="253"/>
      <c r="N12" s="254"/>
      <c r="O12" s="254"/>
      <c r="P12" s="352"/>
      <c r="Q12" s="357"/>
      <c r="R12" s="357"/>
    </row>
    <row r="13" spans="2:19" ht="15.6">
      <c r="B13" s="7" t="s">
        <v>242</v>
      </c>
      <c r="C13" s="56"/>
      <c r="D13" s="58"/>
      <c r="E13" s="58"/>
      <c r="F13" s="371">
        <v>2014</v>
      </c>
      <c r="G13" s="371">
        <f t="shared" ref="G13" si="5">+F13+1</f>
        <v>2015</v>
      </c>
      <c r="H13" s="371">
        <f t="shared" ref="H13" si="6">+G13+1</f>
        <v>2016</v>
      </c>
      <c r="I13" s="371">
        <f t="shared" ref="I13" si="7">+H13+1</f>
        <v>2017</v>
      </c>
      <c r="J13" s="371">
        <f t="shared" ref="J13" si="8">+I13+1</f>
        <v>2018</v>
      </c>
      <c r="K13" s="371">
        <f t="shared" ref="K13" si="9">+J13+1</f>
        <v>2019</v>
      </c>
      <c r="L13" s="371">
        <f t="shared" ref="L13" si="10">+K13+1</f>
        <v>2020</v>
      </c>
      <c r="M13" s="371">
        <f t="shared" ref="M13" si="11">+L13+1</f>
        <v>2021</v>
      </c>
      <c r="N13" s="371">
        <v>2022</v>
      </c>
      <c r="O13" s="371">
        <f t="shared" ref="O13" si="12">+N13+1</f>
        <v>2023</v>
      </c>
      <c r="P13" s="372">
        <f>+O13+1</f>
        <v>2024</v>
      </c>
      <c r="Q13" s="370">
        <f>+P13+1</f>
        <v>2025</v>
      </c>
      <c r="R13" s="370">
        <f>+Q13+1</f>
        <v>2026</v>
      </c>
    </row>
    <row r="14" spans="2:19" ht="3.95" customHeight="1">
      <c r="B14" s="251"/>
      <c r="C14" s="53"/>
      <c r="D14" s="60"/>
      <c r="E14" s="60"/>
      <c r="F14" s="60"/>
      <c r="G14" s="60"/>
      <c r="H14" s="60"/>
      <c r="I14" s="60"/>
      <c r="J14" s="60"/>
      <c r="K14" s="60"/>
      <c r="L14" s="60"/>
      <c r="M14" s="60"/>
      <c r="N14" s="224"/>
      <c r="O14" s="224"/>
      <c r="P14" s="351"/>
      <c r="Q14" s="224"/>
      <c r="R14" s="224"/>
    </row>
    <row r="15" spans="2:19" ht="15.6">
      <c r="B15" s="252" t="s">
        <v>30</v>
      </c>
      <c r="F15" s="256" t="str">
        <f>+IFERROR(_xlfn.XLOOKUP("Net Income",Inputs!$B:$B,Inputs!G:G)/_xlfn.XLOOKUP("Total Assets",Inputs!$B:$B,Inputs!G:G),"")</f>
        <v/>
      </c>
      <c r="G15" s="256" t="str">
        <f>+IFERROR(_xlfn.XLOOKUP("Net Income",Inputs!$B:$B,Inputs!H:H)/_xlfn.XLOOKUP("Total Assets",Inputs!$B:$B,Inputs!H:H),"")</f>
        <v/>
      </c>
      <c r="H15" s="256" t="str">
        <f>+IFERROR(_xlfn.XLOOKUP("Net Income",Inputs!$B:$B,Inputs!I:I)/_xlfn.XLOOKUP("Total Assets",Inputs!$B:$B,Inputs!I:I),"")</f>
        <v/>
      </c>
      <c r="I15" s="256" t="str">
        <f>+IFERROR(_xlfn.XLOOKUP("Net Income",Inputs!$B:$B,Inputs!J:J)/_xlfn.XLOOKUP("Total Assets",Inputs!$B:$B,Inputs!J:J),"")</f>
        <v/>
      </c>
      <c r="J15" s="256" t="str">
        <f>+IFERROR(_xlfn.XLOOKUP("Net Income",Inputs!$B:$B,Inputs!K:K)/_xlfn.XLOOKUP("Total Assets",Inputs!$B:$B,Inputs!K:K),"")</f>
        <v/>
      </c>
      <c r="K15" s="256" t="str">
        <f>+IFERROR(_xlfn.XLOOKUP("Net Income",Inputs!$B:$B,Inputs!L:L)/_xlfn.XLOOKUP("Total Assets",Inputs!$B:$B,Inputs!L:L),"")</f>
        <v/>
      </c>
      <c r="L15" s="256" t="str">
        <f>+IFERROR(_xlfn.XLOOKUP("Net Income",Inputs!$B:$B,Inputs!M:M)/_xlfn.XLOOKUP("Total Assets",Inputs!$B:$B,Inputs!M:M),"")</f>
        <v/>
      </c>
      <c r="M15" s="256">
        <f>+IFERROR(_xlfn.XLOOKUP("Net Income",Inputs!$B:$B,Inputs!N:N)/_xlfn.XLOOKUP("Total Assets",Inputs!$B:$B,Inputs!N:N),"")</f>
        <v>-0.10866551126516462</v>
      </c>
      <c r="N15" s="256">
        <f>+IFERROR(_xlfn.XLOOKUP("Net Income",Inputs!$B:$B,Inputs!O:O)/_xlfn.XLOOKUP("Total Assets",Inputs!$B:$B,Inputs!O:O),"")</f>
        <v>-0.10764331210191082</v>
      </c>
      <c r="O15" s="256">
        <f>+IFERROR(_xlfn.XLOOKUP("Net Income",Inputs!$B:$B,Inputs!P:P)/_xlfn.XLOOKUP("Total Assets",Inputs!$B:$B,Inputs!P:P),"")</f>
        <v>-0.16383340416489586</v>
      </c>
      <c r="P15" s="353">
        <f>+IFERROR(_xlfn.XLOOKUP("Net Income",Inputs!$B:$B,Inputs!Q:Q)/_xlfn.XLOOKUP("Total Assets",Inputs!$B:$B,Inputs!Q:Q),"")</f>
        <v>-0.12727349489149711</v>
      </c>
      <c r="Q15" s="358" t="str">
        <f>IFERROR(_xlfn.XLOOKUP("Net Income",#REF!,#REF!)/_xlfn.XLOOKUP("Total assets",#REF!,#REF!),"")</f>
        <v/>
      </c>
      <c r="R15" s="358" t="str">
        <f>IFERROR(_xlfn.XLOOKUP("Net Income",#REF!,#REF!)/_xlfn.XLOOKUP("Total assets",#REF!,#REF!),"")</f>
        <v/>
      </c>
      <c r="S15" s="22"/>
    </row>
    <row r="16" spans="2:19" ht="15.6">
      <c r="B16" s="252" t="s">
        <v>32</v>
      </c>
      <c r="F16" s="256" t="str">
        <f>IFERROR(_xlfn.XLOOKUP("Net Income",Inputs!$B:$B,Inputs!G:G)/_xlfn.XLOOKUP("Shareholder's Equity",Inputs!$B:$B,Inputs!G:G),"")</f>
        <v/>
      </c>
      <c r="G16" s="256" t="str">
        <f>IFERROR(_xlfn.XLOOKUP("Net Income",Inputs!$B:$B,Inputs!H:H)/_xlfn.XLOOKUP("Shareholder's Equity",Inputs!$B:$B,Inputs!H:H),"")</f>
        <v/>
      </c>
      <c r="H16" s="256" t="str">
        <f>IFERROR(_xlfn.XLOOKUP("Net Income",Inputs!$B:$B,Inputs!I:I)/_xlfn.XLOOKUP("Shareholder's Equity",Inputs!$B:$B,Inputs!I:I),"")</f>
        <v/>
      </c>
      <c r="I16" s="256" t="str">
        <f>IFERROR(_xlfn.XLOOKUP("Net Income",Inputs!$B:$B,Inputs!J:J)/_xlfn.XLOOKUP("Shareholder's Equity",Inputs!$B:$B,Inputs!J:J),"")</f>
        <v/>
      </c>
      <c r="J16" s="256" t="str">
        <f>IFERROR(_xlfn.XLOOKUP("Net Income",Inputs!$B:$B,Inputs!K:K)/_xlfn.XLOOKUP("Shareholder's Equity",Inputs!$B:$B,Inputs!K:K),"")</f>
        <v/>
      </c>
      <c r="K16" s="256" t="str">
        <f>IFERROR(_xlfn.XLOOKUP("Net Income",Inputs!$B:$B,Inputs!L:L)/_xlfn.XLOOKUP("Shareholder's Equity",Inputs!$B:$B,Inputs!L:L),"")</f>
        <v/>
      </c>
      <c r="L16" s="256" t="str">
        <f>IFERROR(_xlfn.XLOOKUP("Net Income",Inputs!$B:$B,Inputs!M:M)/_xlfn.XLOOKUP("Shareholder's Equity",Inputs!$B:$B,Inputs!M:M),"")</f>
        <v/>
      </c>
      <c r="M16" s="256">
        <f>IFERROR(_xlfn.XLOOKUP("Net Income",Inputs!$B:$B,Inputs!N:N)/_xlfn.XLOOKUP("Shareholder's Equity",Inputs!$B:$B,Inputs!N:N),"")</f>
        <v>-0.15259842519685035</v>
      </c>
      <c r="N16" s="256">
        <f>IFERROR(_xlfn.XLOOKUP("Net Income",Inputs!$B:$B,Inputs!O:O)/_xlfn.XLOOKUP("Shareholder's Equity",Inputs!$B:$B,Inputs!O:O),"")</f>
        <v>-0.15815508021390373</v>
      </c>
      <c r="O16" s="256">
        <f>IFERROR(_xlfn.XLOOKUP("Net Income",Inputs!$B:$B,Inputs!P:P)/_xlfn.XLOOKUP("Shareholder's Equity",Inputs!$B:$B,Inputs!P:P),"")</f>
        <v>-0.27808836789900809</v>
      </c>
      <c r="P16" s="353">
        <f>IFERROR(_xlfn.XLOOKUP("Net Income",Inputs!$B:$B,Inputs!Q:Q)/_xlfn.XLOOKUP("Shareholder's Equity",Inputs!$B:$B,Inputs!Q:Q),"")</f>
        <v>-0.39416841004184106</v>
      </c>
      <c r="Q16" s="358" t="str">
        <f>IFERROR(_xlfn.XLOOKUP("Net Income",#REF!,#REF!)/_xlfn.XLOOKUP("Shareholder's Equity",#REF!,#REF!),"")</f>
        <v/>
      </c>
      <c r="R16" s="358" t="str">
        <f>IFERROR(_xlfn.XLOOKUP("Net Income",#REF!,#REF!)/_xlfn.XLOOKUP("Shareholder's Equity",#REF!,#REF!),"")</f>
        <v/>
      </c>
      <c r="S16" s="22"/>
    </row>
    <row r="17" spans="2:19" ht="15.6">
      <c r="B17" s="252" t="s">
        <v>34</v>
      </c>
      <c r="F17" s="256" t="str">
        <f>IFERROR(_xlfn.XLOOKUP("NOPAT",Inputs!$B:$B,Inputs!G:G)/(_xlfn.XLOOKUP("Shareholder's Equity",Inputs!$B:$B,Inputs!G:G)+_xlfn.XLOOKUP("Total Debt",Inputs!$B:$B,Inputs!G:G,,,-1)),"")</f>
        <v/>
      </c>
      <c r="G17" s="256" t="str">
        <f>IFERROR(_xlfn.XLOOKUP("NOPAT",Inputs!$B:$B,Inputs!H:H)/(_xlfn.XLOOKUP("Shareholder's Equity",Inputs!$B:$B,Inputs!H:H)+_xlfn.XLOOKUP("Total Debt",Inputs!$B:$B,Inputs!H:H,,,-1)),"")</f>
        <v/>
      </c>
      <c r="H17" s="256" t="str">
        <f>IFERROR(_xlfn.XLOOKUP("NOPAT",Inputs!$B:$B,Inputs!I:I)/(_xlfn.XLOOKUP("Shareholder's Equity",Inputs!$B:$B,Inputs!I:I)+_xlfn.XLOOKUP("Total Debt",Inputs!$B:$B,Inputs!I:I,,,-1)),"")</f>
        <v/>
      </c>
      <c r="I17" s="256" t="str">
        <f>IFERROR(_xlfn.XLOOKUP("NOPAT",Inputs!$B:$B,Inputs!J:J)/(_xlfn.XLOOKUP("Shareholder's Equity",Inputs!$B:$B,Inputs!J:J)+_xlfn.XLOOKUP("Total Debt",Inputs!$B:$B,Inputs!J:J,,,-1)),"")</f>
        <v/>
      </c>
      <c r="J17" s="256" t="str">
        <f>IFERROR(_xlfn.XLOOKUP("NOPAT",Inputs!$B:$B,Inputs!K:K)/(_xlfn.XLOOKUP("Shareholder's Equity",Inputs!$B:$B,Inputs!K:K)+_xlfn.XLOOKUP("Total Debt",Inputs!$B:$B,Inputs!K:K,,,-1)),"")</f>
        <v/>
      </c>
      <c r="K17" s="256" t="str">
        <f>IFERROR(_xlfn.XLOOKUP("NOPAT",Inputs!$B:$B,Inputs!L:L)/(_xlfn.XLOOKUP("Shareholder's Equity",Inputs!$B:$B,Inputs!L:L)+_xlfn.XLOOKUP("Total Debt",Inputs!$B:$B,Inputs!L:L,,,-1)),"")</f>
        <v/>
      </c>
      <c r="L17" s="256" t="str">
        <f>IFERROR(_xlfn.XLOOKUP("NOPAT",Inputs!$B:$B,Inputs!M:M)/(_xlfn.XLOOKUP("Shareholder's Equity",Inputs!$B:$B,Inputs!M:M)+_xlfn.XLOOKUP("Total Debt",Inputs!$B:$B,Inputs!M:M,,,-1)),"")</f>
        <v/>
      </c>
      <c r="M17" s="256">
        <f>IFERROR(_xlfn.XLOOKUP("NOPAT",Inputs!$B:$B,Inputs!N:N)/(_xlfn.XLOOKUP("Shareholder's Equity",Inputs!$B:$B,Inputs!N:N)+_xlfn.XLOOKUP("Total Debt",Inputs!$B:$B,Inputs!N:N,,,-1)),"")</f>
        <v>-0.10314284281489809</v>
      </c>
      <c r="N17" s="256">
        <f>IFERROR(_xlfn.XLOOKUP("NOPAT",Inputs!$B:$B,Inputs!O:O)/(_xlfn.XLOOKUP("Shareholder's Equity",Inputs!$B:$B,Inputs!O:O)+_xlfn.XLOOKUP("Total Debt",Inputs!$B:$B,Inputs!O:O,,,-1)),"")</f>
        <v>-0.13640391777909619</v>
      </c>
      <c r="O17" s="256">
        <f>IFERROR(_xlfn.XLOOKUP("NOPAT",Inputs!$B:$B,Inputs!P:P)/(_xlfn.XLOOKUP("Shareholder's Equity",Inputs!$B:$B,Inputs!P:P)+_xlfn.XLOOKUP("Total Debt",Inputs!$B:$B,Inputs!P:P,,,-1)),"")</f>
        <v>-0.21705457741588782</v>
      </c>
      <c r="P17" s="353">
        <f>IFERROR(_xlfn.XLOOKUP("NOPAT",Inputs!$B:$B,Inputs!Q:Q)/(_xlfn.XLOOKUP("Shareholder's Equity",Inputs!$B:$B,Inputs!Q:Q)+_xlfn.XLOOKUP("Total Debt",Inputs!$B:$B,Inputs!Q:Q,,,-1)),"")</f>
        <v>-0.17937244744301103</v>
      </c>
      <c r="Q17" s="358" t="str">
        <f>+IFERROR(_xlfn.XLOOKUP("NOPAT",#REF!,#REF!)/(_xlfn.XLOOKUP("Shareholder's Equity",#REF!,#REF!)+_xlfn.XLOOKUP("Total Borrowings",#REF!,#REF!)+_xlfn.XLOOKUP("Total Leases",#REF!,#REF!)),"")</f>
        <v/>
      </c>
      <c r="R17" s="358" t="str">
        <f>+IFERROR(_xlfn.XLOOKUP("NOPAT",#REF!,#REF!)/(_xlfn.XLOOKUP("Shareholder's Equity",#REF!,#REF!)+_xlfn.XLOOKUP("Total Borrowings",#REF!,#REF!)+_xlfn.XLOOKUP("Total Leases",#REF!,#REF!)),"")</f>
        <v/>
      </c>
      <c r="S17" s="130"/>
    </row>
    <row r="18" spans="2:19" ht="15.6">
      <c r="B18" s="255" t="s">
        <v>36</v>
      </c>
      <c r="F18" s="256" t="str">
        <f>+IFERROR(_xlfn.XLOOKUP("EBITDA",Inputs!$B:$B,Inputs!G:G)/_xlfn.XLOOKUP("Revenue (Sales)",Inputs!$B:$B,Inputs!G:G),"")</f>
        <v/>
      </c>
      <c r="G18" s="256" t="str">
        <f>+IFERROR(_xlfn.XLOOKUP("EBITDA",Inputs!$B:$B,Inputs!H:H)/_xlfn.XLOOKUP("Revenue (Sales)",Inputs!$B:$B,Inputs!H:H),"")</f>
        <v/>
      </c>
      <c r="H18" s="256" t="str">
        <f>+IFERROR(_xlfn.XLOOKUP("EBITDA",Inputs!$B:$B,Inputs!I:I)/_xlfn.XLOOKUP("Revenue (Sales)",Inputs!$B:$B,Inputs!I:I),"")</f>
        <v/>
      </c>
      <c r="I18" s="256" t="str">
        <f>+IFERROR(_xlfn.XLOOKUP("EBITDA",Inputs!$B:$B,Inputs!J:J)/_xlfn.XLOOKUP("Revenue (Sales)",Inputs!$B:$B,Inputs!J:J),"")</f>
        <v/>
      </c>
      <c r="J18" s="256" t="str">
        <f>+IFERROR(_xlfn.XLOOKUP("EBITDA",Inputs!$B:$B,Inputs!K:K)/_xlfn.XLOOKUP("Revenue (Sales)",Inputs!$B:$B,Inputs!K:K),"")</f>
        <v/>
      </c>
      <c r="K18" s="256" t="str">
        <f>+IFERROR(_xlfn.XLOOKUP("EBITDA",Inputs!$B:$B,Inputs!L:L)/_xlfn.XLOOKUP("Revenue (Sales)",Inputs!$B:$B,Inputs!L:L),"")</f>
        <v/>
      </c>
      <c r="L18" s="256" t="str">
        <f>+IFERROR(_xlfn.XLOOKUP("EBITDA",Inputs!$B:$B,Inputs!M:M)/_xlfn.XLOOKUP("Revenue (Sales)",Inputs!$B:$B,Inputs!M:M),"")</f>
        <v/>
      </c>
      <c r="M18" s="256">
        <f>+IFERROR(_xlfn.XLOOKUP("EBITDA",Inputs!$B:$B,Inputs!N:N)/_xlfn.XLOOKUP("Revenue (Sales)",Inputs!$B:$B,Inputs!N:N),"")</f>
        <v>-1.6414790996784565</v>
      </c>
      <c r="N18" s="256">
        <f>+IFERROR(_xlfn.XLOOKUP("EBITDA",Inputs!$B:$B,Inputs!O:O)/_xlfn.XLOOKUP("Revenue (Sales)",Inputs!$B:$B,Inputs!O:O),"")</f>
        <v>-0.64075829383886251</v>
      </c>
      <c r="O18" s="256">
        <f>+IFERROR(_xlfn.XLOOKUP("EBITDA",Inputs!$B:$B,Inputs!P:P)/_xlfn.XLOOKUP("Revenue (Sales)",Inputs!$B:$B,Inputs!P:P),"")</f>
        <v>-0.7277187244480785</v>
      </c>
      <c r="P18" s="353">
        <f>+IFERROR(_xlfn.XLOOKUP("EBITDA",Inputs!$B:$B,Inputs!Q:Q)/_xlfn.XLOOKUP("Revenue (Sales)",Inputs!$B:$B,Inputs!Q:Q),"")</f>
        <v>-0.41746905089408537</v>
      </c>
      <c r="Q18" s="358" t="e">
        <f>+_xlfn.XLOOKUP("EBITDA Margin",#REF!,#REF!)</f>
        <v>#REF!</v>
      </c>
      <c r="R18" s="358" t="e">
        <f>+_xlfn.XLOOKUP("EBITDA Margin",#REF!,#REF!)</f>
        <v>#REF!</v>
      </c>
      <c r="S18" s="31"/>
    </row>
    <row r="19" spans="2:19" ht="15.6">
      <c r="B19" s="18" t="s">
        <v>25</v>
      </c>
      <c r="F19" s="256" t="str">
        <f>IFERROR(_xlfn.XLOOKUP("Operating Income (EBIT)",Inputs!$B:$B,Inputs!G:G)/_xlfn.XLOOKUP("Revenue (Sales)",Inputs!$B:$B,Inputs!G:G),"")</f>
        <v/>
      </c>
      <c r="G19" s="256" t="str">
        <f>IFERROR(_xlfn.XLOOKUP("Operating Income (EBIT)",Inputs!$B:$B,Inputs!H:H)/_xlfn.XLOOKUP("Revenue (Sales)",Inputs!$B:$B,Inputs!H:H),"")</f>
        <v/>
      </c>
      <c r="H19" s="256" t="str">
        <f>IFERROR(_xlfn.XLOOKUP("Operating Income (EBIT)",Inputs!$B:$B,Inputs!I:I)/_xlfn.XLOOKUP("Revenue (Sales)",Inputs!$B:$B,Inputs!I:I),"")</f>
        <v/>
      </c>
      <c r="I19" s="256" t="str">
        <f>IFERROR(_xlfn.XLOOKUP("Operating Income (EBIT)",Inputs!$B:$B,Inputs!J:J)/_xlfn.XLOOKUP("Revenue (Sales)",Inputs!$B:$B,Inputs!J:J),"")</f>
        <v/>
      </c>
      <c r="J19" s="256" t="str">
        <f>IFERROR(_xlfn.XLOOKUP("Operating Income (EBIT)",Inputs!$B:$B,Inputs!K:K)/_xlfn.XLOOKUP("Revenue (Sales)",Inputs!$B:$B,Inputs!K:K),"")</f>
        <v/>
      </c>
      <c r="K19" s="256" t="str">
        <f>IFERROR(_xlfn.XLOOKUP("Operating Income (EBIT)",Inputs!$B:$B,Inputs!L:L)/_xlfn.XLOOKUP("Revenue (Sales)",Inputs!$B:$B,Inputs!L:L),"")</f>
        <v/>
      </c>
      <c r="L19" s="256" t="str">
        <f>IFERROR(_xlfn.XLOOKUP("Operating Income (EBIT)",Inputs!$B:$B,Inputs!M:M)/_xlfn.XLOOKUP("Revenue (Sales)",Inputs!$B:$B,Inputs!M:M),"")</f>
        <v/>
      </c>
      <c r="M19" s="256">
        <f>IFERROR(_xlfn.XLOOKUP("Operating Income (EBIT)",Inputs!$B:$B,Inputs!N:N)/_xlfn.XLOOKUP("Revenue (Sales)",Inputs!$B:$B,Inputs!N:N),"")</f>
        <v>-1.467684887459807</v>
      </c>
      <c r="N19" s="256">
        <f>IFERROR(_xlfn.XLOOKUP("Operating Income (EBIT)",Inputs!$B:$B,Inputs!O:O)/_xlfn.XLOOKUP("Revenue (Sales)",Inputs!$B:$B,Inputs!O:O),"")</f>
        <v>-0.50127962085308053</v>
      </c>
      <c r="O19" s="256">
        <f>IFERROR(_xlfn.XLOOKUP("Operating Income (EBIT)",Inputs!$B:$B,Inputs!P:P)/_xlfn.XLOOKUP("Revenue (Sales)",Inputs!$B:$B,Inputs!P:P),"")</f>
        <v>-0.61120196238757152</v>
      </c>
      <c r="P19" s="353">
        <f>IFERROR(_xlfn.XLOOKUP("Operating Income (EBIT)",Inputs!$B:$B,Inputs!Q:Q)/_xlfn.XLOOKUP("Revenue (Sales)",Inputs!$B:$B,Inputs!Q:Q),"")</f>
        <v>-0.34440623567171025</v>
      </c>
      <c r="Q19" s="358" t="e">
        <f>+_xlfn.XLOOKUP("Operating Margin",#REF!,#REF!)</f>
        <v>#REF!</v>
      </c>
      <c r="R19" s="358" t="e">
        <f>+_xlfn.XLOOKUP("Operating Margin",#REF!,#REF!)</f>
        <v>#REF!</v>
      </c>
      <c r="S19" s="18"/>
    </row>
    <row r="20" spans="2:19" ht="15.6">
      <c r="B20" s="18" t="s">
        <v>603</v>
      </c>
      <c r="F20" s="256" t="str">
        <f>IFERROR(_xlfn.XLOOKUP("Pre-Tax Income (EBT)",Inputs!$B:$B,Inputs!G:G)/_xlfn.XLOOKUP("Revenue (Sales)",Inputs!$B:$B,Inputs!G:G),"")</f>
        <v/>
      </c>
      <c r="G20" s="256" t="str">
        <f>IFERROR(_xlfn.XLOOKUP("Pre-Tax Income (EBT)",Inputs!$B:$B,Inputs!H:H)/_xlfn.XLOOKUP("Revenue (Sales)",Inputs!$B:$B,Inputs!H:H),"")</f>
        <v/>
      </c>
      <c r="H20" s="256" t="str">
        <f>IFERROR(_xlfn.XLOOKUP("Pre-Tax Income (EBT)",Inputs!$B:$B,Inputs!I:I)/_xlfn.XLOOKUP("Revenue (Sales)",Inputs!$B:$B,Inputs!I:I),"")</f>
        <v/>
      </c>
      <c r="I20" s="256" t="str">
        <f>IFERROR(_xlfn.XLOOKUP("Pre-Tax Income (EBT)",Inputs!$B:$B,Inputs!J:J)/_xlfn.XLOOKUP("Revenue (Sales)",Inputs!$B:$B,Inputs!J:J),"")</f>
        <v/>
      </c>
      <c r="J20" s="256" t="str">
        <f>IFERROR(_xlfn.XLOOKUP("Pre-Tax Income (EBT)",Inputs!$B:$B,Inputs!K:K)/_xlfn.XLOOKUP("Revenue (Sales)",Inputs!$B:$B,Inputs!K:K),"")</f>
        <v/>
      </c>
      <c r="K20" s="256" t="str">
        <f>IFERROR(_xlfn.XLOOKUP("Pre-Tax Income (EBT)",Inputs!$B:$B,Inputs!L:L)/_xlfn.XLOOKUP("Revenue (Sales)",Inputs!$B:$B,Inputs!L:L),"")</f>
        <v/>
      </c>
      <c r="L20" s="256" t="str">
        <f>IFERROR(_xlfn.XLOOKUP("Pre-Tax Income (EBT)",Inputs!$B:$B,Inputs!M:M)/_xlfn.XLOOKUP("Revenue (Sales)",Inputs!$B:$B,Inputs!M:M),"")</f>
        <v/>
      </c>
      <c r="M20" s="256">
        <f>IFERROR(_xlfn.XLOOKUP("Pre-Tax Income (EBT)",Inputs!$B:$B,Inputs!N:N)/_xlfn.XLOOKUP("Revenue (Sales)",Inputs!$B:$B,Inputs!N:N),"")</f>
        <v>-1.8342443729903533</v>
      </c>
      <c r="N20" s="256">
        <f>IFERROR(_xlfn.XLOOKUP("Pre-Tax Income (EBT)",Inputs!$B:$B,Inputs!O:O)/_xlfn.XLOOKUP("Revenue (Sales)",Inputs!$B:$B,Inputs!O:O),"")</f>
        <v>-0.49037914691943119</v>
      </c>
      <c r="O20" s="256">
        <f>IFERROR(_xlfn.XLOOKUP("Pre-Tax Income (EBT)",Inputs!$B:$B,Inputs!P:P)/_xlfn.XLOOKUP("Revenue (Sales)",Inputs!$B:$B,Inputs!P:P),"")</f>
        <v>-0.61529026982829105</v>
      </c>
      <c r="P20" s="353">
        <f>IFERROR(_xlfn.XLOOKUP("Pre-Tax Income (EBT)",Inputs!$B:$B,Inputs!Q:Q)/_xlfn.XLOOKUP("Revenue (Sales)",Inputs!$B:$B,Inputs!Q:Q),"")</f>
        <v>-0.34371847776249431</v>
      </c>
      <c r="Q20" s="358" t="str">
        <f>IFERROR(_xlfn.XLOOKUP("Pre-Tax Income (EBT)",#REF!,#REF!)/_xlfn.XLOOKUP("Revenue (Sales)",#REF!,#REF!),"")</f>
        <v/>
      </c>
      <c r="R20" s="358" t="str">
        <f>IFERROR(_xlfn.XLOOKUP("Pre-Tax Income (EBT)",#REF!,#REF!)/_xlfn.XLOOKUP("Revenue (Sales)",#REF!,#REF!),"")</f>
        <v/>
      </c>
      <c r="S20" s="18"/>
    </row>
    <row r="21" spans="2:19" ht="15.6">
      <c r="B21" s="18" t="s">
        <v>38</v>
      </c>
      <c r="F21" s="256" t="str">
        <f>IFERROR(_xlfn.XLOOKUP("Gross Profit",Inputs!$B:$B,Inputs!G:G)/_xlfn.XLOOKUP("Revenue (Sales)",Inputs!$B:$B,Inputs!G:G),"")</f>
        <v/>
      </c>
      <c r="G21" s="256" t="str">
        <f>IFERROR(_xlfn.XLOOKUP("Gross Profit",Inputs!$B:$B,Inputs!H:H)/_xlfn.XLOOKUP("Revenue (Sales)",Inputs!$B:$B,Inputs!H:H),"")</f>
        <v/>
      </c>
      <c r="H21" s="256" t="str">
        <f>IFERROR(_xlfn.XLOOKUP("Gross Profit",Inputs!$B:$B,Inputs!I:I)/_xlfn.XLOOKUP("Revenue (Sales)",Inputs!$B:$B,Inputs!I:I),"")</f>
        <v/>
      </c>
      <c r="I21" s="256" t="str">
        <f>IFERROR(_xlfn.XLOOKUP("Gross Profit",Inputs!$B:$B,Inputs!J:J)/_xlfn.XLOOKUP("Revenue (Sales)",Inputs!$B:$B,Inputs!J:J),"")</f>
        <v/>
      </c>
      <c r="J21" s="256" t="str">
        <f>IFERROR(_xlfn.XLOOKUP("Gross Profit",Inputs!$B:$B,Inputs!K:K)/_xlfn.XLOOKUP("Revenue (Sales)",Inputs!$B:$B,Inputs!K:K),"")</f>
        <v/>
      </c>
      <c r="K21" s="256" t="str">
        <f>IFERROR(_xlfn.XLOOKUP("Gross Profit",Inputs!$B:$B,Inputs!L:L)/_xlfn.XLOOKUP("Revenue (Sales)",Inputs!$B:$B,Inputs!L:L),"")</f>
        <v/>
      </c>
      <c r="L21" s="256" t="str">
        <f>IFERROR(_xlfn.XLOOKUP("Gross Profit",Inputs!$B:$B,Inputs!M:M)/_xlfn.XLOOKUP("Revenue (Sales)",Inputs!$B:$B,Inputs!M:M),"")</f>
        <v/>
      </c>
      <c r="M21" s="256">
        <f>IFERROR(_xlfn.XLOOKUP("Gross Profit",Inputs!$B:$B,Inputs!N:N)/_xlfn.XLOOKUP("Revenue (Sales)",Inputs!$B:$B,Inputs!N:N),"")</f>
        <v>-3.054662379421208E-2</v>
      </c>
      <c r="N21" s="256">
        <f>IFERROR(_xlfn.XLOOKUP("Gross Profit",Inputs!$B:$B,Inputs!O:O)/_xlfn.XLOOKUP("Revenue (Sales)",Inputs!$B:$B,Inputs!O:O),"")</f>
        <v>9.004739336492891E-2</v>
      </c>
      <c r="O21" s="256">
        <f>IFERROR(_xlfn.XLOOKUP("Gross Profit",Inputs!$B:$B,Inputs!P:P)/_xlfn.XLOOKUP("Revenue (Sales)",Inputs!$B:$B,Inputs!P:P),"")</f>
        <v>0.2101390024529845</v>
      </c>
      <c r="P21" s="353">
        <f>IFERROR(_xlfn.XLOOKUP("Gross Profit",Inputs!$B:$B,Inputs!Q:Q)/_xlfn.XLOOKUP("Revenue (Sales)",Inputs!$B:$B,Inputs!Q:Q),"")</f>
        <v>0.26616231086657488</v>
      </c>
      <c r="Q21" s="358" t="e">
        <f>+_xlfn.XLOOKUP("Gross Profit Margin",#REF!,#REF!)</f>
        <v>#REF!</v>
      </c>
      <c r="R21" s="358" t="e">
        <f>+_xlfn.XLOOKUP("Gross Profit Margin",#REF!,#REF!)</f>
        <v>#REF!</v>
      </c>
      <c r="S21" s="18"/>
    </row>
    <row r="22" spans="2:19" ht="15.6">
      <c r="B22" s="18" t="s">
        <v>40</v>
      </c>
      <c r="F22" s="256" t="str">
        <f>IFERROR(+_xlfn.XLOOKUP("SG&amp;A (Selling, General &amp; Administrative)",Inputs!$B:$B,Inputs!G:G)/_xlfn.XLOOKUP("Revenue (Sales)",Inputs!$B:$B,Inputs!G:G),"")</f>
        <v/>
      </c>
      <c r="G22" s="256" t="str">
        <f>IFERROR(+_xlfn.XLOOKUP("SG&amp;A (Selling, General &amp; Administrative)",Inputs!$B:$B,Inputs!H:H)/_xlfn.XLOOKUP("Revenue (Sales)",Inputs!$B:$B,Inputs!H:H),"")</f>
        <v/>
      </c>
      <c r="H22" s="256" t="str">
        <f>IFERROR(+_xlfn.XLOOKUP("SG&amp;A (Selling, General &amp; Administrative)",Inputs!$B:$B,Inputs!I:I)/_xlfn.XLOOKUP("Revenue (Sales)",Inputs!$B:$B,Inputs!I:I),"")</f>
        <v/>
      </c>
      <c r="I22" s="256" t="str">
        <f>IFERROR(+_xlfn.XLOOKUP("SG&amp;A (Selling, General &amp; Administrative)",Inputs!$B:$B,Inputs!J:J)/_xlfn.XLOOKUP("Revenue (Sales)",Inputs!$B:$B,Inputs!J:J),"")</f>
        <v/>
      </c>
      <c r="J22" s="256" t="str">
        <f>IFERROR(+_xlfn.XLOOKUP("SG&amp;A (Selling, General &amp; Administrative)",Inputs!$B:$B,Inputs!K:K)/_xlfn.XLOOKUP("Revenue (Sales)",Inputs!$B:$B,Inputs!K:K),"")</f>
        <v/>
      </c>
      <c r="K22" s="256" t="str">
        <f>IFERROR(+_xlfn.XLOOKUP("SG&amp;A (Selling, General &amp; Administrative)",Inputs!$B:$B,Inputs!L:L)/_xlfn.XLOOKUP("Revenue (Sales)",Inputs!$B:$B,Inputs!L:L),"")</f>
        <v/>
      </c>
      <c r="L22" s="256" t="str">
        <f>IFERROR(+_xlfn.XLOOKUP("SG&amp;A (Selling, General &amp; Administrative)",Inputs!$B:$B,Inputs!M:M)/_xlfn.XLOOKUP("Revenue (Sales)",Inputs!$B:$B,Inputs!M:M),"")</f>
        <v/>
      </c>
      <c r="M22" s="256">
        <f>IFERROR(+_xlfn.XLOOKUP("SG&amp;A (Selling, General &amp; Administrative)",Inputs!$B:$B,Inputs!N:N)/_xlfn.XLOOKUP("Revenue (Sales)",Inputs!$B:$B,Inputs!N:N),"")</f>
        <v>0.93890675241157551</v>
      </c>
      <c r="N22" s="256">
        <f>IFERROR(+_xlfn.XLOOKUP("SG&amp;A (Selling, General &amp; Administrative)",Inputs!$B:$B,Inputs!O:O)/_xlfn.XLOOKUP("Revenue (Sales)",Inputs!$B:$B,Inputs!O:O),"")</f>
        <v>0.4218009478672986</v>
      </c>
      <c r="O22" s="256">
        <f>IFERROR(+_xlfn.XLOOKUP("SG&amp;A (Selling, General &amp; Administrative)",Inputs!$B:$B,Inputs!P:P)/_xlfn.XLOOKUP("Revenue (Sales)",Inputs!$B:$B,Inputs!P:P),"")</f>
        <v>0.45094031071136548</v>
      </c>
      <c r="P22" s="353">
        <f>IFERROR(+_xlfn.XLOOKUP("SG&amp;A (Selling, General &amp; Administrative)",Inputs!$B:$B,Inputs!Q:Q)/_xlfn.XLOOKUP("Revenue (Sales)",Inputs!$B:$B,Inputs!Q:Q),"")</f>
        <v>0.28381476386978449</v>
      </c>
      <c r="Q22" s="358" t="e">
        <f>+_xlfn.XLOOKUP("SG&amp;A Margin",#REF!,#REF!)</f>
        <v>#REF!</v>
      </c>
      <c r="R22" s="358" t="e">
        <f>+_xlfn.XLOOKUP("SG&amp;A Margin",#REF!,#REF!)</f>
        <v>#REF!</v>
      </c>
    </row>
    <row r="23" spans="2:19" ht="15.6">
      <c r="B23" s="18" t="s">
        <v>42</v>
      </c>
      <c r="F23" s="256" t="str">
        <f>IFERROR(_xlfn.XLOOKUP("Net Income",Inputs!$B:$B,Inputs!G:G)/_xlfn.XLOOKUP("Revenue (Sales)",Inputs!$B:$B,Inputs!G:G),"")</f>
        <v/>
      </c>
      <c r="G23" s="256" t="str">
        <f>IFERROR(_xlfn.XLOOKUP("Net Income",Inputs!$B:$B,Inputs!H:H)/_xlfn.XLOOKUP("Revenue (Sales)",Inputs!$B:$B,Inputs!H:H),"")</f>
        <v/>
      </c>
      <c r="H23" s="256" t="str">
        <f>IFERROR(_xlfn.XLOOKUP("Net Income",Inputs!$B:$B,Inputs!I:I)/_xlfn.XLOOKUP("Revenue (Sales)",Inputs!$B:$B,Inputs!I:I),"")</f>
        <v/>
      </c>
      <c r="I23" s="256" t="str">
        <f>IFERROR(_xlfn.XLOOKUP("Net Income",Inputs!$B:$B,Inputs!J:J)/_xlfn.XLOOKUP("Revenue (Sales)",Inputs!$B:$B,Inputs!J:J),"")</f>
        <v/>
      </c>
      <c r="J23" s="256" t="str">
        <f>IFERROR(_xlfn.XLOOKUP("Net Income",Inputs!$B:$B,Inputs!K:K)/_xlfn.XLOOKUP("Revenue (Sales)",Inputs!$B:$B,Inputs!K:K),"")</f>
        <v/>
      </c>
      <c r="K23" s="256" t="str">
        <f>IFERROR(_xlfn.XLOOKUP("Net Income",Inputs!$B:$B,Inputs!L:L)/_xlfn.XLOOKUP("Revenue (Sales)",Inputs!$B:$B,Inputs!L:L),"")</f>
        <v/>
      </c>
      <c r="L23" s="256" t="str">
        <f>IFERROR(_xlfn.XLOOKUP("Net Income",Inputs!$B:$B,Inputs!M:M)/_xlfn.XLOOKUP("Revenue (Sales)",Inputs!$B:$B,Inputs!M:M),"")</f>
        <v/>
      </c>
      <c r="M23" s="256">
        <f>IFERROR(_xlfn.XLOOKUP("Net Income",Inputs!$B:$B,Inputs!N:N)/_xlfn.XLOOKUP("Revenue (Sales)",Inputs!$B:$B,Inputs!N:N),"")</f>
        <v>-1.713665594855305</v>
      </c>
      <c r="N23" s="256">
        <f>IFERROR(_xlfn.XLOOKUP("Net Income",Inputs!$B:$B,Inputs!O:O)/_xlfn.XLOOKUP("Revenue (Sales)",Inputs!$B:$B,Inputs!O:O),"")</f>
        <v>-0.50459715639810421</v>
      </c>
      <c r="O23" s="256">
        <f>IFERROR(_xlfn.XLOOKUP("Net Income",Inputs!$B:$B,Inputs!P:P)/_xlfn.XLOOKUP("Revenue (Sales)",Inputs!$B:$B,Inputs!P:P),"")</f>
        <v>-0.63041700735895334</v>
      </c>
      <c r="P23" s="353">
        <f>IFERROR(_xlfn.XLOOKUP("Net Income",Inputs!$B:$B,Inputs!Q:Q)/_xlfn.XLOOKUP("Revenue (Sales)",Inputs!$B:$B,Inputs!Q:Q),"")</f>
        <v>-0.34555249885373684</v>
      </c>
      <c r="Q23" s="358" t="e">
        <f>+_xlfn.XLOOKUP("Net Income Margin",#REF!,#REF!)</f>
        <v>#REF!</v>
      </c>
      <c r="R23" s="358" t="e">
        <f>+_xlfn.XLOOKUP("Net Income Margin",#REF!,#REF!)</f>
        <v>#REF!</v>
      </c>
    </row>
    <row r="24" spans="2:19" ht="8.1" customHeight="1">
      <c r="N24" s="257"/>
      <c r="O24" s="257"/>
      <c r="P24" s="354"/>
      <c r="Q24" s="359"/>
      <c r="R24" s="359"/>
    </row>
    <row r="25" spans="2:19" ht="15.6">
      <c r="B25" s="7" t="s">
        <v>252</v>
      </c>
      <c r="C25" s="56"/>
      <c r="D25" s="58"/>
      <c r="E25" s="58"/>
      <c r="F25" s="371">
        <v>2014</v>
      </c>
      <c r="G25" s="371">
        <f t="shared" ref="G25" si="13">+F25+1</f>
        <v>2015</v>
      </c>
      <c r="H25" s="371">
        <f t="shared" ref="H25" si="14">+G25+1</f>
        <v>2016</v>
      </c>
      <c r="I25" s="371">
        <f t="shared" ref="I25" si="15">+H25+1</f>
        <v>2017</v>
      </c>
      <c r="J25" s="371">
        <f t="shared" ref="J25" si="16">+I25+1</f>
        <v>2018</v>
      </c>
      <c r="K25" s="371">
        <f t="shared" ref="K25" si="17">+J25+1</f>
        <v>2019</v>
      </c>
      <c r="L25" s="371">
        <f t="shared" ref="L25" si="18">+K25+1</f>
        <v>2020</v>
      </c>
      <c r="M25" s="371">
        <f t="shared" ref="M25" si="19">+L25+1</f>
        <v>2021</v>
      </c>
      <c r="N25" s="371">
        <v>2022</v>
      </c>
      <c r="O25" s="371">
        <f t="shared" ref="O25" si="20">+N25+1</f>
        <v>2023</v>
      </c>
      <c r="P25" s="372">
        <f>+O25+1</f>
        <v>2024</v>
      </c>
      <c r="Q25" s="370">
        <f>+P25+1</f>
        <v>2025</v>
      </c>
      <c r="R25" s="370">
        <f>+Q25+1</f>
        <v>2026</v>
      </c>
    </row>
    <row r="26" spans="2:19" ht="3.95" customHeight="1">
      <c r="B26" s="251"/>
      <c r="C26" s="53"/>
      <c r="D26" s="60"/>
      <c r="E26" s="60"/>
      <c r="F26" s="60"/>
      <c r="G26" s="60"/>
      <c r="H26" s="60"/>
      <c r="I26" s="60"/>
      <c r="J26" s="60"/>
      <c r="K26" s="60"/>
      <c r="L26" s="60"/>
      <c r="M26" s="60"/>
      <c r="N26" s="224"/>
      <c r="O26" s="224"/>
      <c r="P26" s="351"/>
      <c r="Q26" s="224"/>
      <c r="R26" s="224"/>
    </row>
    <row r="27" spans="2:19" ht="15" customHeight="1">
      <c r="B27" s="33" t="s">
        <v>50</v>
      </c>
      <c r="C27" s="130"/>
      <c r="D27" s="246"/>
      <c r="F27" s="16" t="str">
        <f>+IFERROR(_xlfn.XLOOKUP("Cash &amp; Cash Equivalents",Inputs!$B:$B,Inputs!G:G)/_xlfn.XLOOKUP("Current Liabilities",Inputs!$B:$B,Inputs!G:G),"")</f>
        <v/>
      </c>
      <c r="G27" s="16" t="str">
        <f>+IFERROR(_xlfn.XLOOKUP("Cash &amp; Cash Equivalents",Inputs!$B:$B,Inputs!H:H)/_xlfn.XLOOKUP("Current Liabilities",Inputs!$B:$B,Inputs!H:H),"")</f>
        <v/>
      </c>
      <c r="H27" s="16" t="str">
        <f>+IFERROR(_xlfn.XLOOKUP("Cash &amp; Cash Equivalents",Inputs!$B:$B,Inputs!I:I)/_xlfn.XLOOKUP("Current Liabilities",Inputs!$B:$B,Inputs!I:I),"")</f>
        <v/>
      </c>
      <c r="I27" s="16" t="str">
        <f>+IFERROR(_xlfn.XLOOKUP("Cash &amp; Cash Equivalents",Inputs!$B:$B,Inputs!J:J)/_xlfn.XLOOKUP("Current Liabilities",Inputs!$B:$B,Inputs!J:J),"")</f>
        <v/>
      </c>
      <c r="J27" s="16" t="str">
        <f>+IFERROR(_xlfn.XLOOKUP("Cash &amp; Cash Equivalents",Inputs!$B:$B,Inputs!K:K)/_xlfn.XLOOKUP("Current Liabilities",Inputs!$B:$B,Inputs!K:K),"")</f>
        <v/>
      </c>
      <c r="K27" s="16" t="str">
        <f>+IFERROR(_xlfn.XLOOKUP("Cash &amp; Cash Equivalents",Inputs!$B:$B,Inputs!L:L)/_xlfn.XLOOKUP("Current Liabilities",Inputs!$B:$B,Inputs!L:L),"")</f>
        <v/>
      </c>
      <c r="L27" s="16" t="str">
        <f>+IFERROR(_xlfn.XLOOKUP("Cash &amp; Cash Equivalents",Inputs!$B:$B,Inputs!M:M)/_xlfn.XLOOKUP("Current Liabilities",Inputs!$B:$B,Inputs!M:M),"")</f>
        <v/>
      </c>
      <c r="M27" s="16">
        <f>+IFERROR(_xlfn.XLOOKUP("Cash &amp; Cash Equivalents",Inputs!$B:$B,Inputs!N:N)/_xlfn.XLOOKUP("Current Liabilities",Inputs!$B:$B,Inputs!N:N),"")</f>
        <v>7.1754932502596054</v>
      </c>
      <c r="N27" s="16">
        <f>+IFERROR(_xlfn.XLOOKUP("Cash &amp; Cash Equivalents",Inputs!$B:$B,Inputs!O:O)/_xlfn.XLOOKUP("Current Liabilities",Inputs!$B:$B,Inputs!O:O),"")</f>
        <v>1.4886433394720686</v>
      </c>
      <c r="O27" s="16">
        <f>+IFERROR(_xlfn.XLOOKUP("Cash &amp; Cash Equivalents",Inputs!$B:$B,Inputs!P:P)/_xlfn.XLOOKUP("Current Liabilities",Inputs!$B:$B,Inputs!P:P),"")</f>
        <v>0.72739480752014318</v>
      </c>
      <c r="P27" s="349">
        <f>+IFERROR(_xlfn.XLOOKUP("Cash &amp; Cash Equivalents",Inputs!$B:$B,Inputs!Q:Q)/_xlfn.XLOOKUP("Current Liabilities",Inputs!$B:$B,Inputs!Q:Q),"")</f>
        <v>0.79823269513991169</v>
      </c>
      <c r="Q27" s="356" t="str">
        <f>+IFERROR((_xlfn.XLOOKUP("Cash &amp; Cash Equivalents &amp; ST Investments",#REF!,#REF!)-_xlfn.XLOOKUP("Short-Term Investments",Inputs!$B:$B,Inputs!$Q:$Q))/_xlfn.XLOOKUP("Current Liabilities",#REF!,#REF!),"")</f>
        <v/>
      </c>
      <c r="R27" s="356" t="str">
        <f>+IFERROR((_xlfn.XLOOKUP("Cash &amp; Cash Equivalents &amp; ST Investments",#REF!,#REF!)-_xlfn.XLOOKUP("Short-Term Investments",Inputs!$B:$B,Inputs!$Q:$Q))/_xlfn.XLOOKUP("Current Liabilities",#REF!,#REF!),"")</f>
        <v/>
      </c>
    </row>
    <row r="28" spans="2:19" ht="15.6">
      <c r="B28" s="18" t="s">
        <v>53</v>
      </c>
      <c r="F28" s="16" t="str">
        <f>IFERROR((_xlfn.XLOOKUP("Cash &amp; Cash Equivalents &amp; ST Investments",Inputs!$B:$B,Inputs!G:G)+_xlfn.XLOOKUP("Accounts Receivable",Inputs!$B:$B,Inputs!G:G))/_xlfn.XLOOKUP("Current Liabilities",Inputs!$B:$B,Inputs!G:G),"")</f>
        <v/>
      </c>
      <c r="G28" s="16" t="str">
        <f>IFERROR((_xlfn.XLOOKUP("Cash &amp; Cash Equivalents &amp; ST Investments",Inputs!$B:$B,Inputs!H:H)+_xlfn.XLOOKUP("Accounts Receivable",Inputs!$B:$B,Inputs!H:H))/_xlfn.XLOOKUP("Current Liabilities",Inputs!$B:$B,Inputs!H:H),"")</f>
        <v/>
      </c>
      <c r="H28" s="16" t="str">
        <f>IFERROR((_xlfn.XLOOKUP("Cash &amp; Cash Equivalents &amp; ST Investments",Inputs!$B:$B,Inputs!I:I)+_xlfn.XLOOKUP("Accounts Receivable",Inputs!$B:$B,Inputs!I:I))/_xlfn.XLOOKUP("Current Liabilities",Inputs!$B:$B,Inputs!I:I),"")</f>
        <v/>
      </c>
      <c r="I28" s="16" t="str">
        <f>IFERROR((_xlfn.XLOOKUP("Cash &amp; Cash Equivalents &amp; ST Investments",Inputs!$B:$B,Inputs!J:J)+_xlfn.XLOOKUP("Accounts Receivable",Inputs!$B:$B,Inputs!J:J))/_xlfn.XLOOKUP("Current Liabilities",Inputs!$B:$B,Inputs!J:J),"")</f>
        <v/>
      </c>
      <c r="J28" s="16" t="str">
        <f>IFERROR((_xlfn.XLOOKUP("Cash &amp; Cash Equivalents &amp; ST Investments",Inputs!$B:$B,Inputs!K:K)+_xlfn.XLOOKUP("Accounts Receivable",Inputs!$B:$B,Inputs!K:K))/_xlfn.XLOOKUP("Current Liabilities",Inputs!$B:$B,Inputs!K:K),"")</f>
        <v/>
      </c>
      <c r="K28" s="16" t="str">
        <f>IFERROR((_xlfn.XLOOKUP("Cash &amp; Cash Equivalents &amp; ST Investments",Inputs!$B:$B,Inputs!L:L)+_xlfn.XLOOKUP("Accounts Receivable",Inputs!$B:$B,Inputs!L:L))/_xlfn.XLOOKUP("Current Liabilities",Inputs!$B:$B,Inputs!L:L),"")</f>
        <v/>
      </c>
      <c r="L28" s="16" t="str">
        <f>IFERROR((_xlfn.XLOOKUP("Cash &amp; Cash Equivalents &amp; ST Investments",Inputs!$B:$B,Inputs!M:M)+_xlfn.XLOOKUP("Accounts Receivable",Inputs!$B:$B,Inputs!M:M))/_xlfn.XLOOKUP("Current Liabilities",Inputs!$B:$B,Inputs!M:M),"")</f>
        <v/>
      </c>
      <c r="M28" s="16">
        <f>IFERROR((_xlfn.XLOOKUP("Cash &amp; Cash Equivalents &amp; ST Investments",Inputs!$B:$B,Inputs!N:N)+_xlfn.XLOOKUP("Accounts Receivable",Inputs!$B:$B,Inputs!N:N))/_xlfn.XLOOKUP("Current Liabilities",Inputs!$B:$B,Inputs!N:N),"")</f>
        <v>7.3208722741433023</v>
      </c>
      <c r="N28" s="16">
        <f>IFERROR((_xlfn.XLOOKUP("Cash &amp; Cash Equivalents &amp; ST Investments",Inputs!$B:$B,Inputs!O:O)+_xlfn.XLOOKUP("Accounts Receivable",Inputs!$B:$B,Inputs!O:O))/_xlfn.XLOOKUP("Current Liabilities",Inputs!$B:$B,Inputs!O:O),"")</f>
        <v>3.1209330877839165</v>
      </c>
      <c r="O28" s="16">
        <f>IFERROR((_xlfn.XLOOKUP("Cash &amp; Cash Equivalents &amp; ST Investments",Inputs!$B:$B,Inputs!P:P)+_xlfn.XLOOKUP("Accounts Receivable",Inputs!$B:$B,Inputs!P:P))/_xlfn.XLOOKUP("Current Liabilities",Inputs!$B:$B,Inputs!P:P),"")</f>
        <v>1.2533572068039391</v>
      </c>
      <c r="P28" s="349">
        <f>IFERROR((_xlfn.XLOOKUP("Cash &amp; Cash Equivalents &amp; ST Investments",Inputs!$B:$B,Inputs!Q:Q)+_xlfn.XLOOKUP("Accounts Receivable",Inputs!$B:$B,Inputs!Q:Q))/_xlfn.XLOOKUP("Current Liabilities",Inputs!$B:$B,Inputs!Q:Q),"")</f>
        <v>1.3410898379970544</v>
      </c>
      <c r="Q28" s="356" t="str">
        <f>+IFERROR((_xlfn.XLOOKUP("Cash &amp; Cash Equivalents &amp; ST Investments",#REF!,#REF!)+_xlfn.XLOOKUP("Accounts Receivable",#REF!,#REF!))/_xlfn.XLOOKUP("Current Liabilities",#REF!,#REF!),"")</f>
        <v/>
      </c>
      <c r="R28" s="356" t="str">
        <f>+IFERROR((_xlfn.XLOOKUP("Cash &amp; Cash Equivalents &amp; ST Investments",#REF!,#REF!)+_xlfn.XLOOKUP("Accounts Receivable",#REF!,#REF!))/_xlfn.XLOOKUP("Current Liabilities",#REF!,#REF!),"")</f>
        <v/>
      </c>
    </row>
    <row r="29" spans="2:19" ht="15.6">
      <c r="B29" s="18" t="s">
        <v>55</v>
      </c>
      <c r="F29" s="16" t="str">
        <f>IFERROR(_xlfn.XLOOKUP("Current Assets",Inputs!$B:$B,Inputs!G:G)/+_xlfn.XLOOKUP("Current Liabilities",Inputs!$B:$B,Inputs!G:G),"")</f>
        <v/>
      </c>
      <c r="G29" s="16" t="str">
        <f>IFERROR(_xlfn.XLOOKUP("Current Assets",Inputs!$B:$B,Inputs!H:H)/+_xlfn.XLOOKUP("Current Liabilities",Inputs!$B:$B,Inputs!H:H),"")</f>
        <v/>
      </c>
      <c r="H29" s="16" t="str">
        <f>IFERROR(_xlfn.XLOOKUP("Current Assets",Inputs!$B:$B,Inputs!I:I)/+_xlfn.XLOOKUP("Current Liabilities",Inputs!$B:$B,Inputs!I:I),"")</f>
        <v/>
      </c>
      <c r="I29" s="16" t="str">
        <f>IFERROR(_xlfn.XLOOKUP("Current Assets",Inputs!$B:$B,Inputs!J:J)/+_xlfn.XLOOKUP("Current Liabilities",Inputs!$B:$B,Inputs!J:J),"")</f>
        <v/>
      </c>
      <c r="J29" s="16" t="str">
        <f>IFERROR(_xlfn.XLOOKUP("Current Assets",Inputs!$B:$B,Inputs!K:K)/+_xlfn.XLOOKUP("Current Liabilities",Inputs!$B:$B,Inputs!K:K),"")</f>
        <v/>
      </c>
      <c r="K29" s="16" t="str">
        <f>IFERROR(_xlfn.XLOOKUP("Current Assets",Inputs!$B:$B,Inputs!L:L)/+_xlfn.XLOOKUP("Current Liabilities",Inputs!$B:$B,Inputs!L:L),"")</f>
        <v/>
      </c>
      <c r="L29" s="16" t="str">
        <f>IFERROR(_xlfn.XLOOKUP("Current Assets",Inputs!$B:$B,Inputs!M:M)/+_xlfn.XLOOKUP("Current Liabilities",Inputs!$B:$B,Inputs!M:M),"")</f>
        <v/>
      </c>
      <c r="M29" s="16">
        <f>IFERROR(_xlfn.XLOOKUP("Current Assets",Inputs!$B:$B,Inputs!N:N)/+_xlfn.XLOOKUP("Current Liabilities",Inputs!$B:$B,Inputs!N:N),"")</f>
        <v>8.0456905503634477</v>
      </c>
      <c r="N29" s="16">
        <f>IFERROR(_xlfn.XLOOKUP("Current Assets",Inputs!$B:$B,Inputs!O:O)/+_xlfn.XLOOKUP("Current Liabilities",Inputs!$B:$B,Inputs!O:O),"")</f>
        <v>4.0656844689993861</v>
      </c>
      <c r="O29" s="16">
        <f>IFERROR(_xlfn.XLOOKUP("Current Assets",Inputs!$B:$B,Inputs!P:P)/+_xlfn.XLOOKUP("Current Liabilities",Inputs!$B:$B,Inputs!P:P),"")</f>
        <v>2.1338406445837061</v>
      </c>
      <c r="P29" s="349">
        <f>IFERROR(_xlfn.XLOOKUP("Current Assets",Inputs!$B:$B,Inputs!Q:Q)/+_xlfn.XLOOKUP("Current Liabilities",Inputs!$B:$B,Inputs!Q:Q),"")</f>
        <v>2.0400589101620028</v>
      </c>
      <c r="Q29" s="356" t="str">
        <f>+IFERROR(_xlfn.XLOOKUP("Current Assets",#REF!,#REF!)/_xlfn.XLOOKUP("Current Liabilities",#REF!,#REF!),"")</f>
        <v/>
      </c>
      <c r="R29" s="356" t="str">
        <f>+IFERROR(_xlfn.XLOOKUP("Current Assets",#REF!,#REF!)/_xlfn.XLOOKUP("Current Liabilities",#REF!,#REF!),"")</f>
        <v/>
      </c>
    </row>
    <row r="30" spans="2:19" ht="8.1" customHeight="1">
      <c r="N30" s="16"/>
      <c r="O30" s="16"/>
      <c r="P30" s="349"/>
      <c r="Q30" s="356"/>
      <c r="R30" s="356"/>
    </row>
    <row r="31" spans="2:19" ht="15.6">
      <c r="B31" s="7" t="s">
        <v>604</v>
      </c>
      <c r="C31" s="56"/>
      <c r="D31" s="58"/>
      <c r="E31" s="58"/>
      <c r="F31" s="371">
        <v>2014</v>
      </c>
      <c r="G31" s="371">
        <f t="shared" ref="G31" si="21">+F31+1</f>
        <v>2015</v>
      </c>
      <c r="H31" s="371">
        <f t="shared" ref="H31" si="22">+G31+1</f>
        <v>2016</v>
      </c>
      <c r="I31" s="371">
        <f t="shared" ref="I31" si="23">+H31+1</f>
        <v>2017</v>
      </c>
      <c r="J31" s="371">
        <f t="shared" ref="J31" si="24">+I31+1</f>
        <v>2018</v>
      </c>
      <c r="K31" s="371">
        <f t="shared" ref="K31" si="25">+J31+1</f>
        <v>2019</v>
      </c>
      <c r="L31" s="371">
        <f t="shared" ref="L31" si="26">+K31+1</f>
        <v>2020</v>
      </c>
      <c r="M31" s="371">
        <f t="shared" ref="M31" si="27">+L31+1</f>
        <v>2021</v>
      </c>
      <c r="N31" s="371">
        <v>2022</v>
      </c>
      <c r="O31" s="371">
        <f t="shared" ref="O31" si="28">+N31+1</f>
        <v>2023</v>
      </c>
      <c r="P31" s="372">
        <f>+O31+1</f>
        <v>2024</v>
      </c>
      <c r="Q31" s="370">
        <f>+P31+1</f>
        <v>2025</v>
      </c>
      <c r="R31" s="370">
        <f>+Q31+1</f>
        <v>2026</v>
      </c>
    </row>
    <row r="32" spans="2:19" ht="3.95" customHeight="1">
      <c r="B32" s="251"/>
      <c r="C32" s="53"/>
      <c r="D32" s="60"/>
      <c r="E32" s="60"/>
      <c r="F32" s="60"/>
      <c r="G32" s="60"/>
      <c r="H32" s="60"/>
      <c r="I32" s="60"/>
      <c r="J32" s="60"/>
      <c r="K32" s="60"/>
      <c r="L32" s="60"/>
      <c r="M32" s="60"/>
      <c r="N32" s="224"/>
      <c r="O32" s="224"/>
      <c r="P32" s="351"/>
      <c r="Q32" s="224"/>
      <c r="R32" s="224"/>
    </row>
    <row r="33" spans="2:18" ht="15.6">
      <c r="B33" s="18" t="s">
        <v>605</v>
      </c>
      <c r="F33" s="258" t="str">
        <f>+_xlfn.XLOOKUP("DSO",Inputs!$B:$B,Inputs!G:G)</f>
        <v/>
      </c>
      <c r="G33" s="258" t="str">
        <f>+_xlfn.XLOOKUP("DSO",Inputs!$B:$B,Inputs!H:H)</f>
        <v/>
      </c>
      <c r="H33" s="258" t="str">
        <f>+_xlfn.XLOOKUP("DSO",Inputs!$B:$B,Inputs!I:I)</f>
        <v/>
      </c>
      <c r="I33" s="258" t="str">
        <f>+_xlfn.XLOOKUP("DSO",Inputs!$B:$B,Inputs!J:J)</f>
        <v/>
      </c>
      <c r="J33" s="258" t="str">
        <f>+_xlfn.XLOOKUP("DSO",Inputs!$B:$B,Inputs!K:K)</f>
        <v/>
      </c>
      <c r="K33" s="258" t="str">
        <f>+_xlfn.XLOOKUP("DSO",Inputs!$B:$B,Inputs!L:L)</f>
        <v/>
      </c>
      <c r="L33" s="258" t="str">
        <f>+_xlfn.XLOOKUP("DSO",Inputs!$B:$B,Inputs!M:M)</f>
        <v/>
      </c>
      <c r="M33" s="258">
        <f>+_xlfn.XLOOKUP("DSO",Inputs!$B:$B,Inputs!N:N)</f>
        <v>82.154340836012864</v>
      </c>
      <c r="N33" s="258">
        <f>+_xlfn.XLOOKUP("DSO",Inputs!$B:$B,Inputs!O:O)</f>
        <v>63.312796208530813</v>
      </c>
      <c r="O33" s="258">
        <f>+_xlfn.XLOOKUP("DSO",Inputs!$B:$B,Inputs!P:P)</f>
        <v>52.526573998364682</v>
      </c>
      <c r="P33" s="355">
        <f>+_xlfn.XLOOKUP("DSO",Inputs!$B:$B,Inputs!Q:Q)</f>
        <v>30.458505272810637</v>
      </c>
      <c r="Q33" s="360" t="e">
        <f>+_xlfn.XLOOKUP("DSO",#REF!,#REF!)</f>
        <v>#REF!</v>
      </c>
      <c r="R33" s="360" t="e">
        <f>+_xlfn.XLOOKUP("DSO",#REF!,#REF!)</f>
        <v>#REF!</v>
      </c>
    </row>
    <row r="34" spans="2:18" ht="15.6">
      <c r="B34" s="252" t="s">
        <v>606</v>
      </c>
      <c r="F34" s="258" t="str">
        <f>+_xlfn.XLOOKUP("DPO",Inputs!$B:$B,Inputs!G:G)</f>
        <v/>
      </c>
      <c r="G34" s="258" t="str">
        <f>+_xlfn.XLOOKUP("DPO",Inputs!$B:$B,Inputs!H:H)</f>
        <v/>
      </c>
      <c r="H34" s="258" t="str">
        <f>+_xlfn.XLOOKUP("DPO",Inputs!$B:$B,Inputs!I:I)</f>
        <v/>
      </c>
      <c r="I34" s="258" t="str">
        <f>+_xlfn.XLOOKUP("DPO",Inputs!$B:$B,Inputs!J:J)</f>
        <v/>
      </c>
      <c r="J34" s="258" t="str">
        <f>+_xlfn.XLOOKUP("DPO",Inputs!$B:$B,Inputs!K:K)</f>
        <v/>
      </c>
      <c r="K34" s="258" t="str">
        <f>+_xlfn.XLOOKUP("DPO",Inputs!$B:$B,Inputs!L:L)</f>
        <v/>
      </c>
      <c r="L34" s="258" t="str">
        <f>+_xlfn.XLOOKUP("DPO",Inputs!$B:$B,Inputs!M:M)</f>
        <v/>
      </c>
      <c r="M34" s="258">
        <f>+_xlfn.XLOOKUP("DPO",Inputs!$B:$B,Inputs!N:N)</f>
        <v>85.088424437299039</v>
      </c>
      <c r="N34" s="258">
        <f>+_xlfn.XLOOKUP("DPO",Inputs!$B:$B,Inputs!O:O)</f>
        <v>35.981042654028435</v>
      </c>
      <c r="O34" s="258">
        <f>+_xlfn.XLOOKUP("DPO",Inputs!$B:$B,Inputs!P:P)</f>
        <v>52.078904333605884</v>
      </c>
      <c r="P34" s="355">
        <f>+_xlfn.XLOOKUP("DPO",Inputs!$B:$B,Inputs!Q:Q)</f>
        <v>60.665978908757452</v>
      </c>
      <c r="Q34" s="360" t="e">
        <f>+_xlfn.XLOOKUP("DPO",#REF!,#REF!)</f>
        <v>#REF!</v>
      </c>
      <c r="R34" s="360" t="e">
        <f>+_xlfn.XLOOKUP("DPO",#REF!,#REF!)</f>
        <v>#REF!</v>
      </c>
    </row>
    <row r="35" spans="2:18" ht="15.6">
      <c r="B35" s="252" t="s">
        <v>607</v>
      </c>
      <c r="F35" s="258" t="str">
        <f>+_xlfn.XLOOKUP("DIH",Inputs!$B:$B,Inputs!G:G)</f>
        <v/>
      </c>
      <c r="G35" s="258" t="str">
        <f>+_xlfn.XLOOKUP("DIH",Inputs!$B:$B,Inputs!H:H)</f>
        <v/>
      </c>
      <c r="H35" s="258" t="str">
        <f>+_xlfn.XLOOKUP("DIH",Inputs!$B:$B,Inputs!I:I)</f>
        <v/>
      </c>
      <c r="I35" s="258" t="str">
        <f>+_xlfn.XLOOKUP("DIH",Inputs!$B:$B,Inputs!J:J)</f>
        <v/>
      </c>
      <c r="J35" s="258" t="str">
        <f>+_xlfn.XLOOKUP("DIH",Inputs!$B:$B,Inputs!K:K)</f>
        <v/>
      </c>
      <c r="K35" s="258" t="str">
        <f>+_xlfn.XLOOKUP("DIH",Inputs!$B:$B,Inputs!L:L)</f>
        <v/>
      </c>
      <c r="L35" s="258" t="str">
        <f>+_xlfn.XLOOKUP("DIH",Inputs!$B:$B,Inputs!M:M)</f>
        <v/>
      </c>
      <c r="M35" s="258">
        <f>+_xlfn.XLOOKUP("DIH",Inputs!$B:$B,Inputs!N:N)</f>
        <v>272.75351014040564</v>
      </c>
      <c r="N35" s="258">
        <f>+_xlfn.XLOOKUP("DIH",Inputs!$B:$B,Inputs!O:O)</f>
        <v>175.46614583333331</v>
      </c>
      <c r="O35" s="258">
        <f>+_xlfn.XLOOKUP("DIH",Inputs!$B:$B,Inputs!P:P)</f>
        <v>203.84834368530025</v>
      </c>
      <c r="P35" s="355">
        <f>+_xlfn.XLOOKUP("DIH",Inputs!$B:$B,Inputs!Q:Q)</f>
        <v>135.80599812558575</v>
      </c>
      <c r="Q35" s="360" t="e">
        <f>+_xlfn.XLOOKUP("DIH",#REF!,#REF!)</f>
        <v>#REF!</v>
      </c>
      <c r="R35" s="360" t="e">
        <f>+_xlfn.XLOOKUP("DIH",#REF!,#REF!)</f>
        <v>#REF!</v>
      </c>
    </row>
    <row r="36" spans="2:18" ht="15.6">
      <c r="B36" s="252" t="s">
        <v>67</v>
      </c>
      <c r="F36" s="258" t="str">
        <f>IFERROR(F35+F33-F34,"")</f>
        <v/>
      </c>
      <c r="G36" s="258" t="str">
        <f t="shared" ref="G36:P36" si="29">IFERROR(G35+G33-G34,"")</f>
        <v/>
      </c>
      <c r="H36" s="258" t="str">
        <f t="shared" si="29"/>
        <v/>
      </c>
      <c r="I36" s="258" t="str">
        <f t="shared" si="29"/>
        <v/>
      </c>
      <c r="J36" s="258" t="str">
        <f t="shared" si="29"/>
        <v/>
      </c>
      <c r="K36" s="258" t="str">
        <f t="shared" si="29"/>
        <v/>
      </c>
      <c r="L36" s="258" t="str">
        <f t="shared" si="29"/>
        <v/>
      </c>
      <c r="M36" s="258">
        <f t="shared" si="29"/>
        <v>269.81942653911949</v>
      </c>
      <c r="N36" s="258">
        <f t="shared" si="29"/>
        <v>202.79789938783568</v>
      </c>
      <c r="O36" s="258">
        <f t="shared" si="29"/>
        <v>204.29601335005904</v>
      </c>
      <c r="P36" s="355">
        <f t="shared" si="29"/>
        <v>105.59852448963893</v>
      </c>
      <c r="Q36" s="360" t="str">
        <f>IFERROR(Q35+Q33-Q34,"")</f>
        <v/>
      </c>
      <c r="R36" s="360" t="str">
        <f t="shared" ref="R36" si="30">IFERROR(R35+R33-R34,"")</f>
        <v/>
      </c>
    </row>
    <row r="37" spans="2:18" ht="8.1" customHeight="1">
      <c r="N37" s="254"/>
      <c r="O37" s="254"/>
      <c r="P37" s="352"/>
      <c r="Q37" s="357"/>
      <c r="R37" s="357"/>
    </row>
    <row r="38" spans="2:18" ht="15.6">
      <c r="B38" s="7" t="s">
        <v>608</v>
      </c>
      <c r="C38" s="56"/>
      <c r="D38" s="58"/>
      <c r="E38" s="58"/>
      <c r="F38" s="371">
        <v>2014</v>
      </c>
      <c r="G38" s="371">
        <f t="shared" ref="G38" si="31">+F38+1</f>
        <v>2015</v>
      </c>
      <c r="H38" s="371">
        <f t="shared" ref="H38" si="32">+G38+1</f>
        <v>2016</v>
      </c>
      <c r="I38" s="371">
        <f t="shared" ref="I38" si="33">+H38+1</f>
        <v>2017</v>
      </c>
      <c r="J38" s="371">
        <f t="shared" ref="J38" si="34">+I38+1</f>
        <v>2018</v>
      </c>
      <c r="K38" s="371">
        <f t="shared" ref="K38" si="35">+J38+1</f>
        <v>2019</v>
      </c>
      <c r="L38" s="371">
        <f t="shared" ref="L38" si="36">+K38+1</f>
        <v>2020</v>
      </c>
      <c r="M38" s="371">
        <f t="shared" ref="M38" si="37">+L38+1</f>
        <v>2021</v>
      </c>
      <c r="N38" s="371">
        <v>2022</v>
      </c>
      <c r="O38" s="371">
        <f t="shared" ref="O38" si="38">+N38+1</f>
        <v>2023</v>
      </c>
      <c r="P38" s="372">
        <f>+O38+1</f>
        <v>2024</v>
      </c>
      <c r="Q38" s="370">
        <f>+P38+1</f>
        <v>2025</v>
      </c>
      <c r="R38" s="370">
        <f>+Q38+1</f>
        <v>2026</v>
      </c>
    </row>
    <row r="39" spans="2:18" ht="3.95" customHeight="1">
      <c r="B39" s="251"/>
      <c r="C39" s="53"/>
      <c r="D39" s="60"/>
      <c r="E39" s="60"/>
      <c r="F39" s="60"/>
      <c r="G39" s="60"/>
      <c r="H39" s="60"/>
      <c r="I39" s="60"/>
      <c r="J39" s="60"/>
      <c r="K39" s="60"/>
      <c r="L39" s="60"/>
      <c r="M39" s="60"/>
      <c r="N39" s="224"/>
      <c r="O39" s="224"/>
      <c r="P39" s="351"/>
      <c r="Q39" s="224"/>
      <c r="R39" s="224"/>
    </row>
    <row r="40" spans="2:18" ht="15.6">
      <c r="B40" s="18" t="s">
        <v>83</v>
      </c>
      <c r="F40" s="16" t="str">
        <f>+IFERROR(_xlfn.XLOOKUP("Total Debt",Inputs!$B:$B,Inputs!G:G)*1000/+_xlfn.XLOOKUP("Shareholder's Equity",Inputs!$B:$B,Inputs!G:G),"")</f>
        <v/>
      </c>
      <c r="G40" s="16" t="str">
        <f>+IFERROR(_xlfn.XLOOKUP("Total Debt",Inputs!$B:$B,Inputs!H:H)*1000/+_xlfn.XLOOKUP("Shareholder's Equity",Inputs!$B:$B,Inputs!H:H),"")</f>
        <v/>
      </c>
      <c r="H40" s="16" t="str">
        <f>+IFERROR(_xlfn.XLOOKUP("Total Debt",Inputs!$B:$B,Inputs!I:I)*1000/+_xlfn.XLOOKUP("Shareholder's Equity",Inputs!$B:$B,Inputs!I:I),"")</f>
        <v/>
      </c>
      <c r="I40" s="16" t="str">
        <f>+IFERROR(_xlfn.XLOOKUP("Total Debt",Inputs!$B:$B,Inputs!J:J)*1000/+_xlfn.XLOOKUP("Shareholder's Equity",Inputs!$B:$B,Inputs!J:J),"")</f>
        <v/>
      </c>
      <c r="J40" s="16" t="str">
        <f>+IFERROR(_xlfn.XLOOKUP("Total Debt",Inputs!$B:$B,Inputs!K:K)*1000/+_xlfn.XLOOKUP("Shareholder's Equity",Inputs!$B:$B,Inputs!K:K),"")</f>
        <v/>
      </c>
      <c r="K40" s="16" t="str">
        <f>+IFERROR(_xlfn.XLOOKUP("Total Debt",Inputs!$B:$B,Inputs!L:L)*1000/+_xlfn.XLOOKUP("Shareholder's Equity",Inputs!$B:$B,Inputs!L:L),"")</f>
        <v/>
      </c>
      <c r="L40" s="16" t="str">
        <f>+IFERROR(_xlfn.XLOOKUP("Total Debt",Inputs!$B:$B,Inputs!M:M)*1000/+_xlfn.XLOOKUP("Shareholder's Equity",Inputs!$B:$B,Inputs!M:M),"")</f>
        <v/>
      </c>
      <c r="M40" s="16">
        <f>+IFERROR(_xlfn.XLOOKUP("Total Debt",Inputs!$B:$B,Inputs!N:N)*1000/+_xlfn.XLOOKUP("Shareholder's Equity",Inputs!$B:$B,Inputs!N:N),"")</f>
        <v>183.82247673586255</v>
      </c>
      <c r="N40" s="16">
        <f>+IFERROR(_xlfn.XLOOKUP("Total Debt",Inputs!$B:$B,Inputs!O:O)*1000/+_xlfn.XLOOKUP("Shareholder's Equity",Inputs!$B:$B,Inputs!O:O),"")</f>
        <v>185.23469994058232</v>
      </c>
      <c r="O40" s="16">
        <f>+IFERROR(_xlfn.XLOOKUP("Total Debt",Inputs!$B:$B,Inputs!P:P)*1000/+_xlfn.XLOOKUP("Shareholder's Equity",Inputs!$B:$B,Inputs!P:P),"")</f>
        <v>272.67808836789908</v>
      </c>
      <c r="P40" s="349">
        <f>+IFERROR(_xlfn.XLOOKUP("Total Debt",Inputs!$B:$B,Inputs!Q:Q)*1000/+_xlfn.XLOOKUP("Shareholder's Equity",Inputs!$B:$B,Inputs!Q:Q),"")</f>
        <v>1201.8828451882844</v>
      </c>
      <c r="Q40" s="356" t="str">
        <f>IFERROR((_xlfn.XLOOKUP("Total Borrowings",#REF!,#REF!)+_xlfn.XLOOKUP("Total Leases",#REF!,#REF!))/_xlfn.XLOOKUP("Shareholder's Equity",#REF!,#REF!),"")</f>
        <v/>
      </c>
      <c r="R40" s="356" t="str">
        <f>IFERROR((_xlfn.XLOOKUP("Total Borrowings",#REF!,#REF!)+_xlfn.XLOOKUP("Total Leases",#REF!,#REF!))/_xlfn.XLOOKUP("Shareholder's Equity",#REF!,#REF!),"")</f>
        <v/>
      </c>
    </row>
    <row r="41" spans="2:18" ht="15.6">
      <c r="B41" s="252" t="s">
        <v>86</v>
      </c>
      <c r="F41" s="16" t="str">
        <f>+IFERROR(_xlfn.XLOOKUP("Total Debt",Inputs!$B:$B,Inputs!G:G)*1000/(+_xlfn.XLOOKUP("Shareholder's Equity",Inputs!$B:$B,Inputs!G:G)+_xlfn.XLOOKUP("Total Debt",Inputs!$B:$B,Inputs!G:G)*1000),"")</f>
        <v/>
      </c>
      <c r="G41" s="16" t="str">
        <f>+IFERROR(_xlfn.XLOOKUP("Total Debt",Inputs!$B:$B,Inputs!H:H)*1000/(+_xlfn.XLOOKUP("Shareholder's Equity",Inputs!$B:$B,Inputs!H:H)+_xlfn.XLOOKUP("Total Debt",Inputs!$B:$B,Inputs!H:H)*1000),"")</f>
        <v/>
      </c>
      <c r="H41" s="16" t="str">
        <f>+IFERROR(_xlfn.XLOOKUP("Total Debt",Inputs!$B:$B,Inputs!I:I)*1000/(+_xlfn.XLOOKUP("Shareholder's Equity",Inputs!$B:$B,Inputs!I:I)+_xlfn.XLOOKUP("Total Debt",Inputs!$B:$B,Inputs!I:I)*1000),"")</f>
        <v/>
      </c>
      <c r="I41" s="16" t="str">
        <f>+IFERROR(_xlfn.XLOOKUP("Total Debt",Inputs!$B:$B,Inputs!J:J)*1000/(+_xlfn.XLOOKUP("Shareholder's Equity",Inputs!$B:$B,Inputs!J:J)+_xlfn.XLOOKUP("Total Debt",Inputs!$B:$B,Inputs!J:J)*1000),"")</f>
        <v/>
      </c>
      <c r="J41" s="16" t="str">
        <f>+IFERROR(_xlfn.XLOOKUP("Total Debt",Inputs!$B:$B,Inputs!K:K)*1000/(+_xlfn.XLOOKUP("Shareholder's Equity",Inputs!$B:$B,Inputs!K:K)+_xlfn.XLOOKUP("Total Debt",Inputs!$B:$B,Inputs!K:K)*1000),"")</f>
        <v/>
      </c>
      <c r="K41" s="16" t="str">
        <f>+IFERROR(_xlfn.XLOOKUP("Total Debt",Inputs!$B:$B,Inputs!L:L)*1000/(+_xlfn.XLOOKUP("Shareholder's Equity",Inputs!$B:$B,Inputs!L:L)+_xlfn.XLOOKUP("Total Debt",Inputs!$B:$B,Inputs!L:L)*1000),"")</f>
        <v/>
      </c>
      <c r="L41" s="16" t="str">
        <f>+IFERROR(_xlfn.XLOOKUP("Total Debt",Inputs!$B:$B,Inputs!M:M)*1000/(+_xlfn.XLOOKUP("Shareholder's Equity",Inputs!$B:$B,Inputs!M:M)+_xlfn.XLOOKUP("Total Debt",Inputs!$B:$B,Inputs!M:M)*1000),"")</f>
        <v/>
      </c>
      <c r="M41" s="16">
        <f>+IFERROR(_xlfn.XLOOKUP("Total Debt",Inputs!$B:$B,Inputs!N:N)*1000/(+_xlfn.XLOOKUP("Shareholder's Equity",Inputs!$B:$B,Inputs!N:N)+_xlfn.XLOOKUP("Total Debt",Inputs!$B:$B,Inputs!N:N)*1000),"")</f>
        <v>0.99458940266540663</v>
      </c>
      <c r="N41" s="16">
        <f>+IFERROR(_xlfn.XLOOKUP("Total Debt",Inputs!$B:$B,Inputs!O:O)*1000/(+_xlfn.XLOOKUP("Shareholder's Equity",Inputs!$B:$B,Inputs!O:O)+_xlfn.XLOOKUP("Total Debt",Inputs!$B:$B,Inputs!O:O)*1000),"")</f>
        <v>0.99463043138405982</v>
      </c>
      <c r="O41" s="16">
        <f>+IFERROR(_xlfn.XLOOKUP("Total Debt",Inputs!$B:$B,Inputs!P:P)*1000/(+_xlfn.XLOOKUP("Shareholder's Equity",Inputs!$B:$B,Inputs!P:P)+_xlfn.XLOOKUP("Total Debt",Inputs!$B:$B,Inputs!P:P)*1000),"")</f>
        <v>0.99634607210988801</v>
      </c>
      <c r="P41" s="349">
        <f>+IFERROR(_xlfn.XLOOKUP("Total Debt",Inputs!$B:$B,Inputs!Q:Q)*1000/(+_xlfn.XLOOKUP("Shareholder's Equity",Inputs!$B:$B,Inputs!Q:Q)+_xlfn.XLOOKUP("Total Debt",Inputs!$B:$B,Inputs!Q:Q)*1000),"")</f>
        <v>0.99916866384452963</v>
      </c>
      <c r="Q41" s="356" t="str">
        <f>IFERROR((_xlfn.XLOOKUP("Total Borrowings",#REF!,#REF!)+_xlfn.XLOOKUP("Total Leases",#REF!,#REF!))/(_xlfn.XLOOKUP("Shareholder's Equity",#REF!,#REF!)+_xlfn.XLOOKUP("Total Borrowings",#REF!,#REF!)+_xlfn.XLOOKUP("Total Leases",#REF!,#REF!)),"")</f>
        <v/>
      </c>
      <c r="R41" s="356" t="str">
        <f>IFERROR((_xlfn.XLOOKUP("Total Borrowings",#REF!,#REF!)+_xlfn.XLOOKUP("Total Leases",#REF!,#REF!))/(_xlfn.XLOOKUP("Shareholder's Equity",#REF!,#REF!)+_xlfn.XLOOKUP("Total Borrowings",#REF!,#REF!)+_xlfn.XLOOKUP("Total Leases",#REF!,#REF!)),"")</f>
        <v/>
      </c>
    </row>
    <row r="42" spans="2:18" ht="15.6">
      <c r="B42" s="252" t="s">
        <v>89</v>
      </c>
      <c r="F42" s="16" t="str">
        <f>IFERROR(_xlfn.XLOOKUP("Total Liabilities",Inputs!$B:$B,Inputs!G:G)/_xlfn.XLOOKUP("Total Assets",Inputs!$B:$B,Inputs!G:G),"")</f>
        <v/>
      </c>
      <c r="G42" s="16" t="str">
        <f>IFERROR(_xlfn.XLOOKUP("Total Liabilities",Inputs!$B:$B,Inputs!H:H)/_xlfn.XLOOKUP("Total Assets",Inputs!$B:$B,Inputs!H:H),"")</f>
        <v/>
      </c>
      <c r="H42" s="16" t="str">
        <f>IFERROR(_xlfn.XLOOKUP("Total Liabilities",Inputs!$B:$B,Inputs!I:I)/_xlfn.XLOOKUP("Total Assets",Inputs!$B:$B,Inputs!I:I),"")</f>
        <v/>
      </c>
      <c r="I42" s="16" t="str">
        <f>IFERROR(_xlfn.XLOOKUP("Total Liabilities",Inputs!$B:$B,Inputs!J:J)/_xlfn.XLOOKUP("Total Assets",Inputs!$B:$B,Inputs!J:J),"")</f>
        <v/>
      </c>
      <c r="J42" s="16" t="str">
        <f>IFERROR(_xlfn.XLOOKUP("Total Liabilities",Inputs!$B:$B,Inputs!K:K)/_xlfn.XLOOKUP("Total Assets",Inputs!$B:$B,Inputs!K:K),"")</f>
        <v/>
      </c>
      <c r="K42" s="16" t="str">
        <f>IFERROR(_xlfn.XLOOKUP("Total Liabilities",Inputs!$B:$B,Inputs!L:L)/_xlfn.XLOOKUP("Total Assets",Inputs!$B:$B,Inputs!L:L),"")</f>
        <v/>
      </c>
      <c r="L42" s="16" t="str">
        <f>IFERROR(_xlfn.XLOOKUP("Total Liabilities",Inputs!$B:$B,Inputs!M:M)/_xlfn.XLOOKUP("Total Assets",Inputs!$B:$B,Inputs!M:M),"")</f>
        <v/>
      </c>
      <c r="M42" s="16">
        <f>IFERROR(_xlfn.XLOOKUP("Total Liabilities",Inputs!$B:$B,Inputs!N:N)/_xlfn.XLOOKUP("Total Assets",Inputs!$B:$B,Inputs!N:N),"")</f>
        <v>0.28789886838617595</v>
      </c>
      <c r="N42" s="16">
        <f>IFERROR(_xlfn.XLOOKUP("Total Liabilities",Inputs!$B:$B,Inputs!O:O)/_xlfn.XLOOKUP("Total Assets",Inputs!$B:$B,Inputs!O:O),"")</f>
        <v>0.31938125568698816</v>
      </c>
      <c r="O42" s="16">
        <f>IFERROR(_xlfn.XLOOKUP("Total Liabilities",Inputs!$B:$B,Inputs!P:P)/_xlfn.XLOOKUP("Total Assets",Inputs!$B:$B,Inputs!P:P),"")</f>
        <v>0.41085847853803659</v>
      </c>
      <c r="P42" s="349">
        <f>IFERROR(_xlfn.XLOOKUP("Total Liabilities",Inputs!$B:$B,Inputs!Q:Q)/_xlfn.XLOOKUP("Total Assets",Inputs!$B:$B,Inputs!Q:Q),"")</f>
        <v>0.67710884066537191</v>
      </c>
      <c r="Q42" s="356" t="str">
        <f>IFERROR(+_xlfn.XLOOKUP("Total Liabilities",#REF!,#REF!)/_xlfn.XLOOKUP("Total Assets",#REF!,#REF!),"")</f>
        <v/>
      </c>
      <c r="R42" s="356" t="str">
        <f>IFERROR(+_xlfn.XLOOKUP("Total Liabilities",#REF!,#REF!)/_xlfn.XLOOKUP("Total Assets",#REF!,#REF!),"")</f>
        <v/>
      </c>
    </row>
    <row r="43" spans="2:18" ht="15.6">
      <c r="B43" s="18" t="s">
        <v>90</v>
      </c>
      <c r="F43" s="16" t="str">
        <f>+IFERROR(_xlfn.XLOOKUP("Total Debt",Inputs!$B:$B,Inputs!G:G,,,-1)/_xlfn.XLOOKUP("EBITDA",Inputs!$B:$B,Inputs!G:G),"")</f>
        <v/>
      </c>
      <c r="G43" s="16" t="str">
        <f>+IFERROR(_xlfn.XLOOKUP("Total Debt",Inputs!$B:$B,Inputs!H:H,,,-1)/_xlfn.XLOOKUP("EBITDA",Inputs!$B:$B,Inputs!H:H),"")</f>
        <v/>
      </c>
      <c r="H43" s="16" t="str">
        <f>+IFERROR(_xlfn.XLOOKUP("Total Debt",Inputs!$B:$B,Inputs!I:I,,,-1)/_xlfn.XLOOKUP("EBITDA",Inputs!$B:$B,Inputs!I:I),"")</f>
        <v/>
      </c>
      <c r="I43" s="16" t="str">
        <f>+IFERROR(_xlfn.XLOOKUP("Total Debt",Inputs!$B:$B,Inputs!J:J,,,-1)/_xlfn.XLOOKUP("EBITDA",Inputs!$B:$B,Inputs!J:J),"")</f>
        <v/>
      </c>
      <c r="J43" s="16" t="str">
        <f>+IFERROR(_xlfn.XLOOKUP("Total Debt",Inputs!$B:$B,Inputs!K:K,,,-1)/_xlfn.XLOOKUP("EBITDA",Inputs!$B:$B,Inputs!K:K),"")</f>
        <v/>
      </c>
      <c r="K43" s="16" t="str">
        <f>+IFERROR(_xlfn.XLOOKUP("Total Debt",Inputs!$B:$B,Inputs!L:L,,,-1)/_xlfn.XLOOKUP("EBITDA",Inputs!$B:$B,Inputs!L:L),"")</f>
        <v/>
      </c>
      <c r="L43" s="16" t="str">
        <f>+IFERROR(_xlfn.XLOOKUP("Total Debt",Inputs!$B:$B,Inputs!M:M,,,-1)/_xlfn.XLOOKUP("EBITDA",Inputs!$B:$B,Inputs!M:M),"")</f>
        <v/>
      </c>
      <c r="M43" s="16">
        <f>+IFERROR(_xlfn.XLOOKUP("Total Debt",Inputs!$B:$B,Inputs!N:N,,,-1)/_xlfn.XLOOKUP("EBITDA",Inputs!$B:$B,Inputs!N:N),"")</f>
        <v>-1.2575905974534771</v>
      </c>
      <c r="N43" s="16">
        <f>+IFERROR(_xlfn.XLOOKUP("Total Debt",Inputs!$B:$B,Inputs!O:O,,,-1)/_xlfn.XLOOKUP("EBITDA",Inputs!$B:$B,Inputs!O:O),"")</f>
        <v>-0.92233727810650901</v>
      </c>
      <c r="O43" s="16">
        <f>+IFERROR(_xlfn.XLOOKUP("Total Debt",Inputs!$B:$B,Inputs!P:P,,,-1)/_xlfn.XLOOKUP("EBITDA",Inputs!$B:$B,Inputs!P:P),"")</f>
        <v>-0.84943820224719113</v>
      </c>
      <c r="P43" s="349">
        <f>+IFERROR(_xlfn.XLOOKUP("Total Debt",Inputs!$B:$B,Inputs!Q:Q,,,-1)/_xlfn.XLOOKUP("EBITDA",Inputs!$B:$B,Inputs!Q:Q),"")</f>
        <v>-2.5238879736408562</v>
      </c>
      <c r="Q43" s="356" t="str">
        <f>IFERROR((_xlfn.XLOOKUP("Total Borrowings",#REF!,#REF!)+_xlfn.XLOOKUP("Total Leases",#REF!,#REF!))/_xlfn.XLOOKUP("EBITDA",#REF!,#REF!),"")</f>
        <v/>
      </c>
      <c r="R43" s="356" t="str">
        <f>IFERROR((_xlfn.XLOOKUP("Total Borrowings",#REF!,#REF!)+_xlfn.XLOOKUP("Total Leases",#REF!,#REF!))/_xlfn.XLOOKUP("EBITDA",#REF!,#REF!),"")</f>
        <v/>
      </c>
    </row>
    <row r="44" spans="2:18" ht="15.6">
      <c r="B44" s="18" t="s">
        <v>92</v>
      </c>
      <c r="F44" s="16" t="str">
        <f>IFERROR(_xlfn.XLOOKUP("Total Debt",Inputs!$B:$B,Inputs!G:G,,,-1)/(_xlfn.XLOOKUP("EBITDA",Inputs!$B:$B,Inputs!G:G)+_xlfn.XLOOKUP("Net Capex",Inputs!$B:$B,Inputs!G:G)),"")</f>
        <v/>
      </c>
      <c r="G44" s="16" t="str">
        <f>IFERROR(_xlfn.XLOOKUP("Total Debt",Inputs!$B:$B,Inputs!H:H,,,-1)/(_xlfn.XLOOKUP("EBITDA",Inputs!$B:$B,Inputs!H:H)+_xlfn.XLOOKUP("Net Capex",Inputs!$B:$B,Inputs!H:H)),"")</f>
        <v/>
      </c>
      <c r="H44" s="16" t="str">
        <f>IFERROR(_xlfn.XLOOKUP("Total Debt",Inputs!$B:$B,Inputs!I:I,,,-1)/(_xlfn.XLOOKUP("EBITDA",Inputs!$B:$B,Inputs!I:I)+_xlfn.XLOOKUP("Net Capex",Inputs!$B:$B,Inputs!I:I)),"")</f>
        <v/>
      </c>
      <c r="I44" s="16" t="str">
        <f>IFERROR(_xlfn.XLOOKUP("Total Debt",Inputs!$B:$B,Inputs!J:J,,,-1)/(_xlfn.XLOOKUP("EBITDA",Inputs!$B:$B,Inputs!J:J)+_xlfn.XLOOKUP("Net Capex",Inputs!$B:$B,Inputs!J:J)),"")</f>
        <v/>
      </c>
      <c r="J44" s="16" t="str">
        <f>IFERROR(_xlfn.XLOOKUP("Total Debt",Inputs!$B:$B,Inputs!K:K,,,-1)/(_xlfn.XLOOKUP("EBITDA",Inputs!$B:$B,Inputs!K:K)+_xlfn.XLOOKUP("Net Capex",Inputs!$B:$B,Inputs!K:K)),"")</f>
        <v/>
      </c>
      <c r="K44" s="16" t="str">
        <f>IFERROR(_xlfn.XLOOKUP("Total Debt",Inputs!$B:$B,Inputs!L:L,,,-1)/(_xlfn.XLOOKUP("EBITDA",Inputs!$B:$B,Inputs!L:L)+_xlfn.XLOOKUP("Net Capex",Inputs!$B:$B,Inputs!L:L)),"")</f>
        <v/>
      </c>
      <c r="L44" s="16" t="str">
        <f>IFERROR(_xlfn.XLOOKUP("Total Debt",Inputs!$B:$B,Inputs!M:M,,,-1)/(_xlfn.XLOOKUP("EBITDA",Inputs!$B:$B,Inputs!M:M)+_xlfn.XLOOKUP("Net Capex",Inputs!$B:$B,Inputs!M:M)),"")</f>
        <v/>
      </c>
      <c r="M44" s="16">
        <f>IFERROR(_xlfn.XLOOKUP("Total Debt",Inputs!$B:$B,Inputs!N:N,,,-1)/(_xlfn.XLOOKUP("EBITDA",Inputs!$B:$B,Inputs!N:N)+_xlfn.XLOOKUP("Net Capex",Inputs!$B:$B,Inputs!N:N)),"")</f>
        <v>-0.66117404737384144</v>
      </c>
      <c r="N44" s="16">
        <f>IFERROR(_xlfn.XLOOKUP("Total Debt",Inputs!$B:$B,Inputs!O:O,,,-1)/(_xlfn.XLOOKUP("EBITDA",Inputs!$B:$B,Inputs!O:O)+_xlfn.XLOOKUP("Net Capex",Inputs!$B:$B,Inputs!O:O)),"")</f>
        <v>-0.51232539030402635</v>
      </c>
      <c r="O44" s="16">
        <f>IFERROR(_xlfn.XLOOKUP("Total Debt",Inputs!$B:$B,Inputs!P:P,,,-1)/(_xlfn.XLOOKUP("EBITDA",Inputs!$B:$B,Inputs!P:P)+_xlfn.XLOOKUP("Net Capex",Inputs!$B:$B,Inputs!P:P)),"")</f>
        <v>-0.60967741935483877</v>
      </c>
      <c r="P44" s="349">
        <f>IFERROR(_xlfn.XLOOKUP("Total Debt",Inputs!$B:$B,Inputs!Q:Q,,,-1)/(_xlfn.XLOOKUP("EBITDA",Inputs!$B:$B,Inputs!Q:Q)+_xlfn.XLOOKUP("Net Capex",Inputs!$B:$B,Inputs!Q:Q)),"")</f>
        <v>-1.94169835234474</v>
      </c>
      <c r="Q44" s="356" t="str">
        <f>IFERROR((_xlfn.XLOOKUP("Total Borrowings",#REF!,#REF!)+_xlfn.XLOOKUP("Total Leases",#REF!,#REF!))/(_xlfn.XLOOKUP("EBITDA",#REF!,#REF!)+_xlfn.XLOOKUP("Net Capex",#REF!,#REF!)),"")</f>
        <v/>
      </c>
      <c r="R44" s="356" t="str">
        <f>IFERROR((_xlfn.XLOOKUP("Total Borrowings",#REF!,#REF!)+_xlfn.XLOOKUP("Total Leases",#REF!,#REF!))/(_xlfn.XLOOKUP("EBITDA",#REF!,#REF!)+_xlfn.XLOOKUP("Net Capex",#REF!,#REF!)),"")</f>
        <v/>
      </c>
    </row>
    <row r="45" spans="2:18" ht="15.6">
      <c r="B45" s="18" t="s">
        <v>94</v>
      </c>
      <c r="F45" s="16" t="str">
        <f>+IFERROR(_xlfn.XLOOKUP("Net Debt",Inputs!$B:$B,Inputs!G:G,,,-1)/_xlfn.XLOOKUP("EBITDA",Inputs!$B:$B,Inputs!G:G),"")</f>
        <v/>
      </c>
      <c r="G45" s="16" t="str">
        <f>+IFERROR(_xlfn.XLOOKUP("Net Debt",Inputs!$B:$B,Inputs!H:H,,,-1)/_xlfn.XLOOKUP("EBITDA",Inputs!$B:$B,Inputs!H:H),"")</f>
        <v/>
      </c>
      <c r="H45" s="16" t="str">
        <f>+IFERROR(_xlfn.XLOOKUP("Net Debt",Inputs!$B:$B,Inputs!I:I,,,-1)/_xlfn.XLOOKUP("EBITDA",Inputs!$B:$B,Inputs!I:I),"")</f>
        <v/>
      </c>
      <c r="I45" s="16" t="str">
        <f>+IFERROR(_xlfn.XLOOKUP("Net Debt",Inputs!$B:$B,Inputs!J:J,,,-1)/_xlfn.XLOOKUP("EBITDA",Inputs!$B:$B,Inputs!J:J),"")</f>
        <v/>
      </c>
      <c r="J45" s="16" t="str">
        <f>+IFERROR(_xlfn.XLOOKUP("Net Debt",Inputs!$B:$B,Inputs!K:K,,,-1)/_xlfn.XLOOKUP("EBITDA",Inputs!$B:$B,Inputs!K:K),"")</f>
        <v/>
      </c>
      <c r="K45" s="16" t="str">
        <f>+IFERROR(_xlfn.XLOOKUP("Net Debt",Inputs!$B:$B,Inputs!L:L,,,-1)/_xlfn.XLOOKUP("EBITDA",Inputs!$B:$B,Inputs!L:L),"")</f>
        <v/>
      </c>
      <c r="L45" s="16" t="str">
        <f>+IFERROR(_xlfn.XLOOKUP("Net Debt",Inputs!$B:$B,Inputs!M:M,,,-1)/_xlfn.XLOOKUP("EBITDA",Inputs!$B:$B,Inputs!M:M),"")</f>
        <v/>
      </c>
      <c r="M45" s="16">
        <f>+IFERROR(_xlfn.XLOOKUP("Net Debt",Inputs!$B:$B,Inputs!N:N,,,-1)/_xlfn.XLOOKUP("EBITDA",Inputs!$B:$B,Inputs!N:N),"")</f>
        <v>5.5102840352595504</v>
      </c>
      <c r="N45" s="16">
        <f>+IFERROR(_xlfn.XLOOKUP("Net Debt",Inputs!$B:$B,Inputs!O:O,,,-1)/_xlfn.XLOOKUP("EBITDA",Inputs!$B:$B,Inputs!O:O),"")</f>
        <v>2.5673076923076925</v>
      </c>
      <c r="O45" s="16">
        <f>+IFERROR(_xlfn.XLOOKUP("Net Debt",Inputs!$B:$B,Inputs!P:P,,,-1)/_xlfn.XLOOKUP("EBITDA",Inputs!$B:$B,Inputs!P:P),"")</f>
        <v>0.52584269662921346</v>
      </c>
      <c r="P45" s="349">
        <f>+IFERROR(_xlfn.XLOOKUP("Net Debt",Inputs!$B:$B,Inputs!Q:Q,,,-1)/_xlfn.XLOOKUP("EBITDA",Inputs!$B:$B,Inputs!Q:Q),"")</f>
        <v>-0.22350356946732555</v>
      </c>
      <c r="Q45" s="356" t="str">
        <f>IFERROR((_xlfn.XLOOKUP("Total Borrowings",#REF!,#REF!)+_xlfn.XLOOKUP("Total Leases",#REF!,#REF!)-_xlfn.XLOOKUP("Cash &amp; Cash Equivalents &amp; ST Investments",#REF!,#REF!))/_xlfn.XLOOKUP("EBITDA",#REF!,#REF!),"")</f>
        <v/>
      </c>
      <c r="R45" s="356" t="str">
        <f>IFERROR((_xlfn.XLOOKUP("Total Borrowings",#REF!,#REF!)+_xlfn.XLOOKUP("Total Leases",#REF!,#REF!)-_xlfn.XLOOKUP("Cash &amp; Cash Equivalents &amp; ST Investments",#REF!,#REF!))/_xlfn.XLOOKUP("EBITDA",#REF!,#REF!),"")</f>
        <v/>
      </c>
    </row>
    <row r="46" spans="2:18" ht="8.1" customHeight="1">
      <c r="B46" s="252"/>
      <c r="N46" s="254"/>
      <c r="O46" s="254"/>
      <c r="P46" s="352"/>
      <c r="Q46" s="357"/>
      <c r="R46" s="357"/>
    </row>
    <row r="47" spans="2:18" ht="15.6">
      <c r="B47" s="7" t="s">
        <v>609</v>
      </c>
      <c r="C47" s="56"/>
      <c r="D47" s="58"/>
      <c r="E47" s="58"/>
      <c r="F47" s="371">
        <v>2014</v>
      </c>
      <c r="G47" s="371">
        <f t="shared" ref="G47" si="39">+F47+1</f>
        <v>2015</v>
      </c>
      <c r="H47" s="371">
        <f t="shared" ref="H47" si="40">+G47+1</f>
        <v>2016</v>
      </c>
      <c r="I47" s="371">
        <f t="shared" ref="I47" si="41">+H47+1</f>
        <v>2017</v>
      </c>
      <c r="J47" s="371">
        <f t="shared" ref="J47" si="42">+I47+1</f>
        <v>2018</v>
      </c>
      <c r="K47" s="371">
        <f t="shared" ref="K47" si="43">+J47+1</f>
        <v>2019</v>
      </c>
      <c r="L47" s="371">
        <f t="shared" ref="L47" si="44">+K47+1</f>
        <v>2020</v>
      </c>
      <c r="M47" s="371">
        <f t="shared" ref="M47" si="45">+L47+1</f>
        <v>2021</v>
      </c>
      <c r="N47" s="371">
        <v>2022</v>
      </c>
      <c r="O47" s="371">
        <f t="shared" ref="O47" si="46">+N47+1</f>
        <v>2023</v>
      </c>
      <c r="P47" s="372">
        <f>+O47+1</f>
        <v>2024</v>
      </c>
      <c r="Q47" s="370">
        <f>+P47+1</f>
        <v>2025</v>
      </c>
      <c r="R47" s="370">
        <f>+Q47+1</f>
        <v>2026</v>
      </c>
    </row>
    <row r="48" spans="2:18" ht="3.95" customHeight="1">
      <c r="B48" s="251"/>
      <c r="C48" s="53"/>
      <c r="D48" s="60"/>
      <c r="E48" s="60"/>
      <c r="F48" s="60"/>
      <c r="G48" s="60"/>
      <c r="H48" s="60"/>
      <c r="I48" s="60"/>
      <c r="J48" s="60"/>
      <c r="K48" s="60"/>
      <c r="L48" s="60"/>
      <c r="M48" s="60"/>
      <c r="N48" s="224"/>
      <c r="O48" s="224"/>
      <c r="P48" s="351"/>
      <c r="Q48" s="224"/>
      <c r="R48" s="224"/>
    </row>
    <row r="49" spans="2:18" ht="15.6">
      <c r="B49" s="252" t="s">
        <v>96</v>
      </c>
      <c r="F49" s="16" t="str">
        <f>IFERROR(_xlfn.XLOOKUP("Operating Income (EBIT)",Inputs!$B:$B,Inputs!G:G)/_xlfn.XLOOKUP("Interest Expense",Inputs!$B:$B,Inputs!G:G),"N/A")</f>
        <v>N/A</v>
      </c>
      <c r="G49" s="16" t="str">
        <f>IFERROR(_xlfn.XLOOKUP("Operating Income (EBIT)",Inputs!$B:$B,Inputs!H:H)/_xlfn.XLOOKUP("Interest Expense",Inputs!$B:$B,Inputs!H:H),"N/A")</f>
        <v>N/A</v>
      </c>
      <c r="H49" s="16" t="str">
        <f>IFERROR(_xlfn.XLOOKUP("Operating Income (EBIT)",Inputs!$B:$B,Inputs!I:I)/_xlfn.XLOOKUP("Interest Expense",Inputs!$B:$B,Inputs!I:I),"N/A")</f>
        <v>N/A</v>
      </c>
      <c r="I49" s="16" t="str">
        <f>IFERROR(_xlfn.XLOOKUP("Operating Income (EBIT)",Inputs!$B:$B,Inputs!J:J)/_xlfn.XLOOKUP("Interest Expense",Inputs!$B:$B,Inputs!J:J),"N/A")</f>
        <v>N/A</v>
      </c>
      <c r="J49" s="16" t="str">
        <f>IFERROR(_xlfn.XLOOKUP("Operating Income (EBIT)",Inputs!$B:$B,Inputs!K:K)/_xlfn.XLOOKUP("Interest Expense",Inputs!$B:$B,Inputs!K:K),"N/A")</f>
        <v>N/A</v>
      </c>
      <c r="K49" s="16" t="str">
        <f>IFERROR(_xlfn.XLOOKUP("Operating Income (EBIT)",Inputs!$B:$B,Inputs!L:L)/_xlfn.XLOOKUP("Interest Expense",Inputs!$B:$B,Inputs!L:L),"N/A")</f>
        <v>N/A</v>
      </c>
      <c r="L49" s="16" t="str">
        <f>IFERROR(_xlfn.XLOOKUP("Operating Income (EBIT)",Inputs!$B:$B,Inputs!M:M)/_xlfn.XLOOKUP("Interest Expense",Inputs!$B:$B,Inputs!M:M),"N/A")</f>
        <v>N/A</v>
      </c>
      <c r="M49" s="16">
        <f>IFERROR(_xlfn.XLOOKUP("Operating Income (EBIT)",Inputs!$B:$B,Inputs!N:N)/_xlfn.XLOOKUP("Interest Expense",Inputs!$B:$B,Inputs!N:N),"N/A")</f>
        <v>-14.965573770491803</v>
      </c>
      <c r="N49" s="16">
        <f>IFERROR(_xlfn.XLOOKUP("Operating Income (EBIT)",Inputs!$B:$B,Inputs!O:O)/_xlfn.XLOOKUP("Interest Expense",Inputs!$B:$B,Inputs!O:O),"N/A")</f>
        <v>-13.560256410256407</v>
      </c>
      <c r="O49" s="16">
        <f>IFERROR(_xlfn.XLOOKUP("Operating Income (EBIT)",Inputs!$B:$B,Inputs!P:P)/_xlfn.XLOOKUP("Interest Expense",Inputs!$B:$B,Inputs!P:P),"N/A")</f>
        <v>-35.595238095238095</v>
      </c>
      <c r="P49" s="349">
        <f>IFERROR(_xlfn.XLOOKUP("Operating Income (EBIT)",Inputs!$B:$B,Inputs!Q:Q)/_xlfn.XLOOKUP("Interest Expense",Inputs!$B:$B,Inputs!Q:Q),"N/A")</f>
        <v>-37.557500000000005</v>
      </c>
      <c r="Q49" s="356" t="str">
        <f>IFERROR(_xlfn.XLOOKUP("EBIT",#REF!,#REF!)/_xlfn.XLOOKUP("Interest Expense",#REF!,#REF!),"N/A")</f>
        <v>N/A</v>
      </c>
      <c r="R49" s="356" t="str">
        <f>IFERROR(_xlfn.XLOOKUP("EBIT",#REF!,#REF!)/_xlfn.XLOOKUP("Interest Expense",#REF!,#REF!),"N/A")</f>
        <v>N/A</v>
      </c>
    </row>
    <row r="50" spans="2:18" ht="15.6">
      <c r="B50" s="18" t="s">
        <v>97</v>
      </c>
      <c r="F50" s="16" t="str">
        <f>IFERROR(_xlfn.XLOOKUP("EBITDA",Inputs!$B:$B,Inputs!G:G)/_xlfn.XLOOKUP("Interest Expense",Inputs!$B:$B,Inputs!G:G),"N/A")</f>
        <v>N/A</v>
      </c>
      <c r="G50" s="16" t="str">
        <f>IFERROR(_xlfn.XLOOKUP("EBITDA",Inputs!$B:$B,Inputs!H:H)/_xlfn.XLOOKUP("Interest Expense",Inputs!$B:$B,Inputs!H:H),"N/A")</f>
        <v>N/A</v>
      </c>
      <c r="H50" s="16" t="str">
        <f>IFERROR(_xlfn.XLOOKUP("EBITDA",Inputs!$B:$B,Inputs!I:I)/_xlfn.XLOOKUP("Interest Expense",Inputs!$B:$B,Inputs!I:I),"N/A")</f>
        <v>N/A</v>
      </c>
      <c r="I50" s="16" t="str">
        <f>IFERROR(_xlfn.XLOOKUP("EBITDA",Inputs!$B:$B,Inputs!J:J)/_xlfn.XLOOKUP("Interest Expense",Inputs!$B:$B,Inputs!J:J),"N/A")</f>
        <v>N/A</v>
      </c>
      <c r="J50" s="16" t="str">
        <f>IFERROR(_xlfn.XLOOKUP("EBITDA",Inputs!$B:$B,Inputs!K:K)/_xlfn.XLOOKUP("Interest Expense",Inputs!$B:$B,Inputs!K:K),"N/A")</f>
        <v>N/A</v>
      </c>
      <c r="K50" s="16" t="str">
        <f>IFERROR(_xlfn.XLOOKUP("EBITDA",Inputs!$B:$B,Inputs!L:L)/_xlfn.XLOOKUP("Interest Expense",Inputs!$B:$B,Inputs!L:L),"N/A")</f>
        <v>N/A</v>
      </c>
      <c r="L50" s="16" t="str">
        <f>IFERROR(_xlfn.XLOOKUP("EBITDA",Inputs!$B:$B,Inputs!M:M)/_xlfn.XLOOKUP("Interest Expense",Inputs!$B:$B,Inputs!M:M),"N/A")</f>
        <v>N/A</v>
      </c>
      <c r="M50" s="16">
        <f>IFERROR(_xlfn.XLOOKUP("EBITDA",Inputs!$B:$B,Inputs!N:N)/_xlfn.XLOOKUP("Interest Expense",Inputs!$B:$B,Inputs!N:N),"N/A")</f>
        <v>-16.737704918032787</v>
      </c>
      <c r="N50" s="16">
        <f>IFERROR(_xlfn.XLOOKUP("EBITDA",Inputs!$B:$B,Inputs!O:O)/_xlfn.XLOOKUP("Interest Expense",Inputs!$B:$B,Inputs!O:O),"N/A")</f>
        <v>-17.333333333333332</v>
      </c>
      <c r="O50" s="16">
        <f>IFERROR(_xlfn.XLOOKUP("EBITDA",Inputs!$B:$B,Inputs!P:P)/_xlfn.XLOOKUP("Interest Expense",Inputs!$B:$B,Inputs!P:P),"N/A")</f>
        <v>-42.38095238095238</v>
      </c>
      <c r="P50" s="349">
        <f>IFERROR(_xlfn.XLOOKUP("EBITDA",Inputs!$B:$B,Inputs!Q:Q)/_xlfn.XLOOKUP("Interest Expense",Inputs!$B:$B,Inputs!Q:Q),"N/A")</f>
        <v>-45.525000000000006</v>
      </c>
      <c r="Q50" s="356" t="str">
        <f>IFERROR(_xlfn.XLOOKUP("EBITDA",#REF!,#REF!)/_xlfn.XLOOKUP("Interest Expense",#REF!,#REF!),"N/A")</f>
        <v>N/A</v>
      </c>
      <c r="R50" s="356" t="str">
        <f>IFERROR(_xlfn.XLOOKUP("EBITDA",#REF!,#REF!)/_xlfn.XLOOKUP("Interest Expense",#REF!,#REF!),"N/A")</f>
        <v>N/A</v>
      </c>
    </row>
    <row r="51" spans="2:18" ht="15.6">
      <c r="B51" s="18" t="s">
        <v>98</v>
      </c>
      <c r="F51" s="16" t="str">
        <f>IFERROR((_xlfn.XLOOKUP("EBITDA",Inputs!$B:$B,Inputs!G:G)-_xlfn.XLOOKUP("Net Capex",Inputs!$B:$B,Inputs!G:G))/_xlfn.XLOOKUP("Interest Expense",Inputs!$B:$B,Inputs!G:G),"N/A")</f>
        <v>N/A</v>
      </c>
      <c r="G51" s="16" t="str">
        <f>IFERROR((_xlfn.XLOOKUP("EBITDA",Inputs!$B:$B,Inputs!H:H)-_xlfn.XLOOKUP("Net Capex",Inputs!$B:$B,Inputs!H:H))/_xlfn.XLOOKUP("Interest Expense",Inputs!$B:$B,Inputs!H:H),"N/A")</f>
        <v>N/A</v>
      </c>
      <c r="H51" s="16" t="str">
        <f>IFERROR((_xlfn.XLOOKUP("EBITDA",Inputs!$B:$B,Inputs!I:I)-_xlfn.XLOOKUP("Net Capex",Inputs!$B:$B,Inputs!I:I))/_xlfn.XLOOKUP("Interest Expense",Inputs!$B:$B,Inputs!I:I),"N/A")</f>
        <v>N/A</v>
      </c>
      <c r="I51" s="16" t="str">
        <f>IFERROR((_xlfn.XLOOKUP("EBITDA",Inputs!$B:$B,Inputs!J:J)-_xlfn.XLOOKUP("Net Capex",Inputs!$B:$B,Inputs!J:J))/_xlfn.XLOOKUP("Interest Expense",Inputs!$B:$B,Inputs!J:J),"N/A")</f>
        <v>N/A</v>
      </c>
      <c r="J51" s="16" t="str">
        <f>IFERROR((_xlfn.XLOOKUP("EBITDA",Inputs!$B:$B,Inputs!K:K)-_xlfn.XLOOKUP("Net Capex",Inputs!$B:$B,Inputs!K:K))/_xlfn.XLOOKUP("Interest Expense",Inputs!$B:$B,Inputs!K:K),"N/A")</f>
        <v>N/A</v>
      </c>
      <c r="K51" s="16" t="str">
        <f>IFERROR((_xlfn.XLOOKUP("EBITDA",Inputs!$B:$B,Inputs!L:L)-_xlfn.XLOOKUP("Net Capex",Inputs!$B:$B,Inputs!L:L))/_xlfn.XLOOKUP("Interest Expense",Inputs!$B:$B,Inputs!L:L),"N/A")</f>
        <v>N/A</v>
      </c>
      <c r="L51" s="16" t="str">
        <f>IFERROR((_xlfn.XLOOKUP("EBITDA",Inputs!$B:$B,Inputs!M:M)-_xlfn.XLOOKUP("Net Capex",Inputs!$B:$B,Inputs!M:M))/_xlfn.XLOOKUP("Interest Expense",Inputs!$B:$B,Inputs!M:M),"N/A")</f>
        <v>N/A</v>
      </c>
      <c r="M51" s="16">
        <f>IFERROR((_xlfn.XLOOKUP("EBITDA",Inputs!$B:$B,Inputs!N:N)-_xlfn.XLOOKUP("Net Capex",Inputs!$B:$B,Inputs!N:N))/_xlfn.XLOOKUP("Interest Expense",Inputs!$B:$B,Inputs!N:N),"N/A")</f>
        <v>-1.639344262295082</v>
      </c>
      <c r="N51" s="16">
        <f>IFERROR((_xlfn.XLOOKUP("EBITDA",Inputs!$B:$B,Inputs!O:O)-_xlfn.XLOOKUP("Net Capex",Inputs!$B:$B,Inputs!O:O))/_xlfn.XLOOKUP("Interest Expense",Inputs!$B:$B,Inputs!O:O),"N/A")</f>
        <v>-3.4615384615384599</v>
      </c>
      <c r="O51" s="16">
        <f>IFERROR((_xlfn.XLOOKUP("EBITDA",Inputs!$B:$B,Inputs!P:P)-_xlfn.XLOOKUP("Net Capex",Inputs!$B:$B,Inputs!P:P))/_xlfn.XLOOKUP("Interest Expense",Inputs!$B:$B,Inputs!P:P),"N/A")</f>
        <v>-25.714285714285712</v>
      </c>
      <c r="P51" s="349">
        <f>IFERROR((_xlfn.XLOOKUP("EBITDA",Inputs!$B:$B,Inputs!Q:Q)-_xlfn.XLOOKUP("Net Capex",Inputs!$B:$B,Inputs!Q:Q))/_xlfn.XLOOKUP("Interest Expense",Inputs!$B:$B,Inputs!Q:Q),"N/A")</f>
        <v>-31.875000000000007</v>
      </c>
      <c r="Q51" s="356" t="str">
        <f>IFERROR((_xlfn.XLOOKUP("EBITDA",#REF!,#REF!)-_xlfn.XLOOKUP("Net Capex",#REF!,#REF!))/_xlfn.XLOOKUP("Interest Expense",#REF!,#REF!),"N/A")</f>
        <v>N/A</v>
      </c>
      <c r="R51" s="356" t="str">
        <f>IFERROR((_xlfn.XLOOKUP("EBITDA",#REF!,#REF!)-_xlfn.XLOOKUP("Net Capex",#REF!,#REF!))/_xlfn.XLOOKUP("Interest Expense",#REF!,#REF!),"N/A")</f>
        <v>N/A</v>
      </c>
    </row>
    <row r="52" spans="2:18">
      <c r="P52" s="350"/>
      <c r="Q52" s="361"/>
      <c r="R52" s="361"/>
    </row>
    <row r="53" spans="2:18" ht="15.6">
      <c r="B53" s="7" t="s">
        <v>62</v>
      </c>
      <c r="C53" s="56"/>
      <c r="D53" s="58"/>
      <c r="E53" s="58"/>
      <c r="F53" s="371">
        <v>2014</v>
      </c>
      <c r="G53" s="371">
        <f t="shared" ref="G53" si="47">+F53+1</f>
        <v>2015</v>
      </c>
      <c r="H53" s="371">
        <f t="shared" ref="H53" si="48">+G53+1</f>
        <v>2016</v>
      </c>
      <c r="I53" s="371">
        <f t="shared" ref="I53" si="49">+H53+1</f>
        <v>2017</v>
      </c>
      <c r="J53" s="371">
        <f t="shared" ref="J53" si="50">+I53+1</f>
        <v>2018</v>
      </c>
      <c r="K53" s="371">
        <f t="shared" ref="K53" si="51">+J53+1</f>
        <v>2019</v>
      </c>
      <c r="L53" s="371">
        <f t="shared" ref="L53" si="52">+K53+1</f>
        <v>2020</v>
      </c>
      <c r="M53" s="371">
        <f t="shared" ref="M53" si="53">+L53+1</f>
        <v>2021</v>
      </c>
      <c r="N53" s="371">
        <v>2022</v>
      </c>
      <c r="O53" s="371">
        <f t="shared" ref="O53" si="54">+N53+1</f>
        <v>2023</v>
      </c>
      <c r="P53" s="372">
        <f>+O53+1</f>
        <v>2024</v>
      </c>
      <c r="Q53" s="370">
        <f>+P53+1</f>
        <v>2025</v>
      </c>
      <c r="R53" s="370">
        <f>+Q53+1</f>
        <v>2026</v>
      </c>
    </row>
    <row r="54" spans="2:18" ht="3.75" customHeight="1">
      <c r="B54" s="251"/>
      <c r="C54" s="53"/>
      <c r="D54" s="60"/>
      <c r="E54" s="60"/>
      <c r="F54" s="60"/>
      <c r="G54" s="60"/>
      <c r="H54" s="60"/>
      <c r="I54" s="60"/>
      <c r="J54" s="60"/>
      <c r="K54" s="60"/>
      <c r="L54" s="60"/>
      <c r="M54" s="60"/>
      <c r="N54" s="224"/>
      <c r="O54" s="224"/>
      <c r="P54" s="351"/>
      <c r="Q54" s="224"/>
      <c r="R54" s="224"/>
    </row>
    <row r="55" spans="2:18" ht="15.6">
      <c r="B55" s="18" t="s">
        <v>261</v>
      </c>
      <c r="F55" s="367" t="str">
        <f>+IFERROR(_xlfn.XLOOKUP("Operating Cash Flow",Inputs!$B:$B,Inputs!G:G,,,-1)/_xlfn.XLOOKUP("Revenue (Sales)",Inputs!$B:$B,Inputs!G:G),"")</f>
        <v/>
      </c>
      <c r="G55" s="367" t="str">
        <f>+IFERROR(_xlfn.XLOOKUP("Operating Cash Flow",Inputs!$B:$B,Inputs!H:H,,,-1)/_xlfn.XLOOKUP("Revenue (Sales)",Inputs!$B:$B,Inputs!H:H),"")</f>
        <v/>
      </c>
      <c r="H55" s="367" t="str">
        <f>+IFERROR(_xlfn.XLOOKUP("Operating Cash Flow",Inputs!$B:$B,Inputs!I:I,,,-1)/_xlfn.XLOOKUP("Revenue (Sales)",Inputs!$B:$B,Inputs!I:I),"")</f>
        <v/>
      </c>
      <c r="I55" s="367" t="str">
        <f>+IFERROR(_xlfn.XLOOKUP("Operating Cash Flow",Inputs!$B:$B,Inputs!J:J,,,-1)/_xlfn.XLOOKUP("Revenue (Sales)",Inputs!$B:$B,Inputs!J:J),"")</f>
        <v/>
      </c>
      <c r="J55" s="367" t="str">
        <f>+IFERROR(_xlfn.XLOOKUP("Operating Cash Flow",Inputs!$B:$B,Inputs!K:K,,,-1)/_xlfn.XLOOKUP("Revenue (Sales)",Inputs!$B:$B,Inputs!K:K),"")</f>
        <v/>
      </c>
      <c r="K55" s="367" t="str">
        <f>+IFERROR(_xlfn.XLOOKUP("Operating Cash Flow",Inputs!$B:$B,Inputs!L:L,,,-1)/_xlfn.XLOOKUP("Revenue (Sales)",Inputs!$B:$B,Inputs!L:L),"")</f>
        <v/>
      </c>
      <c r="L55" s="367" t="str">
        <f>+IFERROR(_xlfn.XLOOKUP("Operating Cash Flow",Inputs!$B:$B,Inputs!M:M,,,-1)/_xlfn.XLOOKUP("Revenue (Sales)",Inputs!$B:$B,Inputs!M:M),"")</f>
        <v/>
      </c>
      <c r="M55" s="367">
        <f>+IFERROR(_xlfn.XLOOKUP("Operating Cash Flow",Inputs!$B:$B,Inputs!N:N,,,-1)/_xlfn.XLOOKUP("Revenue (Sales)",Inputs!$B:$B,Inputs!N:N),"")</f>
        <v>-1.1543408360128617</v>
      </c>
      <c r="N55" s="367">
        <f>+IFERROR(_xlfn.XLOOKUP("Operating Cash Flow",Inputs!$B:$B,Inputs!O:O,,,-1)/_xlfn.XLOOKUP("Revenue (Sales)",Inputs!$B:$B,Inputs!O:O),"")</f>
        <v>-0.50473933649289104</v>
      </c>
      <c r="O55" s="367">
        <f>+IFERROR(_xlfn.XLOOKUP("Operating Cash Flow",Inputs!$B:$B,Inputs!P:P,,,-1)/_xlfn.XLOOKUP("Revenue (Sales)",Inputs!$B:$B,Inputs!P:P),"")</f>
        <v>-0.40433360588716277</v>
      </c>
      <c r="P55" s="368">
        <f>+IFERROR(_xlfn.XLOOKUP("Operating Cash Flow",Inputs!$B:$B,Inputs!Q:Q,,,-1)/_xlfn.XLOOKUP("Revenue (Sales)",Inputs!$B:$B,Inputs!Q:Q),"")</f>
        <v>-0.11210453920220083</v>
      </c>
      <c r="Q55" s="369" t="str">
        <f>IFERROR(_xlfn.XLOOKUP("Operating Cash Flow",#REF!,#REF!)/_xlfn.XLOOKUP("Revenue (Sales)",#REF!,#REF!),"")</f>
        <v/>
      </c>
      <c r="R55" s="369" t="str">
        <f>IFERROR(_xlfn.XLOOKUP("Operating Cash Flow",#REF!,#REF!)/_xlfn.XLOOKUP("Revenue (Sales)",#REF!,#REF!),"")</f>
        <v/>
      </c>
    </row>
    <row r="56" spans="2:18" ht="15.6">
      <c r="B56" s="18" t="s">
        <v>262</v>
      </c>
      <c r="F56" s="367" t="str">
        <f>IFERROR(_xlfn.XLOOKUP("Net Changes in Cash",Inputs!$B:$B,Inputs!G:G,,,-1)/_xlfn.XLOOKUP("Net Income",Inputs!$B:$B,Inputs!G:G),"")</f>
        <v/>
      </c>
      <c r="G56" s="367" t="str">
        <f>IFERROR(_xlfn.XLOOKUP("Net Changes in Cash",Inputs!$B:$B,Inputs!H:H,,,-1)/_xlfn.XLOOKUP("Net Income",Inputs!$B:$B,Inputs!H:H),"")</f>
        <v/>
      </c>
      <c r="H56" s="367" t="str">
        <f>IFERROR(_xlfn.XLOOKUP("Net Changes in Cash",Inputs!$B:$B,Inputs!I:I,,,-1)/_xlfn.XLOOKUP("Net Income",Inputs!$B:$B,Inputs!I:I),"")</f>
        <v/>
      </c>
      <c r="I56" s="367" t="str">
        <f>IFERROR(_xlfn.XLOOKUP("Net Changes in Cash",Inputs!$B:$B,Inputs!J:J,,,-1)/_xlfn.XLOOKUP("Net Income",Inputs!$B:$B,Inputs!J:J),"")</f>
        <v/>
      </c>
      <c r="J56" s="367" t="str">
        <f>IFERROR(_xlfn.XLOOKUP("Net Changes in Cash",Inputs!$B:$B,Inputs!K:K,,,-1)/_xlfn.XLOOKUP("Net Income",Inputs!$B:$B,Inputs!K:K),"")</f>
        <v/>
      </c>
      <c r="K56" s="367" t="str">
        <f>IFERROR(_xlfn.XLOOKUP("Net Changes in Cash",Inputs!$B:$B,Inputs!L:L,,,-1)/_xlfn.XLOOKUP("Net Income",Inputs!$B:$B,Inputs!L:L),"")</f>
        <v/>
      </c>
      <c r="L56" s="367" t="str">
        <f>IFERROR(_xlfn.XLOOKUP("Net Changes in Cash",Inputs!$B:$B,Inputs!M:M,,,-1)/_xlfn.XLOOKUP("Net Income",Inputs!$B:$B,Inputs!M:M),"")</f>
        <v/>
      </c>
      <c r="M56" s="367">
        <f>IFERROR(_xlfn.XLOOKUP("Net Changes in Cash",Inputs!$B:$B,Inputs!N:N,,,-1)/_xlfn.XLOOKUP("Net Income",Inputs!$B:$B,Inputs!N:N),"")</f>
        <v>-5.9864902898958645</v>
      </c>
      <c r="N56" s="367">
        <f>IFERROR(_xlfn.XLOOKUP("Net Changes in Cash",Inputs!$B:$B,Inputs!O:O,,,-1)/_xlfn.XLOOKUP("Net Income",Inputs!$B:$B,Inputs!O:O),"")</f>
        <v>4.190851883159576</v>
      </c>
      <c r="O56" s="367">
        <f>IFERROR(_xlfn.XLOOKUP("Net Changes in Cash",Inputs!$B:$B,Inputs!P:P,,,-1)/_xlfn.XLOOKUP("Net Income",Inputs!$B:$B,Inputs!P:P),"")</f>
        <v>0.51491569390402081</v>
      </c>
      <c r="P56" s="368">
        <f>IFERROR(_xlfn.XLOOKUP("Net Changes in Cash",Inputs!$B:$B,Inputs!Q:Q,,,-1)/_xlfn.XLOOKUP("Net Income",Inputs!$B:$B,Inputs!Q:Q),"")</f>
        <v>-0.72248391163006698</v>
      </c>
      <c r="Q56" s="369" t="str">
        <f>IFERROR(_xlfn.XLOOKUP("Net Changes in Cash",#REF!,#REF!)/_xlfn.XLOOKUP("Net Income",#REF!,#REF!),"")</f>
        <v/>
      </c>
      <c r="R56" s="369" t="str">
        <f>IFERROR(_xlfn.XLOOKUP("Net Changes in Cash",#REF!,#REF!)/_xlfn.XLOOKUP("Net Income",#REF!,#REF!),"")</f>
        <v/>
      </c>
    </row>
    <row r="57" spans="2:18" ht="15.6">
      <c r="B57" s="18" t="s">
        <v>263</v>
      </c>
      <c r="F57" s="367" t="str">
        <f>IFERROR(_xlfn.XLOOKUP("Operating Cash Flow",Inputs!$B:$B,Inputs!G:G,,,-1)/_xlfn.XLOOKUP("Net Income",Inputs!$B:$B,Inputs!G:G),"")</f>
        <v/>
      </c>
      <c r="G57" s="367" t="str">
        <f>IFERROR(_xlfn.XLOOKUP("Operating Cash Flow",Inputs!$B:$B,Inputs!H:H,,,-1)/_xlfn.XLOOKUP("Net Income",Inputs!$B:$B,Inputs!H:H),"")</f>
        <v/>
      </c>
      <c r="H57" s="367" t="str">
        <f>IFERROR(_xlfn.XLOOKUP("Operating Cash Flow",Inputs!$B:$B,Inputs!I:I,,,-1)/_xlfn.XLOOKUP("Net Income",Inputs!$B:$B,Inputs!I:I),"")</f>
        <v/>
      </c>
      <c r="I57" s="367" t="str">
        <f>IFERROR(_xlfn.XLOOKUP("Operating Cash Flow",Inputs!$B:$B,Inputs!J:J,,,-1)/_xlfn.XLOOKUP("Net Income",Inputs!$B:$B,Inputs!J:J),"")</f>
        <v/>
      </c>
      <c r="J57" s="367" t="str">
        <f>IFERROR(_xlfn.XLOOKUP("Operating Cash Flow",Inputs!$B:$B,Inputs!K:K,,,-1)/_xlfn.XLOOKUP("Net Income",Inputs!$B:$B,Inputs!K:K),"")</f>
        <v/>
      </c>
      <c r="K57" s="367" t="str">
        <f>IFERROR(_xlfn.XLOOKUP("Operating Cash Flow",Inputs!$B:$B,Inputs!L:L,,,-1)/_xlfn.XLOOKUP("Net Income",Inputs!$B:$B,Inputs!L:L),"")</f>
        <v/>
      </c>
      <c r="L57" s="367" t="str">
        <f>IFERROR(_xlfn.XLOOKUP("Operating Cash Flow",Inputs!$B:$B,Inputs!M:M,,,-1)/_xlfn.XLOOKUP("Net Income",Inputs!$B:$B,Inputs!M:M),"")</f>
        <v/>
      </c>
      <c r="M57" s="367">
        <f>IFERROR(_xlfn.XLOOKUP("Operating Cash Flow",Inputs!$B:$B,Inputs!N:N,,,-1)/_xlfn.XLOOKUP("Net Income",Inputs!$B:$B,Inputs!N:N),"")</f>
        <v>0.67360915658129294</v>
      </c>
      <c r="N57" s="367">
        <f>IFERROR(_xlfn.XLOOKUP("Operating Cash Flow",Inputs!$B:$B,Inputs!O:O,,,-1)/_xlfn.XLOOKUP("Net Income",Inputs!$B:$B,Inputs!O:O),"")</f>
        <v>1.0002817695125388</v>
      </c>
      <c r="O57" s="367">
        <f>IFERROR(_xlfn.XLOOKUP("Operating Cash Flow",Inputs!$B:$B,Inputs!P:P,,,-1)/_xlfn.XLOOKUP("Net Income",Inputs!$B:$B,Inputs!P:P),"")</f>
        <v>0.6413748378728924</v>
      </c>
      <c r="P57" s="368">
        <f>IFERROR(_xlfn.XLOOKUP("Operating Cash Flow",Inputs!$B:$B,Inputs!Q:Q,,,-1)/_xlfn.XLOOKUP("Net Income",Inputs!$B:$B,Inputs!Q:Q),"")</f>
        <v>0.32442115040137992</v>
      </c>
      <c r="Q57" s="369" t="str">
        <f>IFERROR(_xlfn.XLOOKUP("Operating Cash Flow",#REF!,#REF!)/_xlfn.XLOOKUP("Net Income",#REF!,#REF!),"")</f>
        <v/>
      </c>
      <c r="R57" s="369" t="str">
        <f>IFERROR(_xlfn.XLOOKUP("Operating Cash Flow",#REF!,#REF!)/_xlfn.XLOOKUP("Net Income",#REF!,#REF!),"")</f>
        <v/>
      </c>
    </row>
    <row r="58" spans="2:18" ht="15.6">
      <c r="B58" s="18" t="s">
        <v>264</v>
      </c>
      <c r="F58" s="367" t="str">
        <f>IFERROR(_xlfn.XLOOKUP("Net Capex",Inputs!$B:$B,Inputs!G:G,,,-1)/_xlfn.XLOOKUP("Operating Cash Flow",Inputs!$B:$B,Inputs!G:G),"")</f>
        <v/>
      </c>
      <c r="G58" s="367" t="str">
        <f>IFERROR(_xlfn.XLOOKUP("Net Capex",Inputs!$B:$B,Inputs!H:H,,,-1)/_xlfn.XLOOKUP("Operating Cash Flow",Inputs!$B:$B,Inputs!H:H),"")</f>
        <v/>
      </c>
      <c r="H58" s="367" t="str">
        <f>IFERROR(_xlfn.XLOOKUP("Net Capex",Inputs!$B:$B,Inputs!I:I,,,-1)/_xlfn.XLOOKUP("Operating Cash Flow",Inputs!$B:$B,Inputs!I:I),"")</f>
        <v/>
      </c>
      <c r="I58" s="367" t="str">
        <f>IFERROR(_xlfn.XLOOKUP("Net Capex",Inputs!$B:$B,Inputs!J:J,,,-1)/_xlfn.XLOOKUP("Operating Cash Flow",Inputs!$B:$B,Inputs!J:J),"")</f>
        <v/>
      </c>
      <c r="J58" s="367" t="str">
        <f>IFERROR(_xlfn.XLOOKUP("Net Capex",Inputs!$B:$B,Inputs!K:K,,,-1)/_xlfn.XLOOKUP("Operating Cash Flow",Inputs!$B:$B,Inputs!K:K),"")</f>
        <v/>
      </c>
      <c r="K58" s="367" t="str">
        <f>IFERROR(_xlfn.XLOOKUP("Net Capex",Inputs!$B:$B,Inputs!L:L,,,-1)/_xlfn.XLOOKUP("Operating Cash Flow",Inputs!$B:$B,Inputs!L:L),"")</f>
        <v/>
      </c>
      <c r="L58" s="367" t="str">
        <f>IFERROR(_xlfn.XLOOKUP("Net Capex",Inputs!$B:$B,Inputs!M:M,,,-1)/_xlfn.XLOOKUP("Operating Cash Flow",Inputs!$B:$B,Inputs!M:M),"")</f>
        <v/>
      </c>
      <c r="M58" s="367">
        <f>IFERROR(_xlfn.XLOOKUP("Net Capex",Inputs!$B:$B,Inputs!N:N,,,-1)/_xlfn.XLOOKUP("Operating Cash Flow",Inputs!$B:$B,Inputs!N:N),"")</f>
        <v>1.2827298050139275</v>
      </c>
      <c r="N58" s="367">
        <f>IFERROR(_xlfn.XLOOKUP("Net Capex",Inputs!$B:$B,Inputs!O:O,,,-1)/_xlfn.XLOOKUP("Operating Cash Flow",Inputs!$B:$B,Inputs!O:O),"")</f>
        <v>1.015962441314554</v>
      </c>
      <c r="O58" s="367">
        <f>IFERROR(_xlfn.XLOOKUP("Net Capex",Inputs!$B:$B,Inputs!P:P,,,-1)/_xlfn.XLOOKUP("Operating Cash Flow",Inputs!$B:$B,Inputs!P:P),"")</f>
        <v>0.70778564206268957</v>
      </c>
      <c r="P58" s="368">
        <f>IFERROR(_xlfn.XLOOKUP("Net Capex",Inputs!$B:$B,Inputs!Q:Q,,,-1)/_xlfn.XLOOKUP("Operating Cash Flow",Inputs!$B:$B,Inputs!Q:Q),"")</f>
        <v>1.1165644171779141</v>
      </c>
      <c r="Q58" s="369" t="str">
        <f>IFERROR(_xlfn.XLOOKUP("Net Capex",#REF!,#REF!)/_xlfn.XLOOKUP("Operating Cash Flow",#REF!,#REF!),"")</f>
        <v/>
      </c>
      <c r="R58" s="369" t="str">
        <f>IFERROR(_xlfn.XLOOKUP("Net Capex",#REF!,#REF!)/_xlfn.XLOOKUP("Operating Cash Flow",#REF!,#REF!),"")</f>
        <v/>
      </c>
    </row>
    <row r="59" spans="2:18" ht="15.6">
      <c r="B59" s="18" t="s">
        <v>265</v>
      </c>
      <c r="F59" s="367" t="str">
        <f>IFERROR(_xlfn.XLOOKUP("Investing Cash Flow",Inputs!$B:$B,Inputs!G:G,,,-1)/_xlfn.XLOOKUP("Operating Cash Flow",Inputs!$B:$B,Inputs!G:G),"")</f>
        <v/>
      </c>
      <c r="G59" s="367" t="str">
        <f>IFERROR(_xlfn.XLOOKUP("Investing Cash Flow",Inputs!$B:$B,Inputs!H:H,,,-1)/_xlfn.XLOOKUP("Operating Cash Flow",Inputs!$B:$B,Inputs!H:H),"")</f>
        <v/>
      </c>
      <c r="H59" s="367" t="str">
        <f>IFERROR(_xlfn.XLOOKUP("Investing Cash Flow",Inputs!$B:$B,Inputs!I:I,,,-1)/_xlfn.XLOOKUP("Operating Cash Flow",Inputs!$B:$B,Inputs!I:I),"")</f>
        <v/>
      </c>
      <c r="I59" s="367" t="str">
        <f>IFERROR(_xlfn.XLOOKUP("Investing Cash Flow",Inputs!$B:$B,Inputs!J:J,,,-1)/_xlfn.XLOOKUP("Operating Cash Flow",Inputs!$B:$B,Inputs!J:J),"")</f>
        <v/>
      </c>
      <c r="J59" s="367" t="str">
        <f>IFERROR(_xlfn.XLOOKUP("Investing Cash Flow",Inputs!$B:$B,Inputs!K:K,,,-1)/_xlfn.XLOOKUP("Operating Cash Flow",Inputs!$B:$B,Inputs!K:K),"")</f>
        <v/>
      </c>
      <c r="K59" s="367" t="str">
        <f>IFERROR(_xlfn.XLOOKUP("Investing Cash Flow",Inputs!$B:$B,Inputs!L:L,,,-1)/_xlfn.XLOOKUP("Operating Cash Flow",Inputs!$B:$B,Inputs!L:L),"")</f>
        <v/>
      </c>
      <c r="L59" s="367" t="str">
        <f>IFERROR(_xlfn.XLOOKUP("Investing Cash Flow",Inputs!$B:$B,Inputs!M:M,,,-1)/_xlfn.XLOOKUP("Operating Cash Flow",Inputs!$B:$B,Inputs!M:M),"")</f>
        <v/>
      </c>
      <c r="M59" s="367">
        <f>IFERROR(_xlfn.XLOOKUP("Investing Cash Flow",Inputs!$B:$B,Inputs!N:N,,,-1)/_xlfn.XLOOKUP("Operating Cash Flow",Inputs!$B:$B,Inputs!N:N),"")</f>
        <v>1.2827298050139275</v>
      </c>
      <c r="N59" s="367">
        <f>IFERROR(_xlfn.XLOOKUP("Investing Cash Flow",Inputs!$B:$B,Inputs!O:O,,,-1)/_xlfn.XLOOKUP("Operating Cash Flow",Inputs!$B:$B,Inputs!O:O),"")</f>
        <v>3.2497652582159628</v>
      </c>
      <c r="O59" s="367">
        <f>IFERROR(_xlfn.XLOOKUP("Investing Cash Flow",Inputs!$B:$B,Inputs!P:P,,,-1)/_xlfn.XLOOKUP("Operating Cash Flow",Inputs!$B:$B,Inputs!P:P),"")</f>
        <v>-0.12133468149646107</v>
      </c>
      <c r="P59" s="368">
        <f>IFERROR(_xlfn.XLOOKUP("Investing Cash Flow",Inputs!$B:$B,Inputs!Q:Q,,,-1)/_xlfn.XLOOKUP("Operating Cash Flow",Inputs!$B:$B,Inputs!Q:Q),"")</f>
        <v>2.0102249488752557</v>
      </c>
      <c r="Q59" s="369" t="str">
        <f>IFERROR(_xlfn.XLOOKUP("Investing Cash Flow",#REF!,#REF!)/_xlfn.XLOOKUP("Operating Cash Flow",#REF!,#REF!),"")</f>
        <v/>
      </c>
      <c r="R59" s="369" t="str">
        <f>IFERROR(_xlfn.XLOOKUP("Investing Cash Flow",#REF!,#REF!)/_xlfn.XLOOKUP("Operating Cash Flow",#REF!,#REF!),"")</f>
        <v/>
      </c>
    </row>
    <row r="60" spans="2:18" ht="15.6">
      <c r="B60" s="18" t="s">
        <v>266</v>
      </c>
      <c r="F60" s="367" t="str">
        <f>IFERROR((_xlfn.XLOOKUP("Debt Borrowing",Inputs!$B:$B,Inputs!G:G,,,-1)-_xlfn.XLOOKUP("Debt Repayment",Inputs!$B:$B,Inputs!G:G))/_xlfn.XLOOKUP("Operating Cash Flow",Inputs!$B:$B,Inputs!G:G),"")</f>
        <v/>
      </c>
      <c r="G60" s="367" t="str">
        <f>IFERROR((_xlfn.XLOOKUP("Debt Borrowing",Inputs!$B:$B,Inputs!H:H,,,-1)-_xlfn.XLOOKUP("Debt Repayment",Inputs!$B:$B,Inputs!H:H))/_xlfn.XLOOKUP("Operating Cash Flow",Inputs!$B:$B,Inputs!H:H),"")</f>
        <v/>
      </c>
      <c r="H60" s="367" t="str">
        <f>IFERROR((_xlfn.XLOOKUP("Debt Borrowing",Inputs!$B:$B,Inputs!I:I,,,-1)-_xlfn.XLOOKUP("Debt Repayment",Inputs!$B:$B,Inputs!I:I))/_xlfn.XLOOKUP("Operating Cash Flow",Inputs!$B:$B,Inputs!I:I),"")</f>
        <v/>
      </c>
      <c r="I60" s="367" t="str">
        <f>IFERROR((_xlfn.XLOOKUP("Debt Borrowing",Inputs!$B:$B,Inputs!J:J,,,-1)-_xlfn.XLOOKUP("Debt Repayment",Inputs!$B:$B,Inputs!J:J))/_xlfn.XLOOKUP("Operating Cash Flow",Inputs!$B:$B,Inputs!J:J),"")</f>
        <v/>
      </c>
      <c r="J60" s="367" t="str">
        <f>IFERROR((_xlfn.XLOOKUP("Debt Borrowing",Inputs!$B:$B,Inputs!K:K,,,-1)-_xlfn.XLOOKUP("Debt Repayment",Inputs!$B:$B,Inputs!K:K))/_xlfn.XLOOKUP("Operating Cash Flow",Inputs!$B:$B,Inputs!K:K),"")</f>
        <v/>
      </c>
      <c r="K60" s="367" t="str">
        <f>IFERROR((_xlfn.XLOOKUP("Debt Borrowing",Inputs!$B:$B,Inputs!L:L,,,-1)-_xlfn.XLOOKUP("Debt Repayment",Inputs!$B:$B,Inputs!L:L))/_xlfn.XLOOKUP("Operating Cash Flow",Inputs!$B:$B,Inputs!L:L),"")</f>
        <v/>
      </c>
      <c r="L60" s="367" t="str">
        <f>IFERROR((_xlfn.XLOOKUP("Debt Borrowing",Inputs!$B:$B,Inputs!M:M,,,-1)-_xlfn.XLOOKUP("Debt Repayment",Inputs!$B:$B,Inputs!M:M))/_xlfn.XLOOKUP("Operating Cash Flow",Inputs!$B:$B,Inputs!M:M),"")</f>
        <v/>
      </c>
      <c r="M60" s="367" t="str">
        <f>IFERROR((_xlfn.XLOOKUP("Debt Borrowing",Inputs!$B:$B,Inputs!N:N,,,-1)-_xlfn.XLOOKUP("Debt Repayment",Inputs!$B:$B,Inputs!N:N))/_xlfn.XLOOKUP("Operating Cash Flow",Inputs!$B:$B,Inputs!N:N),"")</f>
        <v/>
      </c>
      <c r="N60" s="367">
        <f>IFERROR((_xlfn.XLOOKUP("Debt Borrowing",Inputs!$B:$B,Inputs!O:O,,,-1)-_xlfn.XLOOKUP("Debt Repayment",Inputs!$B:$B,Inputs!O:O))/_xlfn.XLOOKUP("Operating Cash Flow",Inputs!$B:$B,Inputs!O:O),"")</f>
        <v>-0.81971830985915495</v>
      </c>
      <c r="O60" s="367">
        <f>IFERROR((_xlfn.XLOOKUP("Debt Borrowing",Inputs!$B:$B,Inputs!P:P,,,-1)-_xlfn.XLOOKUP("Debt Repayment",Inputs!$B:$B,Inputs!P:P))/_xlfn.XLOOKUP("Operating Cash Flow",Inputs!$B:$B,Inputs!P:P),"")</f>
        <v>-0.91102123356926179</v>
      </c>
      <c r="P60" s="368">
        <f>IFERROR((_xlfn.XLOOKUP("Debt Borrowing",Inputs!$B:$B,Inputs!Q:Q,,,-1)-_xlfn.XLOOKUP("Debt Repayment",Inputs!$B:$B,Inputs!Q:Q))/_xlfn.XLOOKUP("Operating Cash Flow",Inputs!$B:$B,Inputs!Q:Q),"")</f>
        <v>-2.0102249488752557</v>
      </c>
      <c r="Q60" s="369" t="str">
        <f>IFERROR((_xlfn.XLOOKUP("Debt Borrowing",#REF!,#REF!)-_xlfn.XLOOKUP("Debt Repayment",#REF!,#REF!))/_xlfn.XLOOKUP("Operating Cash Flow",#REF!,#REF!),"")</f>
        <v/>
      </c>
      <c r="R60" s="369" t="str">
        <f>IFERROR((_xlfn.XLOOKUP("Debt Borrowing",#REF!,#REF!)-_xlfn.XLOOKUP("Debt Repayment",#REF!,#REF!))/_xlfn.XLOOKUP("Operating Cash Flow",#REF!,#REF!),"")</f>
        <v/>
      </c>
    </row>
    <row r="61" spans="2:18" ht="15.6">
      <c r="B61" s="18" t="s">
        <v>610</v>
      </c>
      <c r="F61" s="367" t="str">
        <f>IFERROR(-_xlfn.XLOOKUP("Debt Repayment",Inputs!$B:$B,Inputs!G:G,,,-1)/_xlfn.XLOOKUP("Debt Borrowing",Inputs!$B:$B,Inputs!G:G),"")</f>
        <v/>
      </c>
      <c r="G61" s="367" t="str">
        <f>IFERROR(-_xlfn.XLOOKUP("Debt Repayment",Inputs!$B:$B,Inputs!H:H,,,-1)/_xlfn.XLOOKUP("Debt Borrowing",Inputs!$B:$B,Inputs!H:H),"")</f>
        <v/>
      </c>
      <c r="H61" s="367" t="str">
        <f>IFERROR(-_xlfn.XLOOKUP("Debt Repayment",Inputs!$B:$B,Inputs!I:I,,,-1)/_xlfn.XLOOKUP("Debt Borrowing",Inputs!$B:$B,Inputs!I:I),"")</f>
        <v/>
      </c>
      <c r="I61" s="367" t="str">
        <f>IFERROR(-_xlfn.XLOOKUP("Debt Repayment",Inputs!$B:$B,Inputs!J:J,,,-1)/_xlfn.XLOOKUP("Debt Borrowing",Inputs!$B:$B,Inputs!J:J),"")</f>
        <v/>
      </c>
      <c r="J61" s="367" t="str">
        <f>IFERROR(-_xlfn.XLOOKUP("Debt Repayment",Inputs!$B:$B,Inputs!K:K,,,-1)/_xlfn.XLOOKUP("Debt Borrowing",Inputs!$B:$B,Inputs!K:K),"")</f>
        <v/>
      </c>
      <c r="K61" s="367" t="str">
        <f>IFERROR(-_xlfn.XLOOKUP("Debt Repayment",Inputs!$B:$B,Inputs!L:L,,,-1)/_xlfn.XLOOKUP("Debt Borrowing",Inputs!$B:$B,Inputs!L:L),"")</f>
        <v/>
      </c>
      <c r="L61" s="367" t="str">
        <f>IFERROR(-_xlfn.XLOOKUP("Debt Repayment",Inputs!$B:$B,Inputs!M:M,,,-1)/_xlfn.XLOOKUP("Debt Borrowing",Inputs!$B:$B,Inputs!M:M),"")</f>
        <v/>
      </c>
      <c r="M61" s="367" t="str">
        <f>IFERROR(-_xlfn.XLOOKUP("Debt Repayment",Inputs!$B:$B,Inputs!N:N,,,-1)/_xlfn.XLOOKUP("Debt Borrowing",Inputs!$B:$B,Inputs!N:N),"")</f>
        <v/>
      </c>
      <c r="N61" s="367">
        <f>IFERROR(-_xlfn.XLOOKUP("Debt Repayment",Inputs!$B:$B,Inputs!O:O,,,-1)/_xlfn.XLOOKUP("Debt Borrowing",Inputs!$B:$B,Inputs!O:O),"")</f>
        <v>3.4482758620689655E-3</v>
      </c>
      <c r="O61" s="367">
        <f>IFERROR(-_xlfn.XLOOKUP("Debt Repayment",Inputs!$B:$B,Inputs!P:P,,,-1)/_xlfn.XLOOKUP("Debt Borrowing",Inputs!$B:$B,Inputs!P:P),"")</f>
        <v>3.3407572383073497E-3</v>
      </c>
      <c r="P61" s="368">
        <f>IFERROR(-_xlfn.XLOOKUP("Debt Repayment",Inputs!$B:$B,Inputs!Q:Q,,,-1)/_xlfn.XLOOKUP("Debt Borrowing",Inputs!$B:$B,Inputs!Q:Q),"")</f>
        <v>-0.75498504486540374</v>
      </c>
      <c r="Q61" s="369" t="str">
        <f>IFERROR(-_xlfn.XLOOKUP("Debt Repayment",#REF!,#REF!)/_xlfn.XLOOKUP("Debt Borrowing",#REF!,#REF!),"")</f>
        <v/>
      </c>
      <c r="R61" s="369" t="str">
        <f>IFERROR(-_xlfn.XLOOKUP("Debt Repayment",#REF!,#REF!)/_xlfn.XLOOKUP("Debt Borrowing",#REF!,#REF!),"")</f>
        <v/>
      </c>
    </row>
    <row r="62" spans="2:18" ht="15.6">
      <c r="B62" s="18" t="s">
        <v>268</v>
      </c>
      <c r="F62" s="367" t="str">
        <f>IFERROR(_xlfn.XLOOKUP("Financing Cash Flow",Inputs!$B:$B,Inputs!G:G,,,-1)/_xlfn.XLOOKUP("Operating Cash Flow",Inputs!$B:$B,Inputs!G:G),"")</f>
        <v/>
      </c>
      <c r="G62" s="367" t="str">
        <f>IFERROR(_xlfn.XLOOKUP("Financing Cash Flow",Inputs!$B:$B,Inputs!H:H,,,-1)/_xlfn.XLOOKUP("Operating Cash Flow",Inputs!$B:$B,Inputs!H:H),"")</f>
        <v/>
      </c>
      <c r="H62" s="367" t="str">
        <f>IFERROR(_xlfn.XLOOKUP("Financing Cash Flow",Inputs!$B:$B,Inputs!I:I,,,-1)/_xlfn.XLOOKUP("Operating Cash Flow",Inputs!$B:$B,Inputs!I:I),"")</f>
        <v/>
      </c>
      <c r="I62" s="367" t="str">
        <f>IFERROR(_xlfn.XLOOKUP("Financing Cash Flow",Inputs!$B:$B,Inputs!J:J,,,-1)/_xlfn.XLOOKUP("Operating Cash Flow",Inputs!$B:$B,Inputs!J:J),"")</f>
        <v/>
      </c>
      <c r="J62" s="367" t="str">
        <f>IFERROR(_xlfn.XLOOKUP("Financing Cash Flow",Inputs!$B:$B,Inputs!K:K,,,-1)/_xlfn.XLOOKUP("Operating Cash Flow",Inputs!$B:$B,Inputs!K:K),"")</f>
        <v/>
      </c>
      <c r="K62" s="367" t="str">
        <f>IFERROR(_xlfn.XLOOKUP("Financing Cash Flow",Inputs!$B:$B,Inputs!L:L,,,-1)/_xlfn.XLOOKUP("Operating Cash Flow",Inputs!$B:$B,Inputs!L:L),"")</f>
        <v/>
      </c>
      <c r="L62" s="367" t="str">
        <f>IFERROR(_xlfn.XLOOKUP("Financing Cash Flow",Inputs!$B:$B,Inputs!M:M,,,-1)/_xlfn.XLOOKUP("Operating Cash Flow",Inputs!$B:$B,Inputs!M:M),"")</f>
        <v/>
      </c>
      <c r="M62" s="367">
        <f>IFERROR(_xlfn.XLOOKUP("Financing Cash Flow",Inputs!$B:$B,Inputs!N:N,,,-1)/_xlfn.XLOOKUP("Operating Cash Flow",Inputs!$B:$B,Inputs!N:N),"")</f>
        <v>0</v>
      </c>
      <c r="N62" s="367">
        <f>IFERROR(_xlfn.XLOOKUP("Financing Cash Flow",Inputs!$B:$B,Inputs!O:O,,,-1)/_xlfn.XLOOKUP("Operating Cash Flow",Inputs!$B:$B,Inputs!O:O),"")</f>
        <v>0</v>
      </c>
      <c r="O62" s="367">
        <f>IFERROR(_xlfn.XLOOKUP("Financing Cash Flow",Inputs!$B:$B,Inputs!P:P,,,-1)/_xlfn.XLOOKUP("Operating Cash Flow",Inputs!$B:$B,Inputs!P:P),"")</f>
        <v>0</v>
      </c>
      <c r="P62" s="368">
        <f>IFERROR(_xlfn.XLOOKUP("Financing Cash Flow",Inputs!$B:$B,Inputs!Q:Q,,,-1)/_xlfn.XLOOKUP("Operating Cash Flow",Inputs!$B:$B,Inputs!Q:Q),"")</f>
        <v>0</v>
      </c>
      <c r="Q62" s="369" t="str">
        <f>IFERROR(_xlfn.XLOOKUP("Financing Cash Flow",#REF!,#REF!)/_xlfn.XLOOKUP("Operating Cash Flow",#REF!,#REF!),"")</f>
        <v/>
      </c>
      <c r="R62" s="369" t="str">
        <f>IFERROR(_xlfn.XLOOKUP("Financing Cash Flow",#REF!,#REF!)/_xlfn.XLOOKUP("Operating Cash Flow",#REF!,#REF!),"")</f>
        <v/>
      </c>
    </row>
    <row r="63" spans="2:18" ht="15.6">
      <c r="B63" s="18" t="s">
        <v>70</v>
      </c>
      <c r="F63" s="367" t="str">
        <f>IFERROR(_xlfn.XLOOKUP("Net Income",Inputs!$B:$B,Inputs!G:G,,,-1)/_xlfn.XLOOKUP("Operating Cash Flow",Inputs!$B:$B,Inputs!G:G),"")</f>
        <v/>
      </c>
      <c r="G63" s="367" t="str">
        <f>IFERROR(_xlfn.XLOOKUP("Net Income",Inputs!$B:$B,Inputs!H:H,,,-1)/_xlfn.XLOOKUP("Operating Cash Flow",Inputs!$B:$B,Inputs!H:H),"")</f>
        <v/>
      </c>
      <c r="H63" s="367" t="str">
        <f>IFERROR(_xlfn.XLOOKUP("Net Income",Inputs!$B:$B,Inputs!I:I,,,-1)/_xlfn.XLOOKUP("Operating Cash Flow",Inputs!$B:$B,Inputs!I:I),"")</f>
        <v/>
      </c>
      <c r="I63" s="367" t="str">
        <f>IFERROR(_xlfn.XLOOKUP("Net Income",Inputs!$B:$B,Inputs!J:J,,,-1)/_xlfn.XLOOKUP("Operating Cash Flow",Inputs!$B:$B,Inputs!J:J),"")</f>
        <v/>
      </c>
      <c r="J63" s="367" t="str">
        <f>IFERROR(_xlfn.XLOOKUP("Net Income",Inputs!$B:$B,Inputs!K:K,,,-1)/_xlfn.XLOOKUP("Operating Cash Flow",Inputs!$B:$B,Inputs!K:K),"")</f>
        <v/>
      </c>
      <c r="K63" s="367" t="str">
        <f>IFERROR(_xlfn.XLOOKUP("Net Income",Inputs!$B:$B,Inputs!L:L,,,-1)/_xlfn.XLOOKUP("Operating Cash Flow",Inputs!$B:$B,Inputs!L:L),"")</f>
        <v/>
      </c>
      <c r="L63" s="367" t="str">
        <f>IFERROR(_xlfn.XLOOKUP("Net Income",Inputs!$B:$B,Inputs!M:M,,,-1)/_xlfn.XLOOKUP("Operating Cash Flow",Inputs!$B:$B,Inputs!M:M),"")</f>
        <v/>
      </c>
      <c r="M63" s="367">
        <f>IFERROR(_xlfn.XLOOKUP("Net Income",Inputs!$B:$B,Inputs!N:N,,,-1)/_xlfn.XLOOKUP("Operating Cash Flow",Inputs!$B:$B,Inputs!N:N),"")</f>
        <v>1.4845403899721445</v>
      </c>
      <c r="N63" s="367">
        <f>IFERROR(_xlfn.XLOOKUP("Net Income",Inputs!$B:$B,Inputs!O:O,,,-1)/_xlfn.XLOOKUP("Operating Cash Flow",Inputs!$B:$B,Inputs!O:O),"")</f>
        <v>0.99971830985915477</v>
      </c>
      <c r="O63" s="367">
        <f>IFERROR(_xlfn.XLOOKUP("Net Income",Inputs!$B:$B,Inputs!P:P,,,-1)/_xlfn.XLOOKUP("Operating Cash Flow",Inputs!$B:$B,Inputs!P:P),"")</f>
        <v>1.5591506572295246</v>
      </c>
      <c r="P63" s="368">
        <f>IFERROR(_xlfn.XLOOKUP("Net Income",Inputs!$B:$B,Inputs!Q:Q,,,-1)/_xlfn.XLOOKUP("Operating Cash Flow",Inputs!$B:$B,Inputs!Q:Q),"")</f>
        <v>3.0824130879345608</v>
      </c>
      <c r="Q63" s="369" t="str">
        <f>IFERROR(_xlfn.XLOOKUP("Net Income",#REF!,#REF!)/_xlfn.XLOOKUP("Operating Cash Flow",#REF!,#REF!),"")</f>
        <v/>
      </c>
      <c r="R63" s="369" t="str">
        <f>IFERROR(_xlfn.XLOOKUP("Net Income",#REF!,#REF!)/_xlfn.XLOOKUP("Operating Cash Flow",#REF!,#REF!),"")</f>
        <v/>
      </c>
    </row>
    <row r="64" spans="2:18" ht="15.6">
      <c r="B64" s="33" t="s">
        <v>73</v>
      </c>
      <c r="F64" s="367" t="str">
        <f>IFERROR(_xlfn.XLOOKUP("Net Changes in Cash",Inputs!$B:$B,Inputs!G:G,,,-1)/_xlfn.XLOOKUP("Operating Cash Flow",Inputs!$B:$B,Inputs!G:G),"")</f>
        <v/>
      </c>
      <c r="G64" s="367" t="str">
        <f>IFERROR(_xlfn.XLOOKUP("Net Changes in Cash",Inputs!$B:$B,Inputs!H:H,,,-1)/_xlfn.XLOOKUP("Operating Cash Flow",Inputs!$B:$B,Inputs!H:H),"")</f>
        <v/>
      </c>
      <c r="H64" s="367" t="str">
        <f>IFERROR(_xlfn.XLOOKUP("Net Changes in Cash",Inputs!$B:$B,Inputs!I:I,,,-1)/_xlfn.XLOOKUP("Operating Cash Flow",Inputs!$B:$B,Inputs!I:I),"")</f>
        <v/>
      </c>
      <c r="I64" s="367" t="str">
        <f>IFERROR(_xlfn.XLOOKUP("Net Changes in Cash",Inputs!$B:$B,Inputs!J:J,,,-1)/_xlfn.XLOOKUP("Operating Cash Flow",Inputs!$B:$B,Inputs!J:J),"")</f>
        <v/>
      </c>
      <c r="J64" s="367" t="str">
        <f>IFERROR(_xlfn.XLOOKUP("Net Changes in Cash",Inputs!$B:$B,Inputs!K:K,,,-1)/_xlfn.XLOOKUP("Operating Cash Flow",Inputs!$B:$B,Inputs!K:K),"")</f>
        <v/>
      </c>
      <c r="K64" s="367" t="str">
        <f>IFERROR(_xlfn.XLOOKUP("Net Changes in Cash",Inputs!$B:$B,Inputs!L:L,,,-1)/_xlfn.XLOOKUP("Operating Cash Flow",Inputs!$B:$B,Inputs!L:L),"")</f>
        <v/>
      </c>
      <c r="L64" s="367" t="str">
        <f>IFERROR(_xlfn.XLOOKUP("Net Changes in Cash",Inputs!$B:$B,Inputs!M:M,,,-1)/_xlfn.XLOOKUP("Operating Cash Flow",Inputs!$B:$B,Inputs!M:M),"")</f>
        <v/>
      </c>
      <c r="M64" s="367">
        <f>IFERROR(_xlfn.XLOOKUP("Net Changes in Cash",Inputs!$B:$B,Inputs!N:N,,,-1)/_xlfn.XLOOKUP("Operating Cash Flow",Inputs!$B:$B,Inputs!N:N),"")</f>
        <v>-8.8871866295264628</v>
      </c>
      <c r="N64" s="367">
        <f>IFERROR(_xlfn.XLOOKUP("Net Changes in Cash",Inputs!$B:$B,Inputs!O:O,,,-1)/_xlfn.XLOOKUP("Operating Cash Flow",Inputs!$B:$B,Inputs!O:O),"")</f>
        <v>4.1896713615023469</v>
      </c>
      <c r="O64" s="367">
        <f>IFERROR(_xlfn.XLOOKUP("Net Changes in Cash",Inputs!$B:$B,Inputs!P:P,,,-1)/_xlfn.XLOOKUP("Operating Cash Flow",Inputs!$B:$B,Inputs!P:P),"")</f>
        <v>0.80283114256825072</v>
      </c>
      <c r="P64" s="368">
        <f>IFERROR(_xlfn.XLOOKUP("Net Changes in Cash",Inputs!$B:$B,Inputs!Q:Q,,,-1)/_xlfn.XLOOKUP("Operating Cash Flow",Inputs!$B:$B,Inputs!Q:Q),"")</f>
        <v>-2.2269938650306749</v>
      </c>
      <c r="Q64" s="369" t="str">
        <f>IFERROR(_xlfn.XLOOKUP("Net Changes in Cash",#REF!,#REF!)/_xlfn.XLOOKUP("Operating Cash Flow",#REF!,#REF!),"")</f>
        <v/>
      </c>
      <c r="R64" s="369" t="str">
        <f>IFERROR(_xlfn.XLOOKUP("Net Changes in Cash",#REF!,#REF!)/_xlfn.XLOOKUP("Operating Cash Flow",#REF!,#REF!),"")</f>
        <v/>
      </c>
    </row>
    <row r="67" spans="2:20" ht="20.100000000000001" customHeight="1">
      <c r="T67" s="1" t="s">
        <v>534</v>
      </c>
    </row>
    <row r="69" spans="2:20">
      <c r="B69" s="399"/>
    </row>
    <row r="70" spans="2:20">
      <c r="B70" s="399"/>
    </row>
    <row r="71" spans="2:20">
      <c r="B71" s="399"/>
    </row>
    <row r="72" spans="2:20">
      <c r="B72" s="399"/>
    </row>
    <row r="73" spans="2:20">
      <c r="B73" s="399"/>
    </row>
    <row r="74" spans="2:20">
      <c r="B74" s="399"/>
    </row>
    <row r="75" spans="2:20">
      <c r="B75" s="399"/>
    </row>
    <row r="76" spans="2:20">
      <c r="B76" s="399"/>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59999389629810485"/>
  </sheetPr>
  <dimension ref="B2:L10056"/>
  <sheetViews>
    <sheetView showGridLines="0" topLeftCell="A46" zoomScale="85" zoomScaleNormal="85" workbookViewId="0">
      <selection activeCell="B57" sqref="B57"/>
    </sheetView>
  </sheetViews>
  <sheetFormatPr defaultRowHeight="14.1"/>
  <cols>
    <col min="1" max="1" width="4" customWidth="1"/>
    <col min="3" max="7" width="8.625" customWidth="1"/>
    <col min="10" max="10" width="15.5" customWidth="1"/>
    <col min="11" max="11" width="12.375" customWidth="1"/>
    <col min="12" max="12" width="13" customWidth="1"/>
  </cols>
  <sheetData>
    <row r="2" spans="2:12" s="37" customFormat="1" ht="20.100000000000001" customHeight="1">
      <c r="B2" s="40" t="s">
        <v>611</v>
      </c>
    </row>
    <row r="4" spans="2:12">
      <c r="B4" s="640" t="str">
        <f>IFERROR(Peers!C6&amp;" Fair Value - Blended Discount Rate and Terminal Growth Rate","")</f>
        <v xml:space="preserve"> Fair Value - Blended Discount Rate and Terminal Growth Rate</v>
      </c>
      <c r="J4" s="640" t="str">
        <f>IFERROR(Peers!C6&amp;" Fair Value - Monte-Carlo Simulations Discount Rate and Terminal Growth Rate","")</f>
        <v xml:space="preserve"> Fair Value - Monte-Carlo Simulations Discount Rate and Terminal Growth Rate</v>
      </c>
    </row>
    <row r="5" spans="2:12" ht="14.45" thickBot="1">
      <c r="B5" t="s">
        <v>535</v>
      </c>
      <c r="F5" s="90" t="s">
        <v>426</v>
      </c>
    </row>
    <row r="6" spans="2:12" ht="14.45" thickBot="1">
      <c r="B6" s="631"/>
      <c r="C6" s="637"/>
      <c r="D6" s="643" t="e">
        <f>#REF!</f>
        <v>#REF!</v>
      </c>
      <c r="E6" s="643" t="e">
        <f>#REF!</f>
        <v>#REF!</v>
      </c>
      <c r="F6" s="643" t="e">
        <f>#REF!</f>
        <v>#REF!</v>
      </c>
      <c r="G6" s="643" t="e">
        <f>#REF!</f>
        <v>#REF!</v>
      </c>
      <c r="H6" s="643" t="e">
        <f>#REF!</f>
        <v>#REF!</v>
      </c>
      <c r="J6" s="749" t="s">
        <v>612</v>
      </c>
      <c r="K6" s="749" t="s">
        <v>223</v>
      </c>
      <c r="L6" s="749" t="s">
        <v>613</v>
      </c>
    </row>
    <row r="7" spans="2:12">
      <c r="C7" s="635" t="e">
        <f>#REF!</f>
        <v>#REF!</v>
      </c>
      <c r="D7" s="739" t="str">
        <f>IFERROR(#REF!/#REF!-1,"")</f>
        <v/>
      </c>
      <c r="E7" s="739" t="str">
        <f>IFERROR(#REF!/#REF!-1,"")</f>
        <v/>
      </c>
      <c r="F7" s="739" t="str">
        <f>IFERROR(#REF!/#REF!-1,"")</f>
        <v/>
      </c>
      <c r="G7" s="739" t="str">
        <f>IFERROR(#REF!/#REF!-1,"")</f>
        <v/>
      </c>
      <c r="H7" s="739" t="str">
        <f>IFERROR(#REF!/#REF!-1,"")</f>
        <v/>
      </c>
      <c r="J7" t="s">
        <v>426</v>
      </c>
      <c r="K7" s="17">
        <v>0.1009</v>
      </c>
      <c r="L7" s="17">
        <v>0.01</v>
      </c>
    </row>
    <row r="8" spans="2:12">
      <c r="C8" s="635" t="e">
        <f>#REF!</f>
        <v>#REF!</v>
      </c>
      <c r="D8" s="739" t="str">
        <f>IFERROR(#REF!/#REF!-1,"")</f>
        <v/>
      </c>
      <c r="E8" s="739" t="str">
        <f>IFERROR(#REF!/#REF!-1,"")</f>
        <v/>
      </c>
      <c r="F8" s="739" t="str">
        <f>IFERROR(#REF!/#REF!-1,"")</f>
        <v/>
      </c>
      <c r="G8" s="739" t="str">
        <f>IFERROR(#REF!/#REF!-1,"")</f>
        <v/>
      </c>
      <c r="H8" s="739" t="str">
        <f>IFERROR(#REF!/#REF!-1,"")</f>
        <v/>
      </c>
      <c r="J8" t="s">
        <v>218</v>
      </c>
      <c r="K8" s="17" t="e">
        <f>+#REF!</f>
        <v>#REF!</v>
      </c>
      <c r="L8" s="32" t="e">
        <f>+#REF!</f>
        <v>#REF!</v>
      </c>
    </row>
    <row r="9" spans="2:12" ht="14.45" thickBot="1">
      <c r="B9" s="24" t="s">
        <v>536</v>
      </c>
      <c r="C9" s="635" t="e">
        <f>#REF!</f>
        <v>#REF!</v>
      </c>
      <c r="D9" s="739" t="str">
        <f>IFERROR(#REF!/#REF!-1,"")</f>
        <v/>
      </c>
      <c r="E9" s="739" t="str">
        <f>IFERROR(#REF!/#REF!-1,"")</f>
        <v/>
      </c>
      <c r="F9" s="739" t="str">
        <f>IFERROR(#REF!/#REF!-1,"")</f>
        <v/>
      </c>
      <c r="G9" s="739" t="str">
        <f>IFERROR(#REF!/#REF!-1,"")</f>
        <v/>
      </c>
      <c r="H9" s="739" t="str">
        <f>IFERROR(#REF!/#REF!-1,"")</f>
        <v/>
      </c>
      <c r="J9" s="631" t="s">
        <v>25</v>
      </c>
      <c r="K9" s="643" t="e">
        <f>+#REF!</f>
        <v>#REF!</v>
      </c>
      <c r="L9" s="643" t="e">
        <f>+#REF!</f>
        <v>#REF!</v>
      </c>
    </row>
    <row r="10" spans="2:12" ht="14.45" thickBot="1">
      <c r="C10" s="635" t="e">
        <f>#REF!</f>
        <v>#REF!</v>
      </c>
      <c r="D10" s="739" t="str">
        <f>IFERROR(#REF!/#REF!-1,"")</f>
        <v/>
      </c>
      <c r="E10" s="739" t="str">
        <f>IFERROR(#REF!/#REF!-1,"")</f>
        <v/>
      </c>
      <c r="F10" s="739" t="str">
        <f>IFERROR(#REF!/#REF!-1,"")</f>
        <v/>
      </c>
      <c r="G10" s="739" t="str">
        <f>IFERROR(#REF!/#REF!-1,"")</f>
        <v/>
      </c>
      <c r="H10" s="739" t="str">
        <f>IFERROR(#REF!/#REF!-1,"")</f>
        <v/>
      </c>
      <c r="L10" s="750"/>
    </row>
    <row r="11" spans="2:12" ht="14.45" thickBot="1">
      <c r="B11" s="631"/>
      <c r="C11" s="636" t="e">
        <f>#REF!</f>
        <v>#REF!</v>
      </c>
      <c r="D11" s="740" t="str">
        <f>IFERROR(#REF!/#REF!-1,"")</f>
        <v/>
      </c>
      <c r="E11" s="740" t="str">
        <f>IFERROR(#REF!/#REF!-1,"")</f>
        <v/>
      </c>
      <c r="F11" s="740" t="str">
        <f>IFERROR(#REF!/#REF!-1,"")</f>
        <v/>
      </c>
      <c r="G11" s="740" t="str">
        <f>IFERROR(#REF!/#REF!-1,"")</f>
        <v/>
      </c>
      <c r="H11" s="740" t="str">
        <f>IFERROR(#REF!/#REF!-1,"")</f>
        <v/>
      </c>
      <c r="J11" s="749" t="s">
        <v>614</v>
      </c>
      <c r="K11" s="630"/>
      <c r="L11" s="630" t="s">
        <v>615</v>
      </c>
    </row>
    <row r="12" spans="2:12">
      <c r="J12" s="639" t="s">
        <v>616</v>
      </c>
      <c r="K12" s="748">
        <f>+MIN(B57:B10056)</f>
        <v>-3647.6260233620369</v>
      </c>
      <c r="L12" s="65" t="str">
        <f>IFERROR(K12/#REF!-1,"")</f>
        <v/>
      </c>
    </row>
    <row r="13" spans="2:12">
      <c r="B13" s="640" t="str">
        <f>IFERROR(Peers!C6&amp;" Fair Value - Blended Revenue Growth and Operating Margin","")</f>
        <v xml:space="preserve"> Fair Value - Blended Revenue Growth and Operating Margin</v>
      </c>
      <c r="J13" s="753" t="s">
        <v>617</v>
      </c>
      <c r="K13" s="754">
        <f>AVERAGE(B56:B10055)</f>
        <v>-1599.4597408883599</v>
      </c>
      <c r="L13" s="68" t="str">
        <f>IFERROR(K13/#REF!-1,"")</f>
        <v/>
      </c>
    </row>
    <row r="14" spans="2:12" ht="14.45" thickBot="1">
      <c r="B14" t="s">
        <v>535</v>
      </c>
      <c r="J14" s="751" t="s">
        <v>618</v>
      </c>
      <c r="K14" s="748">
        <f>MEDIAN(B56:B10055)</f>
        <v>-1571.6185952339601</v>
      </c>
      <c r="L14" s="755" t="str">
        <f>IFERROR(K14/#REF!-1,"")</f>
        <v/>
      </c>
    </row>
    <row r="15" spans="2:12">
      <c r="B15" s="638"/>
      <c r="C15" s="639"/>
      <c r="D15" s="638"/>
      <c r="E15" s="644" t="s">
        <v>232</v>
      </c>
      <c r="F15" s="638"/>
      <c r="J15" s="751" t="s">
        <v>619</v>
      </c>
      <c r="K15" s="748">
        <f>MAX(B56:B10055)</f>
        <v>-289.83424688303177</v>
      </c>
      <c r="L15" s="65" t="str">
        <f>IFERROR(K15/#REF!-1,"")</f>
        <v/>
      </c>
    </row>
    <row r="16" spans="2:12" ht="14.45" thickBot="1">
      <c r="B16" s="631"/>
      <c r="C16" s="637"/>
      <c r="D16" s="643" t="e">
        <f>#REF!</f>
        <v>#REF!</v>
      </c>
      <c r="E16" s="643" t="e">
        <f>#REF!</f>
        <v>#REF!</v>
      </c>
      <c r="F16" s="643" t="e">
        <f>#REF!</f>
        <v>#REF!</v>
      </c>
      <c r="J16" s="637" t="s">
        <v>620</v>
      </c>
      <c r="K16" s="752">
        <f>_xlfn.STDEV.P(B56:B10055)</f>
        <v>399.68257365291038</v>
      </c>
      <c r="L16" s="741"/>
    </row>
    <row r="17" spans="2:8">
      <c r="C17" s="645" t="e">
        <f>#REF!</f>
        <v>#REF!</v>
      </c>
      <c r="D17" s="65" t="str">
        <f>IFERROR(#REF!/#REF!-1,"")</f>
        <v/>
      </c>
      <c r="E17" s="65" t="str">
        <f>IFERROR(#REF!/#REF!-1,"")</f>
        <v/>
      </c>
      <c r="F17" s="65" t="str">
        <f>IFERROR(#REF!/#REF!-1,"")</f>
        <v/>
      </c>
    </row>
    <row r="18" spans="2:8">
      <c r="B18" s="24" t="s">
        <v>425</v>
      </c>
      <c r="C18" s="645" t="e">
        <f>#REF!</f>
        <v>#REF!</v>
      </c>
      <c r="D18" s="65" t="str">
        <f>IFERROR(#REF!/#REF!-1,"")</f>
        <v/>
      </c>
      <c r="E18" s="65" t="str">
        <f>IFERROR(#REF!/#REF!-1,"")</f>
        <v/>
      </c>
      <c r="F18" s="65" t="str">
        <f>IFERROR(#REF!/#REF!-1,"")</f>
        <v/>
      </c>
    </row>
    <row r="19" spans="2:8" ht="14.45" thickBot="1">
      <c r="B19" s="631"/>
      <c r="C19" s="646" t="e">
        <f>#REF!</f>
        <v>#REF!</v>
      </c>
      <c r="D19" s="741" t="str">
        <f>IFERROR(#REF!/#REF!-1,"")</f>
        <v/>
      </c>
      <c r="E19" s="741" t="str">
        <f>IFERROR(#REF!/#REF!-1,"")</f>
        <v/>
      </c>
      <c r="F19" s="741" t="str">
        <f>IFERROR(#REF!/#REF!-1,"")</f>
        <v/>
      </c>
    </row>
    <row r="22" spans="2:8">
      <c r="B22" s="648" t="s">
        <v>537</v>
      </c>
      <c r="C22" s="37"/>
      <c r="D22" s="37"/>
      <c r="E22" s="37"/>
      <c r="F22" s="37"/>
      <c r="G22" s="37"/>
      <c r="H22" s="37"/>
    </row>
    <row r="26" spans="2:8">
      <c r="E26" s="750"/>
    </row>
    <row r="42" spans="2:2">
      <c r="B42" s="1"/>
    </row>
    <row r="43" spans="2:2">
      <c r="B43" s="1"/>
    </row>
    <row r="44" spans="2:2">
      <c r="B44" s="1"/>
    </row>
    <row r="45" spans="2:2">
      <c r="B45" s="1"/>
    </row>
    <row r="46" spans="2:2">
      <c r="B46" s="1"/>
    </row>
    <row r="47" spans="2:2">
      <c r="B47" s="1"/>
    </row>
    <row r="48" spans="2:2">
      <c r="B48" s="1"/>
    </row>
    <row r="49" spans="2:6">
      <c r="B49" s="1"/>
    </row>
    <row r="50" spans="2:6">
      <c r="B50" s="1"/>
    </row>
    <row r="51" spans="2:6">
      <c r="B51" s="1"/>
    </row>
    <row r="52" spans="2:6">
      <c r="B52" s="1"/>
    </row>
    <row r="53" spans="2:6">
      <c r="B53" s="1"/>
    </row>
    <row r="54" spans="2:6">
      <c r="B54" s="1"/>
    </row>
    <row r="55" spans="2:6">
      <c r="B55" s="1" t="s">
        <v>621</v>
      </c>
      <c r="E55" s="32"/>
      <c r="F55" s="32"/>
    </row>
    <row r="56" spans="2:6" ht="15.6">
      <c r="B56" s="171"/>
      <c r="E56" s="32"/>
      <c r="F56" s="32"/>
    </row>
    <row r="57" spans="2:6" ht="15.6">
      <c r="B57" s="171">
        <v>-2253.15903866075</v>
      </c>
      <c r="E57" s="32"/>
      <c r="F57" s="647"/>
    </row>
    <row r="58" spans="2:6" ht="15.6">
      <c r="B58" s="171">
        <v>-1028.1536342784409</v>
      </c>
      <c r="E58" s="32"/>
      <c r="F58" s="647"/>
    </row>
    <row r="59" spans="2:6" ht="15.6">
      <c r="B59" s="171">
        <v>-2021.1578622382431</v>
      </c>
    </row>
    <row r="60" spans="2:6" ht="15.6">
      <c r="B60" s="171">
        <v>-1365.7460688247706</v>
      </c>
    </row>
    <row r="61" spans="2:6" ht="15.6">
      <c r="B61" s="171">
        <v>-1511.6709006241224</v>
      </c>
    </row>
    <row r="62" spans="2:6" ht="15.6">
      <c r="B62" s="171">
        <v>-1122.815857378788</v>
      </c>
    </row>
    <row r="63" spans="2:6" ht="15.6">
      <c r="B63" s="171">
        <v>-1710.203899414701</v>
      </c>
    </row>
    <row r="64" spans="2:6" ht="15.6">
      <c r="B64" s="171">
        <v>-1552.9269706071577</v>
      </c>
    </row>
    <row r="65" spans="2:2" ht="15.6">
      <c r="B65" s="171">
        <v>-1698.5564832802386</v>
      </c>
    </row>
    <row r="66" spans="2:2" ht="15.6">
      <c r="B66" s="171">
        <v>-1510.6896579193331</v>
      </c>
    </row>
    <row r="67" spans="2:2" ht="15.6">
      <c r="B67" s="171">
        <v>-2023.7972213905196</v>
      </c>
    </row>
    <row r="68" spans="2:2" ht="15.6">
      <c r="B68" s="171">
        <v>-1485.4993004149269</v>
      </c>
    </row>
    <row r="69" spans="2:2" ht="15.6">
      <c r="B69" s="171">
        <v>-1301.9323894155414</v>
      </c>
    </row>
    <row r="70" spans="2:2" ht="15.6">
      <c r="B70" s="171">
        <v>-1825.8772719836004</v>
      </c>
    </row>
    <row r="71" spans="2:2" ht="15.6">
      <c r="B71" s="171">
        <v>-1268.567098749746</v>
      </c>
    </row>
    <row r="72" spans="2:2" ht="15.6">
      <c r="B72" s="171">
        <v>-1852.1521989030111</v>
      </c>
    </row>
    <row r="73" spans="2:2" ht="15.6">
      <c r="B73" s="171">
        <v>-858.41915399944446</v>
      </c>
    </row>
    <row r="74" spans="2:2" ht="15.6">
      <c r="B74" s="171">
        <v>-1438.0279782581558</v>
      </c>
    </row>
    <row r="75" spans="2:2" ht="15.6">
      <c r="B75" s="171">
        <v>-921.92978952400279</v>
      </c>
    </row>
    <row r="76" spans="2:2" ht="15.6">
      <c r="B76" s="171">
        <v>-2392.3334062970489</v>
      </c>
    </row>
    <row r="77" spans="2:2" ht="15.6">
      <c r="B77" s="171">
        <v>-1965.3910358339026</v>
      </c>
    </row>
    <row r="78" spans="2:2" ht="15.6">
      <c r="B78" s="171">
        <v>-1113.8852345462542</v>
      </c>
    </row>
    <row r="79" spans="2:2" ht="15.6">
      <c r="B79" s="171">
        <v>-1471.2603537871287</v>
      </c>
    </row>
    <row r="80" spans="2:2" ht="15.6">
      <c r="B80" s="171">
        <v>-1867.1453544221117</v>
      </c>
    </row>
    <row r="81" spans="2:2" ht="15.6">
      <c r="B81" s="171">
        <v>-1547.1702593456203</v>
      </c>
    </row>
    <row r="82" spans="2:2" ht="15.6">
      <c r="B82" s="171">
        <v>-1627.5402759622498</v>
      </c>
    </row>
    <row r="83" spans="2:2" ht="15.6">
      <c r="B83" s="171">
        <v>-1789.4806075996912</v>
      </c>
    </row>
    <row r="84" spans="2:2" ht="15.6">
      <c r="B84" s="171">
        <v>-1431.6641148758306</v>
      </c>
    </row>
    <row r="85" spans="2:2" ht="15.6">
      <c r="B85" s="171">
        <v>-1379.8089604021602</v>
      </c>
    </row>
    <row r="86" spans="2:2" ht="15.6">
      <c r="B86" s="171">
        <v>-1625.8187765048513</v>
      </c>
    </row>
    <row r="87" spans="2:2" ht="15.6">
      <c r="B87" s="171">
        <v>-1913.6898988474254</v>
      </c>
    </row>
    <row r="88" spans="2:2" ht="15.6">
      <c r="B88" s="171">
        <v>-1471.6464151983496</v>
      </c>
    </row>
    <row r="89" spans="2:2" ht="15.6">
      <c r="B89" s="171">
        <v>-2004.162242588849</v>
      </c>
    </row>
    <row r="90" spans="2:2" ht="15.6">
      <c r="B90" s="171">
        <v>-1327.6399713847982</v>
      </c>
    </row>
    <row r="91" spans="2:2" ht="15.6">
      <c r="B91" s="171">
        <v>-1631.0044679803741</v>
      </c>
    </row>
    <row r="92" spans="2:2" ht="15.6">
      <c r="B92" s="171">
        <v>-737.57447209536303</v>
      </c>
    </row>
    <row r="93" spans="2:2" ht="15.6">
      <c r="B93" s="171">
        <v>-2010.8743656720444</v>
      </c>
    </row>
    <row r="94" spans="2:2" ht="15.6">
      <c r="B94" s="171">
        <v>-1871.9620711095067</v>
      </c>
    </row>
    <row r="95" spans="2:2" ht="15.6">
      <c r="B95" s="171">
        <v>-1634.9092552773932</v>
      </c>
    </row>
    <row r="96" spans="2:2" ht="15.6">
      <c r="B96" s="171">
        <v>-1126.0414017411549</v>
      </c>
    </row>
    <row r="97" spans="2:2" ht="15.6">
      <c r="B97" s="171">
        <v>-1724.3503470823994</v>
      </c>
    </row>
    <row r="98" spans="2:2" ht="15.6">
      <c r="B98" s="171">
        <v>-1762.1570754048089</v>
      </c>
    </row>
    <row r="99" spans="2:2" ht="15.6">
      <c r="B99" s="171">
        <v>-1130.4923671790809</v>
      </c>
    </row>
    <row r="100" spans="2:2" ht="15.6">
      <c r="B100" s="171">
        <v>-1707.4152646188302</v>
      </c>
    </row>
    <row r="101" spans="2:2" ht="15.6">
      <c r="B101" s="171">
        <v>-1568.1276518792995</v>
      </c>
    </row>
    <row r="102" spans="2:2" ht="15.6">
      <c r="B102" s="171">
        <v>-1130.3820033800575</v>
      </c>
    </row>
    <row r="103" spans="2:2" ht="15.6">
      <c r="B103" s="171">
        <v>-1658.2745753716436</v>
      </c>
    </row>
    <row r="104" spans="2:2" ht="15.6">
      <c r="B104" s="171">
        <v>-1760.1917680642464</v>
      </c>
    </row>
    <row r="105" spans="2:2" ht="15.6">
      <c r="B105" s="171">
        <v>-1834.0658730842881</v>
      </c>
    </row>
    <row r="106" spans="2:2" ht="15.6">
      <c r="B106" s="171">
        <v>-2217.5791543612941</v>
      </c>
    </row>
    <row r="107" spans="2:2" ht="15.6">
      <c r="B107" s="171">
        <v>-1408.0866654224485</v>
      </c>
    </row>
    <row r="108" spans="2:2" ht="15.6">
      <c r="B108" s="171">
        <v>-2162.3327226986958</v>
      </c>
    </row>
    <row r="109" spans="2:2" ht="15.6">
      <c r="B109" s="171">
        <v>-995.5676388739945</v>
      </c>
    </row>
    <row r="110" spans="2:2" ht="15.6">
      <c r="B110" s="171">
        <v>-1818.6193922636378</v>
      </c>
    </row>
    <row r="111" spans="2:2" ht="15.6">
      <c r="B111" s="171">
        <v>-1510.2361040189955</v>
      </c>
    </row>
    <row r="112" spans="2:2" ht="15.6">
      <c r="B112" s="171">
        <v>-1353.5788223799632</v>
      </c>
    </row>
    <row r="113" spans="2:2" ht="15.6">
      <c r="B113" s="171">
        <v>-2194.7840691735209</v>
      </c>
    </row>
    <row r="114" spans="2:2" ht="15.6">
      <c r="B114" s="171">
        <v>-1313.2981929883631</v>
      </c>
    </row>
    <row r="115" spans="2:2" ht="15.6">
      <c r="B115" s="171">
        <v>-1209.6110431281547</v>
      </c>
    </row>
    <row r="116" spans="2:2" ht="15.6">
      <c r="B116" s="171">
        <v>-1341.9522368881626</v>
      </c>
    </row>
    <row r="117" spans="2:2" ht="15.6">
      <c r="B117" s="171">
        <v>-1320.5487554609367</v>
      </c>
    </row>
    <row r="118" spans="2:2" ht="15.6">
      <c r="B118" s="171">
        <v>-1835.0052498940956</v>
      </c>
    </row>
    <row r="119" spans="2:2" ht="15.6">
      <c r="B119" s="171">
        <v>-1649.2590230321719</v>
      </c>
    </row>
    <row r="120" spans="2:2" ht="15.6">
      <c r="B120" s="171">
        <v>-1729.0541038050535</v>
      </c>
    </row>
    <row r="121" spans="2:2" ht="15.6">
      <c r="B121" s="171">
        <v>-1571.6805387819595</v>
      </c>
    </row>
    <row r="122" spans="2:2" ht="15.6">
      <c r="B122" s="171">
        <v>-1779.460790486783</v>
      </c>
    </row>
    <row r="123" spans="2:2" ht="15.6">
      <c r="B123" s="171">
        <v>-1924.2283841483172</v>
      </c>
    </row>
    <row r="124" spans="2:2" ht="15.6">
      <c r="B124" s="171">
        <v>-2111.0990946894544</v>
      </c>
    </row>
    <row r="125" spans="2:2" ht="15.6">
      <c r="B125" s="171">
        <v>-1821.138363491094</v>
      </c>
    </row>
    <row r="126" spans="2:2" ht="15.6">
      <c r="B126" s="171">
        <v>-2047.4510195565504</v>
      </c>
    </row>
    <row r="127" spans="2:2" ht="15.6">
      <c r="B127" s="171">
        <v>-1072.9700287242226</v>
      </c>
    </row>
    <row r="128" spans="2:2" ht="15.6">
      <c r="B128" s="171">
        <v>-1139.8072727083991</v>
      </c>
    </row>
    <row r="129" spans="2:2" ht="15.6">
      <c r="B129" s="171">
        <v>-1580.5846454277905</v>
      </c>
    </row>
    <row r="130" spans="2:2" ht="15.6">
      <c r="B130" s="171">
        <v>-1647.4557426517749</v>
      </c>
    </row>
    <row r="131" spans="2:2" ht="15.6">
      <c r="B131" s="171">
        <v>-1584.2206123271794</v>
      </c>
    </row>
    <row r="132" spans="2:2" ht="15.6">
      <c r="B132" s="171">
        <v>-1569.8271138845216</v>
      </c>
    </row>
    <row r="133" spans="2:2" ht="15.6">
      <c r="B133" s="171">
        <v>-1692.5201928476122</v>
      </c>
    </row>
    <row r="134" spans="2:2" ht="15.6">
      <c r="B134" s="171">
        <v>-1547.0736165361343</v>
      </c>
    </row>
    <row r="135" spans="2:2" ht="15.6">
      <c r="B135" s="171">
        <v>-1380.6353705205574</v>
      </c>
    </row>
    <row r="136" spans="2:2" ht="15.6">
      <c r="B136" s="171">
        <v>-1893.9349031850661</v>
      </c>
    </row>
    <row r="137" spans="2:2" ht="15.6">
      <c r="B137" s="171">
        <v>-1755.9939601622718</v>
      </c>
    </row>
    <row r="138" spans="2:2" ht="15.6">
      <c r="B138" s="171">
        <v>-1639.887880064209</v>
      </c>
    </row>
    <row r="139" spans="2:2" ht="15.6">
      <c r="B139" s="171">
        <v>-2256.6023571847368</v>
      </c>
    </row>
    <row r="140" spans="2:2" ht="15.6">
      <c r="B140" s="171">
        <v>-1359.5715905454545</v>
      </c>
    </row>
    <row r="141" spans="2:2" ht="15.6">
      <c r="B141" s="171">
        <v>-1559.8810048731571</v>
      </c>
    </row>
    <row r="142" spans="2:2" ht="15.6">
      <c r="B142" s="171">
        <v>-1275.2011788017858</v>
      </c>
    </row>
    <row r="143" spans="2:2" ht="15.6">
      <c r="B143" s="171">
        <v>-1560.1268265171354</v>
      </c>
    </row>
    <row r="144" spans="2:2" ht="15.6">
      <c r="B144" s="171">
        <v>-1845.2868119158757</v>
      </c>
    </row>
    <row r="145" spans="2:2" ht="15.6">
      <c r="B145" s="171">
        <v>-1308.8692573842986</v>
      </c>
    </row>
    <row r="146" spans="2:2" ht="15.6">
      <c r="B146" s="171">
        <v>-938.32160701942428</v>
      </c>
    </row>
    <row r="147" spans="2:2" ht="15.6">
      <c r="B147" s="171">
        <v>-1526.3469071093336</v>
      </c>
    </row>
    <row r="148" spans="2:2" ht="15.6">
      <c r="B148" s="171">
        <v>-1302.6620394356614</v>
      </c>
    </row>
    <row r="149" spans="2:2" ht="15.6">
      <c r="B149" s="171">
        <v>-1743.9525745184496</v>
      </c>
    </row>
    <row r="150" spans="2:2" ht="15.6">
      <c r="B150" s="171">
        <v>-1326.3638859336575</v>
      </c>
    </row>
    <row r="151" spans="2:2" ht="15.6">
      <c r="B151" s="171">
        <v>-2190.9290237253354</v>
      </c>
    </row>
    <row r="152" spans="2:2" ht="15.6">
      <c r="B152" s="171">
        <v>-1393.8800860803785</v>
      </c>
    </row>
    <row r="153" spans="2:2" ht="15.6">
      <c r="B153" s="171">
        <v>-1709.5381536559885</v>
      </c>
    </row>
    <row r="154" spans="2:2" ht="15.6">
      <c r="B154" s="171">
        <v>-1634.5715906917844</v>
      </c>
    </row>
    <row r="155" spans="2:2" ht="15.6">
      <c r="B155" s="171">
        <v>-1975.9080042479854</v>
      </c>
    </row>
    <row r="156" spans="2:2" ht="15.6">
      <c r="B156" s="171">
        <v>-1179.9486301923951</v>
      </c>
    </row>
    <row r="157" spans="2:2" ht="15.6">
      <c r="B157" s="171">
        <v>-1557.5163414871504</v>
      </c>
    </row>
    <row r="158" spans="2:2" ht="15.6">
      <c r="B158" s="171">
        <v>-1421.5518676875718</v>
      </c>
    </row>
    <row r="159" spans="2:2" ht="15.6">
      <c r="B159" s="171">
        <v>-1524.9653129478199</v>
      </c>
    </row>
    <row r="160" spans="2:2" ht="15.6">
      <c r="B160" s="171">
        <v>-1802.9220465183625</v>
      </c>
    </row>
    <row r="161" spans="2:2" ht="15.6">
      <c r="B161" s="171">
        <v>-952.47822963345573</v>
      </c>
    </row>
    <row r="162" spans="2:2" ht="15.6">
      <c r="B162" s="171">
        <v>-1714.9180997503997</v>
      </c>
    </row>
    <row r="163" spans="2:2" ht="15.6">
      <c r="B163" s="171">
        <v>-988.71840256942005</v>
      </c>
    </row>
    <row r="164" spans="2:2" ht="15.6">
      <c r="B164" s="171">
        <v>-1353.393861011526</v>
      </c>
    </row>
    <row r="165" spans="2:2" ht="15.6">
      <c r="B165" s="171">
        <v>-1494.9347728417745</v>
      </c>
    </row>
    <row r="166" spans="2:2" ht="15.6">
      <c r="B166" s="171">
        <v>-1287.0300488269083</v>
      </c>
    </row>
    <row r="167" spans="2:2" ht="15.6">
      <c r="B167" s="171">
        <v>-1280.3793325067397</v>
      </c>
    </row>
    <row r="168" spans="2:2" ht="15.6">
      <c r="B168" s="171">
        <v>-1636.4419904225019</v>
      </c>
    </row>
    <row r="169" spans="2:2" ht="15.6">
      <c r="B169" s="171">
        <v>-2362.8629988495109</v>
      </c>
    </row>
    <row r="170" spans="2:2" ht="15.6">
      <c r="B170" s="171">
        <v>-2124.1559216590863</v>
      </c>
    </row>
    <row r="171" spans="2:2" ht="15.6">
      <c r="B171" s="171">
        <v>-2285.3737385870099</v>
      </c>
    </row>
    <row r="172" spans="2:2" ht="15.6">
      <c r="B172" s="171">
        <v>-2354.3100030381684</v>
      </c>
    </row>
    <row r="173" spans="2:2" ht="15.6">
      <c r="B173" s="171">
        <v>-1520.239165042683</v>
      </c>
    </row>
    <row r="174" spans="2:2" ht="15.6">
      <c r="B174" s="171">
        <v>-1068.9431565265841</v>
      </c>
    </row>
    <row r="175" spans="2:2" ht="15.6">
      <c r="B175" s="171">
        <v>-2498.633755400243</v>
      </c>
    </row>
    <row r="176" spans="2:2" ht="15.6">
      <c r="B176" s="171">
        <v>-1548.7978448426784</v>
      </c>
    </row>
    <row r="177" spans="2:2" ht="15.6">
      <c r="B177" s="171">
        <v>-1232.9873835546014</v>
      </c>
    </row>
    <row r="178" spans="2:2" ht="15.6">
      <c r="B178" s="171">
        <v>-1532.3735055193279</v>
      </c>
    </row>
    <row r="179" spans="2:2" ht="15.6">
      <c r="B179" s="171">
        <v>-1385.5282482624666</v>
      </c>
    </row>
    <row r="180" spans="2:2" ht="15.6">
      <c r="B180" s="171">
        <v>-1784.8620759360315</v>
      </c>
    </row>
    <row r="181" spans="2:2" ht="15.6">
      <c r="B181" s="171">
        <v>-754.21821429886074</v>
      </c>
    </row>
    <row r="182" spans="2:2" ht="15.6">
      <c r="B182" s="171">
        <v>-1944.1803563635867</v>
      </c>
    </row>
    <row r="183" spans="2:2" ht="15.6">
      <c r="B183" s="171">
        <v>-2572.0067893407831</v>
      </c>
    </row>
    <row r="184" spans="2:2" ht="15.6">
      <c r="B184" s="171">
        <v>-1849.8685956564359</v>
      </c>
    </row>
    <row r="185" spans="2:2" ht="15.6">
      <c r="B185" s="171">
        <v>-1830.1236743207116</v>
      </c>
    </row>
    <row r="186" spans="2:2" ht="15.6">
      <c r="B186" s="171">
        <v>-1597.4224985940618</v>
      </c>
    </row>
    <row r="187" spans="2:2" ht="15.6">
      <c r="B187" s="171">
        <v>-1606.1275298133473</v>
      </c>
    </row>
    <row r="188" spans="2:2" ht="15.6">
      <c r="B188" s="171">
        <v>-1701.6907404917981</v>
      </c>
    </row>
    <row r="189" spans="2:2" ht="15.6">
      <c r="B189" s="171">
        <v>-1571.9682331863676</v>
      </c>
    </row>
    <row r="190" spans="2:2" ht="15.6">
      <c r="B190" s="171">
        <v>-1595.8211493065612</v>
      </c>
    </row>
    <row r="191" spans="2:2" ht="15.6">
      <c r="B191" s="171">
        <v>-587.09974738509322</v>
      </c>
    </row>
    <row r="192" spans="2:2" ht="15.6">
      <c r="B192" s="171">
        <v>-1205.7781197693996</v>
      </c>
    </row>
    <row r="193" spans="2:2" ht="15.6">
      <c r="B193" s="171">
        <v>-1134.4275731992564</v>
      </c>
    </row>
    <row r="194" spans="2:2" ht="15.6">
      <c r="B194" s="171">
        <v>-2575.2168231428295</v>
      </c>
    </row>
    <row r="195" spans="2:2" ht="15.6">
      <c r="B195" s="171">
        <v>-1140.9883382794537</v>
      </c>
    </row>
    <row r="196" spans="2:2" ht="15.6">
      <c r="B196" s="171">
        <v>-1745.4859397949936</v>
      </c>
    </row>
    <row r="197" spans="2:2" ht="15.6">
      <c r="B197" s="171">
        <v>-951.14248124220831</v>
      </c>
    </row>
    <row r="198" spans="2:2" ht="15.6">
      <c r="B198" s="171">
        <v>-1161.4272058453653</v>
      </c>
    </row>
    <row r="199" spans="2:2" ht="15.6">
      <c r="B199" s="171">
        <v>-1784.5306482683486</v>
      </c>
    </row>
    <row r="200" spans="2:2" ht="15.6">
      <c r="B200" s="171">
        <v>-1600.819833201904</v>
      </c>
    </row>
    <row r="201" spans="2:2" ht="15.6">
      <c r="B201" s="171">
        <v>-2677.6615501457945</v>
      </c>
    </row>
    <row r="202" spans="2:2" ht="15.6">
      <c r="B202" s="171">
        <v>-1458.7367085074854</v>
      </c>
    </row>
    <row r="203" spans="2:2" ht="15.6">
      <c r="B203" s="171">
        <v>-1704.0079724418647</v>
      </c>
    </row>
    <row r="204" spans="2:2" ht="15.6">
      <c r="B204" s="171">
        <v>-1126.1317924705093</v>
      </c>
    </row>
    <row r="205" spans="2:2" ht="15.6">
      <c r="B205" s="171">
        <v>-1461.5959655887605</v>
      </c>
    </row>
    <row r="206" spans="2:2" ht="15.6">
      <c r="B206" s="171">
        <v>-1695.8410553624869</v>
      </c>
    </row>
    <row r="207" spans="2:2" ht="15.6">
      <c r="B207" s="171">
        <v>-916.99180698698319</v>
      </c>
    </row>
    <row r="208" spans="2:2" ht="15.6">
      <c r="B208" s="171">
        <v>-1252.3691150301051</v>
      </c>
    </row>
    <row r="209" spans="2:2" ht="15.6">
      <c r="B209" s="171">
        <v>-1314.0278272814357</v>
      </c>
    </row>
    <row r="210" spans="2:2" ht="15.6">
      <c r="B210" s="171">
        <v>-1551.4089186301931</v>
      </c>
    </row>
    <row r="211" spans="2:2" ht="15.6">
      <c r="B211" s="171">
        <v>-2429.8660509006677</v>
      </c>
    </row>
    <row r="212" spans="2:2" ht="15.6">
      <c r="B212" s="171">
        <v>-1369.4965579448774</v>
      </c>
    </row>
    <row r="213" spans="2:2" ht="15.6">
      <c r="B213" s="171">
        <v>-1548.0476993886755</v>
      </c>
    </row>
    <row r="214" spans="2:2" ht="15.6">
      <c r="B214" s="171">
        <v>-2283.3481739552572</v>
      </c>
    </row>
    <row r="215" spans="2:2" ht="15.6">
      <c r="B215" s="171">
        <v>-1718.1549228191225</v>
      </c>
    </row>
    <row r="216" spans="2:2" ht="15.6">
      <c r="B216" s="171">
        <v>-1786.8059271277593</v>
      </c>
    </row>
    <row r="217" spans="2:2" ht="15.6">
      <c r="B217" s="171">
        <v>-1488.1562765723941</v>
      </c>
    </row>
    <row r="218" spans="2:2" ht="15.6">
      <c r="B218" s="171">
        <v>-2196.1209460814107</v>
      </c>
    </row>
    <row r="219" spans="2:2" ht="15.6">
      <c r="B219" s="171">
        <v>-1192.511609641567</v>
      </c>
    </row>
    <row r="220" spans="2:2" ht="15.6">
      <c r="B220" s="171">
        <v>-2174.1643126122972</v>
      </c>
    </row>
    <row r="221" spans="2:2" ht="15.6">
      <c r="B221" s="171">
        <v>-1705.9393832014853</v>
      </c>
    </row>
    <row r="222" spans="2:2" ht="15.6">
      <c r="B222" s="171">
        <v>-1452.486132161662</v>
      </c>
    </row>
    <row r="223" spans="2:2" ht="15.6">
      <c r="B223" s="171">
        <v>-943.83792548054635</v>
      </c>
    </row>
    <row r="224" spans="2:2" ht="15.6">
      <c r="B224" s="171">
        <v>-1394.6495483105441</v>
      </c>
    </row>
    <row r="225" spans="2:2" ht="15.6">
      <c r="B225" s="171">
        <v>-1608.9707831010701</v>
      </c>
    </row>
    <row r="226" spans="2:2" ht="15.6">
      <c r="B226" s="171">
        <v>-1029.6434249234021</v>
      </c>
    </row>
    <row r="227" spans="2:2" ht="15.6">
      <c r="B227" s="171">
        <v>-883.70110702023453</v>
      </c>
    </row>
    <row r="228" spans="2:2" ht="15.6">
      <c r="B228" s="171">
        <v>-1038.2860719582359</v>
      </c>
    </row>
    <row r="229" spans="2:2" ht="15.6">
      <c r="B229" s="171">
        <v>-2238.530555046289</v>
      </c>
    </row>
    <row r="230" spans="2:2" ht="15.6">
      <c r="B230" s="171">
        <v>-1696.4295615457638</v>
      </c>
    </row>
    <row r="231" spans="2:2" ht="15.6">
      <c r="B231" s="171">
        <v>-1741.6218427027707</v>
      </c>
    </row>
    <row r="232" spans="2:2" ht="15.6">
      <c r="B232" s="171">
        <v>-978.75253848574641</v>
      </c>
    </row>
    <row r="233" spans="2:2" ht="15.6">
      <c r="B233" s="171">
        <v>-2324.4978532580089</v>
      </c>
    </row>
    <row r="234" spans="2:2" ht="15.6">
      <c r="B234" s="171">
        <v>-1792.941080048854</v>
      </c>
    </row>
    <row r="235" spans="2:2" ht="15.6">
      <c r="B235" s="171">
        <v>-1933.5123519921067</v>
      </c>
    </row>
    <row r="236" spans="2:2" ht="15.6">
      <c r="B236" s="171">
        <v>-1691.5074242926787</v>
      </c>
    </row>
    <row r="237" spans="2:2" ht="15.6">
      <c r="B237" s="171">
        <v>-2132.6127863156362</v>
      </c>
    </row>
    <row r="238" spans="2:2" ht="15.6">
      <c r="B238" s="171">
        <v>-1700.0421633606079</v>
      </c>
    </row>
    <row r="239" spans="2:2" ht="15.6">
      <c r="B239" s="171">
        <v>-1469.1438236541569</v>
      </c>
    </row>
    <row r="240" spans="2:2" ht="15.6">
      <c r="B240" s="171">
        <v>-1116.9397558643473</v>
      </c>
    </row>
    <row r="241" spans="2:2" ht="15.6">
      <c r="B241" s="171">
        <v>-1661.8033975536919</v>
      </c>
    </row>
    <row r="242" spans="2:2" ht="15.6">
      <c r="B242" s="171">
        <v>-1176.8057566512321</v>
      </c>
    </row>
    <row r="243" spans="2:2" ht="15.6">
      <c r="B243" s="171">
        <v>-1613.5939510814885</v>
      </c>
    </row>
    <row r="244" spans="2:2" ht="15.6">
      <c r="B244" s="171">
        <v>-1527.0228164069993</v>
      </c>
    </row>
    <row r="245" spans="2:2" ht="15.6">
      <c r="B245" s="171">
        <v>-1782.8236159700957</v>
      </c>
    </row>
    <row r="246" spans="2:2" ht="15.6">
      <c r="B246" s="171">
        <v>-2076.5518311081823</v>
      </c>
    </row>
    <row r="247" spans="2:2" ht="15.6">
      <c r="B247" s="171">
        <v>-767.62096537495188</v>
      </c>
    </row>
    <row r="248" spans="2:2" ht="15.6">
      <c r="B248" s="171">
        <v>-1378.64932192324</v>
      </c>
    </row>
    <row r="249" spans="2:2" ht="15.6">
      <c r="B249" s="171">
        <v>-2124.5286912691681</v>
      </c>
    </row>
    <row r="250" spans="2:2" ht="15.6">
      <c r="B250" s="171">
        <v>-955.4898788933582</v>
      </c>
    </row>
    <row r="251" spans="2:2" ht="15.6">
      <c r="B251" s="171">
        <v>-1701.2100975125225</v>
      </c>
    </row>
    <row r="252" spans="2:2" ht="15.6">
      <c r="B252" s="171">
        <v>-1956.9607586317297</v>
      </c>
    </row>
    <row r="253" spans="2:2" ht="15.6">
      <c r="B253" s="171">
        <v>-1454.545011473384</v>
      </c>
    </row>
    <row r="254" spans="2:2" ht="15.6">
      <c r="B254" s="171">
        <v>-1464.8907688770946</v>
      </c>
    </row>
    <row r="255" spans="2:2" ht="15.6">
      <c r="B255" s="171">
        <v>-1276.6713148503231</v>
      </c>
    </row>
    <row r="256" spans="2:2" ht="15.6">
      <c r="B256" s="171">
        <v>-1442.650165525175</v>
      </c>
    </row>
    <row r="257" spans="2:2" ht="15.6">
      <c r="B257" s="171">
        <v>-1539.7850082574166</v>
      </c>
    </row>
    <row r="258" spans="2:2" ht="15.6">
      <c r="B258" s="171">
        <v>-1742.2353887825548</v>
      </c>
    </row>
    <row r="259" spans="2:2" ht="15.6">
      <c r="B259" s="171">
        <v>-1727.4801698669103</v>
      </c>
    </row>
    <row r="260" spans="2:2" ht="15.6">
      <c r="B260" s="171">
        <v>-1090.737182576546</v>
      </c>
    </row>
    <row r="261" spans="2:2" ht="15.6">
      <c r="B261" s="171">
        <v>-1893.5876392953924</v>
      </c>
    </row>
    <row r="262" spans="2:2" ht="15.6">
      <c r="B262" s="171">
        <v>-998.84737220394481</v>
      </c>
    </row>
    <row r="263" spans="2:2" ht="15.6">
      <c r="B263" s="171">
        <v>-1581.5832584165585</v>
      </c>
    </row>
    <row r="264" spans="2:2" ht="15.6">
      <c r="B264" s="171">
        <v>-1016.5393883481175</v>
      </c>
    </row>
    <row r="265" spans="2:2" ht="15.6">
      <c r="B265" s="171">
        <v>-1473.2350399439795</v>
      </c>
    </row>
    <row r="266" spans="2:2" ht="15.6">
      <c r="B266" s="171">
        <v>-1887.6639235037169</v>
      </c>
    </row>
    <row r="267" spans="2:2" ht="15.6">
      <c r="B267" s="171">
        <v>-1754.4971093085142</v>
      </c>
    </row>
    <row r="268" spans="2:2" ht="15.6">
      <c r="B268" s="171">
        <v>-1883.815049791237</v>
      </c>
    </row>
    <row r="269" spans="2:2" ht="15.6">
      <c r="B269" s="171">
        <v>-1892.8733142221909</v>
      </c>
    </row>
    <row r="270" spans="2:2" ht="15.6">
      <c r="B270" s="171">
        <v>-1834.7099748137753</v>
      </c>
    </row>
    <row r="271" spans="2:2" ht="15.6">
      <c r="B271" s="171">
        <v>-945.5965983956637</v>
      </c>
    </row>
    <row r="272" spans="2:2" ht="15.6">
      <c r="B272" s="171">
        <v>-2007.5306810774182</v>
      </c>
    </row>
    <row r="273" spans="2:2" ht="15.6">
      <c r="B273" s="171">
        <v>-1208.2899177662443</v>
      </c>
    </row>
    <row r="274" spans="2:2" ht="15.6">
      <c r="B274" s="171">
        <v>-1507.2891436935092</v>
      </c>
    </row>
    <row r="275" spans="2:2" ht="15.6">
      <c r="B275" s="171">
        <v>-1364.6701090793765</v>
      </c>
    </row>
    <row r="276" spans="2:2" ht="15.6">
      <c r="B276" s="171">
        <v>-1990.4834049274777</v>
      </c>
    </row>
    <row r="277" spans="2:2" ht="15.6">
      <c r="B277" s="171">
        <v>-924.9546691930849</v>
      </c>
    </row>
    <row r="278" spans="2:2" ht="15.6">
      <c r="B278" s="171">
        <v>-1787.314470500474</v>
      </c>
    </row>
    <row r="279" spans="2:2" ht="15.6">
      <c r="B279" s="171">
        <v>-1474.8485365022432</v>
      </c>
    </row>
    <row r="280" spans="2:2" ht="15.6">
      <c r="B280" s="171">
        <v>-1421.2010958922876</v>
      </c>
    </row>
    <row r="281" spans="2:2" ht="15.6">
      <c r="B281" s="171">
        <v>-1341.0770622449454</v>
      </c>
    </row>
    <row r="282" spans="2:2" ht="15.6">
      <c r="B282" s="171">
        <v>-1114.8463908705057</v>
      </c>
    </row>
    <row r="283" spans="2:2" ht="15.6">
      <c r="B283" s="171">
        <v>-1708.959615972163</v>
      </c>
    </row>
    <row r="284" spans="2:2" ht="15.6">
      <c r="B284" s="171">
        <v>-1801.8809529293153</v>
      </c>
    </row>
    <row r="285" spans="2:2" ht="15.6">
      <c r="B285" s="171">
        <v>-1750.6730883571336</v>
      </c>
    </row>
    <row r="286" spans="2:2" ht="15.6">
      <c r="B286" s="171">
        <v>-1227.4595813569167</v>
      </c>
    </row>
    <row r="287" spans="2:2" ht="15.6">
      <c r="B287" s="171">
        <v>-1394.0246752312071</v>
      </c>
    </row>
    <row r="288" spans="2:2" ht="15.6">
      <c r="B288" s="171">
        <v>-1535.5973351152029</v>
      </c>
    </row>
    <row r="289" spans="2:2" ht="15.6">
      <c r="B289" s="171">
        <v>-1548.0026856510426</v>
      </c>
    </row>
    <row r="290" spans="2:2" ht="15.6">
      <c r="B290" s="171">
        <v>-1944.6746441373516</v>
      </c>
    </row>
    <row r="291" spans="2:2" ht="15.6">
      <c r="B291" s="171">
        <v>-1744.5396155319288</v>
      </c>
    </row>
    <row r="292" spans="2:2" ht="15.6">
      <c r="B292" s="171">
        <v>-2077.0773781985827</v>
      </c>
    </row>
    <row r="293" spans="2:2" ht="15.6">
      <c r="B293" s="171">
        <v>-1422.3569676176194</v>
      </c>
    </row>
    <row r="294" spans="2:2" ht="15.6">
      <c r="B294" s="171">
        <v>-920.96575056421943</v>
      </c>
    </row>
    <row r="295" spans="2:2" ht="15.6">
      <c r="B295" s="171">
        <v>-1178.5715247205053</v>
      </c>
    </row>
    <row r="296" spans="2:2" ht="15.6">
      <c r="B296" s="171">
        <v>-1312.4392022703078</v>
      </c>
    </row>
    <row r="297" spans="2:2" ht="15.6">
      <c r="B297" s="171">
        <v>-1732.6935336340832</v>
      </c>
    </row>
    <row r="298" spans="2:2" ht="15.6">
      <c r="B298" s="171">
        <v>-1206.1084366577079</v>
      </c>
    </row>
    <row r="299" spans="2:2" ht="15.6">
      <c r="B299" s="171">
        <v>-2185.6163690856411</v>
      </c>
    </row>
    <row r="300" spans="2:2" ht="15.6">
      <c r="B300" s="171">
        <v>-1448.4118262759985</v>
      </c>
    </row>
    <row r="301" spans="2:2" ht="15.6">
      <c r="B301" s="171">
        <v>-1493.8572673846961</v>
      </c>
    </row>
    <row r="302" spans="2:2" ht="15.6">
      <c r="B302" s="171">
        <v>-1232.8171377578346</v>
      </c>
    </row>
    <row r="303" spans="2:2" ht="15.6">
      <c r="B303" s="171">
        <v>-1810.2511119820711</v>
      </c>
    </row>
    <row r="304" spans="2:2" ht="15.6">
      <c r="B304" s="171">
        <v>-1568.976278275157</v>
      </c>
    </row>
    <row r="305" spans="2:2" ht="15.6">
      <c r="B305" s="171">
        <v>-1312.7215644313619</v>
      </c>
    </row>
    <row r="306" spans="2:2" ht="15.6">
      <c r="B306" s="171">
        <v>-2560.7996931592229</v>
      </c>
    </row>
    <row r="307" spans="2:2" ht="15.6">
      <c r="B307" s="171">
        <v>-1868.452153619181</v>
      </c>
    </row>
    <row r="308" spans="2:2" ht="15.6">
      <c r="B308" s="171">
        <v>-1566.3931976479792</v>
      </c>
    </row>
    <row r="309" spans="2:2" ht="15.6">
      <c r="B309" s="171">
        <v>-1946.6846921002721</v>
      </c>
    </row>
    <row r="310" spans="2:2" ht="15.6">
      <c r="B310" s="171">
        <v>-2532.5390054155127</v>
      </c>
    </row>
    <row r="311" spans="2:2" ht="15.6">
      <c r="B311" s="171">
        <v>-1933.5209291610229</v>
      </c>
    </row>
    <row r="312" spans="2:2" ht="15.6">
      <c r="B312" s="171">
        <v>-1310.442959995853</v>
      </c>
    </row>
    <row r="313" spans="2:2" ht="15.6">
      <c r="B313" s="171">
        <v>-1763.4269241511709</v>
      </c>
    </row>
    <row r="314" spans="2:2" ht="15.6">
      <c r="B314" s="171">
        <v>-2681.720163959626</v>
      </c>
    </row>
    <row r="315" spans="2:2" ht="15.6">
      <c r="B315" s="171">
        <v>-1166.2197176297645</v>
      </c>
    </row>
    <row r="316" spans="2:2" ht="15.6">
      <c r="B316" s="171">
        <v>-1924.411105770876</v>
      </c>
    </row>
    <row r="317" spans="2:2" ht="15.6">
      <c r="B317" s="171">
        <v>-1008.793796226616</v>
      </c>
    </row>
    <row r="318" spans="2:2" ht="15.6">
      <c r="B318" s="171">
        <v>-1298.3731028386608</v>
      </c>
    </row>
    <row r="319" spans="2:2" ht="15.6">
      <c r="B319" s="171">
        <v>-1643.0503989560007</v>
      </c>
    </row>
    <row r="320" spans="2:2" ht="15.6">
      <c r="B320" s="171">
        <v>-1730.9174230900908</v>
      </c>
    </row>
    <row r="321" spans="2:2" ht="15.6">
      <c r="B321" s="171">
        <v>-1420.608278322288</v>
      </c>
    </row>
    <row r="322" spans="2:2" ht="15.6">
      <c r="B322" s="171">
        <v>-2260.6864368551423</v>
      </c>
    </row>
    <row r="323" spans="2:2" ht="15.6">
      <c r="B323" s="171">
        <v>-2006.8049811850244</v>
      </c>
    </row>
    <row r="324" spans="2:2" ht="15.6">
      <c r="B324" s="171">
        <v>-1428.0333219792174</v>
      </c>
    </row>
    <row r="325" spans="2:2" ht="15.6">
      <c r="B325" s="171">
        <v>-1571.620766802554</v>
      </c>
    </row>
    <row r="326" spans="2:2" ht="15.6">
      <c r="B326" s="171">
        <v>-1587.3930275170142</v>
      </c>
    </row>
    <row r="327" spans="2:2" ht="15.6">
      <c r="B327" s="171">
        <v>-2056.8741175456562</v>
      </c>
    </row>
    <row r="328" spans="2:2" ht="15.6">
      <c r="B328" s="171">
        <v>-1514.4491989218518</v>
      </c>
    </row>
    <row r="329" spans="2:2" ht="15.6">
      <c r="B329" s="171">
        <v>-1187.5687300325064</v>
      </c>
    </row>
    <row r="330" spans="2:2" ht="15.6">
      <c r="B330" s="171">
        <v>-1336.0295067376264</v>
      </c>
    </row>
    <row r="331" spans="2:2" ht="15.6">
      <c r="B331" s="171">
        <v>-1566.2292162387428</v>
      </c>
    </row>
    <row r="332" spans="2:2" ht="15.6">
      <c r="B332" s="171">
        <v>-2400.4359877694842</v>
      </c>
    </row>
    <row r="333" spans="2:2" ht="15.6">
      <c r="B333" s="171">
        <v>-1019.1620912223108</v>
      </c>
    </row>
    <row r="334" spans="2:2" ht="15.6">
      <c r="B334" s="171">
        <v>-1395.4166179240042</v>
      </c>
    </row>
    <row r="335" spans="2:2" ht="15.6">
      <c r="B335" s="171">
        <v>-2089.8558304570174</v>
      </c>
    </row>
    <row r="336" spans="2:2" ht="15.6">
      <c r="B336" s="171">
        <v>-2501.8689781371786</v>
      </c>
    </row>
    <row r="337" spans="2:2" ht="15.6">
      <c r="B337" s="171">
        <v>-1582.8599814801082</v>
      </c>
    </row>
    <row r="338" spans="2:2" ht="15.6">
      <c r="B338" s="171">
        <v>-932.22172330427713</v>
      </c>
    </row>
    <row r="339" spans="2:2" ht="15.6">
      <c r="B339" s="171">
        <v>-1692.8872942518949</v>
      </c>
    </row>
    <row r="340" spans="2:2" ht="15.6">
      <c r="B340" s="171">
        <v>-2353.1685995973776</v>
      </c>
    </row>
    <row r="341" spans="2:2" ht="15.6">
      <c r="B341" s="171">
        <v>-2033.8794364073924</v>
      </c>
    </row>
    <row r="342" spans="2:2" ht="15.6">
      <c r="B342" s="171">
        <v>-2023.9321603152748</v>
      </c>
    </row>
    <row r="343" spans="2:2" ht="15.6">
      <c r="B343" s="171">
        <v>-1675.4605049066663</v>
      </c>
    </row>
    <row r="344" spans="2:2" ht="15.6">
      <c r="B344" s="171">
        <v>-1979.2071566314416</v>
      </c>
    </row>
    <row r="345" spans="2:2" ht="15.6">
      <c r="B345" s="171">
        <v>-1196.1704997413474</v>
      </c>
    </row>
    <row r="346" spans="2:2" ht="15.6">
      <c r="B346" s="171">
        <v>-1716.5931711269118</v>
      </c>
    </row>
    <row r="347" spans="2:2" ht="15.6">
      <c r="B347" s="171">
        <v>-1609.8270774266216</v>
      </c>
    </row>
    <row r="348" spans="2:2" ht="15.6">
      <c r="B348" s="171">
        <v>-1882.7053567386097</v>
      </c>
    </row>
    <row r="349" spans="2:2" ht="15.6">
      <c r="B349" s="171">
        <v>-1825.5295999058585</v>
      </c>
    </row>
    <row r="350" spans="2:2" ht="15.6">
      <c r="B350" s="171">
        <v>-1786.6245175254289</v>
      </c>
    </row>
    <row r="351" spans="2:2" ht="15.6">
      <c r="B351" s="171">
        <v>-2359.1071944243126</v>
      </c>
    </row>
    <row r="352" spans="2:2" ht="15.6">
      <c r="B352" s="171">
        <v>-1232.0786733193393</v>
      </c>
    </row>
    <row r="353" spans="2:2" ht="15.6">
      <c r="B353" s="171">
        <v>-1158.1827314556863</v>
      </c>
    </row>
    <row r="354" spans="2:2" ht="15.6">
      <c r="B354" s="171">
        <v>-1362.0692008420824</v>
      </c>
    </row>
    <row r="355" spans="2:2" ht="15.6">
      <c r="B355" s="171">
        <v>-1536.0160969993117</v>
      </c>
    </row>
    <row r="356" spans="2:2" ht="15.6">
      <c r="B356" s="171">
        <v>-1315.3206214546462</v>
      </c>
    </row>
    <row r="357" spans="2:2" ht="15.6">
      <c r="B357" s="171">
        <v>-1519.8128658104461</v>
      </c>
    </row>
    <row r="358" spans="2:2" ht="15.6">
      <c r="B358" s="171">
        <v>-1325.6133649108801</v>
      </c>
    </row>
    <row r="359" spans="2:2" ht="15.6">
      <c r="B359" s="171">
        <v>-1364.3951798701944</v>
      </c>
    </row>
    <row r="360" spans="2:2" ht="15.6">
      <c r="B360" s="171">
        <v>-2393.6524410682664</v>
      </c>
    </row>
    <row r="361" spans="2:2" ht="15.6">
      <c r="B361" s="171">
        <v>-1918.8059897073383</v>
      </c>
    </row>
    <row r="362" spans="2:2" ht="15.6">
      <c r="B362" s="171">
        <v>-2188.7391777267544</v>
      </c>
    </row>
    <row r="363" spans="2:2" ht="15.6">
      <c r="B363" s="171">
        <v>-1511.9669324972067</v>
      </c>
    </row>
    <row r="364" spans="2:2" ht="15.6">
      <c r="B364" s="171">
        <v>-1252.8108051633262</v>
      </c>
    </row>
    <row r="365" spans="2:2" ht="15.6">
      <c r="B365" s="171">
        <v>-1138.0948779723674</v>
      </c>
    </row>
    <row r="366" spans="2:2" ht="15.6">
      <c r="B366" s="171">
        <v>-2201.114328844279</v>
      </c>
    </row>
    <row r="367" spans="2:2" ht="15.6">
      <c r="B367" s="171">
        <v>-1883.6963527519042</v>
      </c>
    </row>
    <row r="368" spans="2:2" ht="15.6">
      <c r="B368" s="171">
        <v>-2044.6142313540822</v>
      </c>
    </row>
    <row r="369" spans="2:2" ht="15.6">
      <c r="B369" s="171">
        <v>-1422.9173181458987</v>
      </c>
    </row>
    <row r="370" spans="2:2" ht="15.6">
      <c r="B370" s="171">
        <v>-1520.3011226564281</v>
      </c>
    </row>
    <row r="371" spans="2:2" ht="15.6">
      <c r="B371" s="171">
        <v>-1820.0205565589531</v>
      </c>
    </row>
    <row r="372" spans="2:2" ht="15.6">
      <c r="B372" s="171">
        <v>-1789.2979478222114</v>
      </c>
    </row>
    <row r="373" spans="2:2" ht="15.6">
      <c r="B373" s="171">
        <v>-2177.4329423178042</v>
      </c>
    </row>
    <row r="374" spans="2:2" ht="15.6">
      <c r="B374" s="171">
        <v>-1059.1297467884735</v>
      </c>
    </row>
    <row r="375" spans="2:2" ht="15.6">
      <c r="B375" s="171">
        <v>-1114.3339840016913</v>
      </c>
    </row>
    <row r="376" spans="2:2" ht="15.6">
      <c r="B376" s="171">
        <v>-1006.4621788151189</v>
      </c>
    </row>
    <row r="377" spans="2:2" ht="15.6">
      <c r="B377" s="171">
        <v>-1273.9764269332013</v>
      </c>
    </row>
    <row r="378" spans="2:2" ht="15.6">
      <c r="B378" s="171">
        <v>-1568.9203912087187</v>
      </c>
    </row>
    <row r="379" spans="2:2" ht="15.6">
      <c r="B379" s="171">
        <v>-1053.2644028613336</v>
      </c>
    </row>
    <row r="380" spans="2:2" ht="15.6">
      <c r="B380" s="171">
        <v>-1312.1394332642012</v>
      </c>
    </row>
    <row r="381" spans="2:2" ht="15.6">
      <c r="B381" s="171">
        <v>-1100.0179854098137</v>
      </c>
    </row>
    <row r="382" spans="2:2" ht="15.6">
      <c r="B382" s="171">
        <v>-1483.6454870917901</v>
      </c>
    </row>
    <row r="383" spans="2:2" ht="15.6">
      <c r="B383" s="171">
        <v>-1243.9847516169343</v>
      </c>
    </row>
    <row r="384" spans="2:2" ht="15.6">
      <c r="B384" s="171">
        <v>-1558.6519132124658</v>
      </c>
    </row>
    <row r="385" spans="2:2" ht="15.6">
      <c r="B385" s="171">
        <v>-1104.7102453814107</v>
      </c>
    </row>
    <row r="386" spans="2:2" ht="15.6">
      <c r="B386" s="171">
        <v>-1261.0975507621413</v>
      </c>
    </row>
    <row r="387" spans="2:2" ht="15.6">
      <c r="B387" s="171">
        <v>-1339.7153515741682</v>
      </c>
    </row>
    <row r="388" spans="2:2" ht="15.6">
      <c r="B388" s="171">
        <v>-1388.2574239274518</v>
      </c>
    </row>
    <row r="389" spans="2:2" ht="15.6">
      <c r="B389" s="171">
        <v>-993.04227731600633</v>
      </c>
    </row>
    <row r="390" spans="2:2" ht="15.6">
      <c r="B390" s="171">
        <v>-760.174032086083</v>
      </c>
    </row>
    <row r="391" spans="2:2" ht="15.6">
      <c r="B391" s="171">
        <v>-1375.3533466572335</v>
      </c>
    </row>
    <row r="392" spans="2:2" ht="15.6">
      <c r="B392" s="171">
        <v>-1013.1592017310064</v>
      </c>
    </row>
    <row r="393" spans="2:2" ht="15.6">
      <c r="B393" s="171">
        <v>-2031.2020783591495</v>
      </c>
    </row>
    <row r="394" spans="2:2" ht="15.6">
      <c r="B394" s="171">
        <v>-2048.0779186719733</v>
      </c>
    </row>
    <row r="395" spans="2:2" ht="15.6">
      <c r="B395" s="171">
        <v>-1397.2334612699772</v>
      </c>
    </row>
    <row r="396" spans="2:2" ht="15.6">
      <c r="B396" s="171">
        <v>-2050.3618833362925</v>
      </c>
    </row>
    <row r="397" spans="2:2" ht="15.6">
      <c r="B397" s="171">
        <v>-1292.7888915338781</v>
      </c>
    </row>
    <row r="398" spans="2:2" ht="15.6">
      <c r="B398" s="171">
        <v>-2026.4424017935678</v>
      </c>
    </row>
    <row r="399" spans="2:2" ht="15.6">
      <c r="B399" s="171">
        <v>-1834.4117320500875</v>
      </c>
    </row>
    <row r="400" spans="2:2" ht="15.6">
      <c r="B400" s="171">
        <v>-951.04065052765077</v>
      </c>
    </row>
    <row r="401" spans="2:2" ht="15.6">
      <c r="B401" s="171">
        <v>-1754.6125183882439</v>
      </c>
    </row>
    <row r="402" spans="2:2" ht="15.6">
      <c r="B402" s="171">
        <v>-983.47723238695153</v>
      </c>
    </row>
    <row r="403" spans="2:2" ht="15.6">
      <c r="B403" s="171">
        <v>-2207.7734438148068</v>
      </c>
    </row>
    <row r="404" spans="2:2" ht="15.6">
      <c r="B404" s="171">
        <v>-1700.4655763953847</v>
      </c>
    </row>
    <row r="405" spans="2:2" ht="15.6">
      <c r="B405" s="171">
        <v>-1639.7422050765747</v>
      </c>
    </row>
    <row r="406" spans="2:2" ht="15.6">
      <c r="B406" s="171">
        <v>-1275.1497174678561</v>
      </c>
    </row>
    <row r="407" spans="2:2" ht="15.6">
      <c r="B407" s="171">
        <v>-1663.5785369484324</v>
      </c>
    </row>
    <row r="408" spans="2:2" ht="15.6">
      <c r="B408" s="171">
        <v>-2591.2253183945368</v>
      </c>
    </row>
    <row r="409" spans="2:2" ht="15.6">
      <c r="B409" s="171">
        <v>-1874.9980463990103</v>
      </c>
    </row>
    <row r="410" spans="2:2" ht="15.6">
      <c r="B410" s="171">
        <v>-1341.8412079858176</v>
      </c>
    </row>
    <row r="411" spans="2:2" ht="15.6">
      <c r="B411" s="171">
        <v>-1548.6172437760138</v>
      </c>
    </row>
    <row r="412" spans="2:2" ht="15.6">
      <c r="B412" s="171">
        <v>-1747.240259601544</v>
      </c>
    </row>
    <row r="413" spans="2:2" ht="15.6">
      <c r="B413" s="171">
        <v>-2077.3970254980354</v>
      </c>
    </row>
    <row r="414" spans="2:2" ht="15.6">
      <c r="B414" s="171">
        <v>-2281.9576287257851</v>
      </c>
    </row>
    <row r="415" spans="2:2" ht="15.6">
      <c r="B415" s="171">
        <v>-1651.1703995834287</v>
      </c>
    </row>
    <row r="416" spans="2:2" ht="15.6">
      <c r="B416" s="171">
        <v>-1204.5268606540319</v>
      </c>
    </row>
    <row r="417" spans="2:2" ht="15.6">
      <c r="B417" s="171">
        <v>-1419.2469726783938</v>
      </c>
    </row>
    <row r="418" spans="2:2" ht="15.6">
      <c r="B418" s="171">
        <v>-1350.0103771454599</v>
      </c>
    </row>
    <row r="419" spans="2:2" ht="15.6">
      <c r="B419" s="171">
        <v>-1244.3564496872359</v>
      </c>
    </row>
    <row r="420" spans="2:2" ht="15.6">
      <c r="B420" s="171">
        <v>-1383.4256049329188</v>
      </c>
    </row>
    <row r="421" spans="2:2" ht="15.6">
      <c r="B421" s="171">
        <v>-2554.1164683203947</v>
      </c>
    </row>
    <row r="422" spans="2:2" ht="15.6">
      <c r="B422" s="171">
        <v>-1619.4435899327007</v>
      </c>
    </row>
    <row r="423" spans="2:2" ht="15.6">
      <c r="B423" s="171">
        <v>-1462.837361791265</v>
      </c>
    </row>
    <row r="424" spans="2:2" ht="15.6">
      <c r="B424" s="171">
        <v>-1454.7346688534315</v>
      </c>
    </row>
    <row r="425" spans="2:2" ht="15.6">
      <c r="B425" s="171">
        <v>-1678.8836563446885</v>
      </c>
    </row>
    <row r="426" spans="2:2" ht="15.6">
      <c r="B426" s="171">
        <v>-1446.0664524797737</v>
      </c>
    </row>
    <row r="427" spans="2:2" ht="15.6">
      <c r="B427" s="171">
        <v>-1666.6948595120616</v>
      </c>
    </row>
    <row r="428" spans="2:2" ht="15.6">
      <c r="B428" s="171">
        <v>-1522.0828382901418</v>
      </c>
    </row>
    <row r="429" spans="2:2" ht="15.6">
      <c r="B429" s="171">
        <v>-1660.3414006586463</v>
      </c>
    </row>
    <row r="430" spans="2:2" ht="15.6">
      <c r="B430" s="171">
        <v>-1765.879633914401</v>
      </c>
    </row>
    <row r="431" spans="2:2" ht="15.6">
      <c r="B431" s="171">
        <v>-1682.6529602497853</v>
      </c>
    </row>
    <row r="432" spans="2:2" ht="15.6">
      <c r="B432" s="171">
        <v>-2058.0639110507345</v>
      </c>
    </row>
    <row r="433" spans="2:2" ht="15.6">
      <c r="B433" s="171">
        <v>-1289.6511955652984</v>
      </c>
    </row>
    <row r="434" spans="2:2" ht="15.6">
      <c r="B434" s="171">
        <v>-1153.202994835201</v>
      </c>
    </row>
    <row r="435" spans="2:2" ht="15.6">
      <c r="B435" s="171">
        <v>-1220.3560668971145</v>
      </c>
    </row>
    <row r="436" spans="2:2" ht="15.6">
      <c r="B436" s="171">
        <v>-2213.3036218737866</v>
      </c>
    </row>
    <row r="437" spans="2:2" ht="15.6">
      <c r="B437" s="171">
        <v>-1228.6851544046042</v>
      </c>
    </row>
    <row r="438" spans="2:2" ht="15.6">
      <c r="B438" s="171">
        <v>-930.33878385712762</v>
      </c>
    </row>
    <row r="439" spans="2:2" ht="15.6">
      <c r="B439" s="171">
        <v>-1873.8558794802411</v>
      </c>
    </row>
    <row r="440" spans="2:2" ht="15.6">
      <c r="B440" s="171">
        <v>-1324.9023440312581</v>
      </c>
    </row>
    <row r="441" spans="2:2" ht="15.6">
      <c r="B441" s="171">
        <v>-973.03430587131538</v>
      </c>
    </row>
    <row r="442" spans="2:2" ht="15.6">
      <c r="B442" s="171">
        <v>-1727.4093978991409</v>
      </c>
    </row>
    <row r="443" spans="2:2" ht="15.6">
      <c r="B443" s="171">
        <v>-1867.0635648803245</v>
      </c>
    </row>
    <row r="444" spans="2:2" ht="15.6">
      <c r="B444" s="171">
        <v>-1429.6368915908317</v>
      </c>
    </row>
    <row r="445" spans="2:2" ht="15.6">
      <c r="B445" s="171">
        <v>-1270.5804392825005</v>
      </c>
    </row>
    <row r="446" spans="2:2" ht="15.6">
      <c r="B446" s="171">
        <v>-1346.3238185280427</v>
      </c>
    </row>
    <row r="447" spans="2:2" ht="15.6">
      <c r="B447" s="171">
        <v>-1934.544283036309</v>
      </c>
    </row>
    <row r="448" spans="2:2" ht="15.6">
      <c r="B448" s="171">
        <v>-1157.6151907769427</v>
      </c>
    </row>
    <row r="449" spans="2:2" ht="15.6">
      <c r="B449" s="171">
        <v>-1433.0587504024577</v>
      </c>
    </row>
    <row r="450" spans="2:2" ht="15.6">
      <c r="B450" s="171">
        <v>-1767.9214655602277</v>
      </c>
    </row>
    <row r="451" spans="2:2" ht="15.6">
      <c r="B451" s="171">
        <v>-1413.2881051087411</v>
      </c>
    </row>
    <row r="452" spans="2:2" ht="15.6">
      <c r="B452" s="171">
        <v>-1174.3922852168653</v>
      </c>
    </row>
    <row r="453" spans="2:2" ht="15.6">
      <c r="B453" s="171">
        <v>-1979.344879685741</v>
      </c>
    </row>
    <row r="454" spans="2:2" ht="15.6">
      <c r="B454" s="171">
        <v>-1832.7202816578654</v>
      </c>
    </row>
    <row r="455" spans="2:2" ht="15.6">
      <c r="B455" s="171">
        <v>-1705.3856881029317</v>
      </c>
    </row>
    <row r="456" spans="2:2" ht="15.6">
      <c r="B456" s="171">
        <v>-1079.702028146673</v>
      </c>
    </row>
    <row r="457" spans="2:2" ht="15.6">
      <c r="B457" s="171">
        <v>-1289.7509180328866</v>
      </c>
    </row>
    <row r="458" spans="2:2" ht="15.6">
      <c r="B458" s="171">
        <v>-1170.6300964889613</v>
      </c>
    </row>
    <row r="459" spans="2:2" ht="15.6">
      <c r="B459" s="171">
        <v>-2047.8405717050407</v>
      </c>
    </row>
    <row r="460" spans="2:2" ht="15.6">
      <c r="B460" s="171">
        <v>-1884.0083468572604</v>
      </c>
    </row>
    <row r="461" spans="2:2" ht="15.6">
      <c r="B461" s="171">
        <v>-1374.0683145473545</v>
      </c>
    </row>
    <row r="462" spans="2:2" ht="15.6">
      <c r="B462" s="171">
        <v>-1314.7227281141486</v>
      </c>
    </row>
    <row r="463" spans="2:2" ht="15.6">
      <c r="B463" s="171">
        <v>-1414.8968041799822</v>
      </c>
    </row>
    <row r="464" spans="2:2" ht="15.6">
      <c r="B464" s="171">
        <v>-1958.6381304140125</v>
      </c>
    </row>
    <row r="465" spans="2:2" ht="15.6">
      <c r="B465" s="171">
        <v>-2165.632043080941</v>
      </c>
    </row>
    <row r="466" spans="2:2" ht="15.6">
      <c r="B466" s="171">
        <v>-1298.7976933726866</v>
      </c>
    </row>
    <row r="467" spans="2:2" ht="15.6">
      <c r="B467" s="171">
        <v>-1418.2859374751174</v>
      </c>
    </row>
    <row r="468" spans="2:2" ht="15.6">
      <c r="B468" s="171">
        <v>-1505.0794574242123</v>
      </c>
    </row>
    <row r="469" spans="2:2" ht="15.6">
      <c r="B469" s="171">
        <v>-1484.7456055074108</v>
      </c>
    </row>
    <row r="470" spans="2:2" ht="15.6">
      <c r="B470" s="171">
        <v>-1325.6703968904824</v>
      </c>
    </row>
    <row r="471" spans="2:2" ht="15.6">
      <c r="B471" s="171">
        <v>-1897.209615166511</v>
      </c>
    </row>
    <row r="472" spans="2:2" ht="15.6">
      <c r="B472" s="171">
        <v>-1445.3383333766067</v>
      </c>
    </row>
    <row r="473" spans="2:2" ht="15.6">
      <c r="B473" s="171">
        <v>-1224.2821475956937</v>
      </c>
    </row>
    <row r="474" spans="2:2" ht="15.6">
      <c r="B474" s="171">
        <v>-1296.9784503473356</v>
      </c>
    </row>
    <row r="475" spans="2:2" ht="15.6">
      <c r="B475" s="171">
        <v>-1786.009324774742</v>
      </c>
    </row>
    <row r="476" spans="2:2" ht="15.6">
      <c r="B476" s="171">
        <v>-1664.3819139616444</v>
      </c>
    </row>
    <row r="477" spans="2:2" ht="15.6">
      <c r="B477" s="171">
        <v>-1707.8686191984707</v>
      </c>
    </row>
    <row r="478" spans="2:2" ht="15.6">
      <c r="B478" s="171">
        <v>-1807.097728838339</v>
      </c>
    </row>
    <row r="479" spans="2:2" ht="15.6">
      <c r="B479" s="171">
        <v>-1489.3397360835418</v>
      </c>
    </row>
    <row r="480" spans="2:2" ht="15.6">
      <c r="B480" s="171">
        <v>-894.88169070402864</v>
      </c>
    </row>
    <row r="481" spans="2:2" ht="15.6">
      <c r="B481" s="171">
        <v>-1421.0873668963966</v>
      </c>
    </row>
    <row r="482" spans="2:2" ht="15.6">
      <c r="B482" s="171">
        <v>-1167.2516876897305</v>
      </c>
    </row>
    <row r="483" spans="2:2" ht="15.6">
      <c r="B483" s="171">
        <v>-1978.9196475296212</v>
      </c>
    </row>
    <row r="484" spans="2:2" ht="15.6">
      <c r="B484" s="171">
        <v>-1713.2046970694075</v>
      </c>
    </row>
    <row r="485" spans="2:2" ht="15.6">
      <c r="B485" s="171">
        <v>-2213.7876344127799</v>
      </c>
    </row>
    <row r="486" spans="2:2" ht="15.6">
      <c r="B486" s="171">
        <v>-1686.300703872432</v>
      </c>
    </row>
    <row r="487" spans="2:2" ht="15.6">
      <c r="B487" s="171">
        <v>-1989.9370335585627</v>
      </c>
    </row>
    <row r="488" spans="2:2" ht="15.6">
      <c r="B488" s="171">
        <v>-1644.576933811464</v>
      </c>
    </row>
    <row r="489" spans="2:2" ht="15.6">
      <c r="B489" s="171">
        <v>-1549.7196967366483</v>
      </c>
    </row>
    <row r="490" spans="2:2" ht="15.6">
      <c r="B490" s="171">
        <v>-1224.9227455424104</v>
      </c>
    </row>
    <row r="491" spans="2:2" ht="15.6">
      <c r="B491" s="171">
        <v>-1999.0423669249494</v>
      </c>
    </row>
    <row r="492" spans="2:2" ht="15.6">
      <c r="B492" s="171">
        <v>-1775.135723815448</v>
      </c>
    </row>
    <row r="493" spans="2:2" ht="15.6">
      <c r="B493" s="171">
        <v>-1702.7580985721106</v>
      </c>
    </row>
    <row r="494" spans="2:2" ht="15.6">
      <c r="B494" s="171">
        <v>-1225.7204556376173</v>
      </c>
    </row>
    <row r="495" spans="2:2" ht="15.6">
      <c r="B495" s="171">
        <v>-1816.9864792727394</v>
      </c>
    </row>
    <row r="496" spans="2:2" ht="15.6">
      <c r="B496" s="171">
        <v>-1805.028890699358</v>
      </c>
    </row>
    <row r="497" spans="2:2" ht="15.6">
      <c r="B497" s="171">
        <v>-1839.5156305955256</v>
      </c>
    </row>
    <row r="498" spans="2:2" ht="15.6">
      <c r="B498" s="171">
        <v>-1477.299360485935</v>
      </c>
    </row>
    <row r="499" spans="2:2" ht="15.6">
      <c r="B499" s="171">
        <v>-1745.0929736327389</v>
      </c>
    </row>
    <row r="500" spans="2:2" ht="15.6">
      <c r="B500" s="171">
        <v>-2631.0667797186788</v>
      </c>
    </row>
    <row r="501" spans="2:2" ht="15.6">
      <c r="B501" s="171">
        <v>-1582.0465930313503</v>
      </c>
    </row>
    <row r="502" spans="2:2" ht="15.6">
      <c r="B502" s="171">
        <v>-1444.7995971966752</v>
      </c>
    </row>
    <row r="503" spans="2:2" ht="15.6">
      <c r="B503" s="171">
        <v>-2345.9702351521373</v>
      </c>
    </row>
    <row r="504" spans="2:2" ht="15.6">
      <c r="B504" s="171">
        <v>-1340.9058596165628</v>
      </c>
    </row>
    <row r="505" spans="2:2" ht="15.6">
      <c r="B505" s="171">
        <v>-1580.2198123862081</v>
      </c>
    </row>
    <row r="506" spans="2:2" ht="15.6">
      <c r="B506" s="171">
        <v>-1250.5559103409971</v>
      </c>
    </row>
    <row r="507" spans="2:2" ht="15.6">
      <c r="B507" s="171">
        <v>-1364.2457810957151</v>
      </c>
    </row>
    <row r="508" spans="2:2" ht="15.6">
      <c r="B508" s="171">
        <v>-2439.7931524108103</v>
      </c>
    </row>
    <row r="509" spans="2:2" ht="15.6">
      <c r="B509" s="171">
        <v>-2099.5313608687197</v>
      </c>
    </row>
    <row r="510" spans="2:2" ht="15.6">
      <c r="B510" s="171">
        <v>-1679.6024335261773</v>
      </c>
    </row>
    <row r="511" spans="2:2" ht="15.6">
      <c r="B511" s="171">
        <v>-1883.0823375298276</v>
      </c>
    </row>
    <row r="512" spans="2:2" ht="15.6">
      <c r="B512" s="171">
        <v>-1327.7164118510577</v>
      </c>
    </row>
    <row r="513" spans="2:2" ht="15.6">
      <c r="B513" s="171">
        <v>-1532.2244333389153</v>
      </c>
    </row>
    <row r="514" spans="2:2" ht="15.6">
      <c r="B514" s="171">
        <v>-1637.9966554075004</v>
      </c>
    </row>
    <row r="515" spans="2:2" ht="15.6">
      <c r="B515" s="171">
        <v>-1660.2432759607998</v>
      </c>
    </row>
    <row r="516" spans="2:2" ht="15.6">
      <c r="B516" s="171">
        <v>-2131.6123527535415</v>
      </c>
    </row>
    <row r="517" spans="2:2" ht="15.6">
      <c r="B517" s="171">
        <v>-1245.5708383277315</v>
      </c>
    </row>
    <row r="518" spans="2:2" ht="15.6">
      <c r="B518" s="171">
        <v>-1132.2163828550463</v>
      </c>
    </row>
    <row r="519" spans="2:2" ht="15.6">
      <c r="B519" s="171">
        <v>-1354.7134694882022</v>
      </c>
    </row>
    <row r="520" spans="2:2" ht="15.6">
      <c r="B520" s="171">
        <v>-1508.2519585676487</v>
      </c>
    </row>
    <row r="521" spans="2:2" ht="15.6">
      <c r="B521" s="171">
        <v>-1577.4713400103126</v>
      </c>
    </row>
    <row r="522" spans="2:2" ht="15.6">
      <c r="B522" s="171">
        <v>-1555.2877422843035</v>
      </c>
    </row>
    <row r="523" spans="2:2" ht="15.6">
      <c r="B523" s="171">
        <v>-1052.6653321259707</v>
      </c>
    </row>
    <row r="524" spans="2:2" ht="15.6">
      <c r="B524" s="171">
        <v>-2192.4812243064139</v>
      </c>
    </row>
    <row r="525" spans="2:2" ht="15.6">
      <c r="B525" s="171">
        <v>-2839.5288889337571</v>
      </c>
    </row>
    <row r="526" spans="2:2" ht="15.6">
      <c r="B526" s="171">
        <v>-1211.2932209476398</v>
      </c>
    </row>
    <row r="527" spans="2:2" ht="15.6">
      <c r="B527" s="171">
        <v>-865.48500047650589</v>
      </c>
    </row>
    <row r="528" spans="2:2" ht="15.6">
      <c r="B528" s="171">
        <v>-1645.1063497748312</v>
      </c>
    </row>
    <row r="529" spans="2:2" ht="15.6">
      <c r="B529" s="171">
        <v>-1384.5254582982266</v>
      </c>
    </row>
    <row r="530" spans="2:2" ht="15.6">
      <c r="B530" s="171">
        <v>-1110.124075578259</v>
      </c>
    </row>
    <row r="531" spans="2:2" ht="15.6">
      <c r="B531" s="171">
        <v>-924.59815855454917</v>
      </c>
    </row>
    <row r="532" spans="2:2" ht="15.6">
      <c r="B532" s="171">
        <v>-1375.7881239272306</v>
      </c>
    </row>
    <row r="533" spans="2:2" ht="15.6">
      <c r="B533" s="171">
        <v>-2067.1057936168281</v>
      </c>
    </row>
    <row r="534" spans="2:2" ht="15.6">
      <c r="B534" s="171">
        <v>-1480.0597730305353</v>
      </c>
    </row>
    <row r="535" spans="2:2" ht="15.6">
      <c r="B535" s="171">
        <v>-1660.399496532428</v>
      </c>
    </row>
    <row r="536" spans="2:2" ht="15.6">
      <c r="B536" s="171">
        <v>-1718.7189301069629</v>
      </c>
    </row>
    <row r="537" spans="2:2" ht="15.6">
      <c r="B537" s="171">
        <v>-1761.502659485632</v>
      </c>
    </row>
    <row r="538" spans="2:2" ht="15.6">
      <c r="B538" s="171">
        <v>-1546.5844677520693</v>
      </c>
    </row>
    <row r="539" spans="2:2" ht="15.6">
      <c r="B539" s="171">
        <v>-1550.7622985369899</v>
      </c>
    </row>
    <row r="540" spans="2:2" ht="15.6">
      <c r="B540" s="171">
        <v>-1303.7246734727839</v>
      </c>
    </row>
    <row r="541" spans="2:2" ht="15.6">
      <c r="B541" s="171">
        <v>-2121.0583228395494</v>
      </c>
    </row>
    <row r="542" spans="2:2" ht="15.6">
      <c r="B542" s="171">
        <v>-2118.7894688809056</v>
      </c>
    </row>
    <row r="543" spans="2:2" ht="15.6">
      <c r="B543" s="171">
        <v>-1375.281875861504</v>
      </c>
    </row>
    <row r="544" spans="2:2" ht="15.6">
      <c r="B544" s="171">
        <v>-1257.506941521136</v>
      </c>
    </row>
    <row r="545" spans="2:2" ht="15.6">
      <c r="B545" s="171">
        <v>-2046.6782125880225</v>
      </c>
    </row>
    <row r="546" spans="2:2" ht="15.6">
      <c r="B546" s="171">
        <v>-1461.9860037647998</v>
      </c>
    </row>
    <row r="547" spans="2:2" ht="15.6">
      <c r="B547" s="171">
        <v>-2040.9837786522394</v>
      </c>
    </row>
    <row r="548" spans="2:2" ht="15.6">
      <c r="B548" s="171">
        <v>-989.29657329991517</v>
      </c>
    </row>
    <row r="549" spans="2:2" ht="15.6">
      <c r="B549" s="171">
        <v>-1409.7041148016722</v>
      </c>
    </row>
    <row r="550" spans="2:2" ht="15.6">
      <c r="B550" s="171">
        <v>-1585.7489913653808</v>
      </c>
    </row>
    <row r="551" spans="2:2" ht="15.6">
      <c r="B551" s="171">
        <v>-1789.8089032515218</v>
      </c>
    </row>
    <row r="552" spans="2:2" ht="15.6">
      <c r="B552" s="171">
        <v>-1461.9042354267535</v>
      </c>
    </row>
    <row r="553" spans="2:2" ht="15.6">
      <c r="B553" s="171">
        <v>-1713.0349476937088</v>
      </c>
    </row>
    <row r="554" spans="2:2" ht="15.6">
      <c r="B554" s="171">
        <v>-1859.9858674369661</v>
      </c>
    </row>
    <row r="555" spans="2:2" ht="15.6">
      <c r="B555" s="171">
        <v>-1368.6200569208636</v>
      </c>
    </row>
    <row r="556" spans="2:2" ht="15.6">
      <c r="B556" s="171">
        <v>-1194.2283358258294</v>
      </c>
    </row>
    <row r="557" spans="2:2" ht="15.6">
      <c r="B557" s="171">
        <v>-1464.050878693241</v>
      </c>
    </row>
    <row r="558" spans="2:2" ht="15.6">
      <c r="B558" s="171">
        <v>-1751.0625023683835</v>
      </c>
    </row>
    <row r="559" spans="2:2" ht="15.6">
      <c r="B559" s="171">
        <v>-1711.8549885410916</v>
      </c>
    </row>
    <row r="560" spans="2:2" ht="15.6">
      <c r="B560" s="171">
        <v>-1151.5088678572388</v>
      </c>
    </row>
    <row r="561" spans="2:2" ht="15.6">
      <c r="B561" s="171">
        <v>-1268.8682546242467</v>
      </c>
    </row>
    <row r="562" spans="2:2" ht="15.6">
      <c r="B562" s="171">
        <v>-2232.2084054302286</v>
      </c>
    </row>
    <row r="563" spans="2:2" ht="15.6">
      <c r="B563" s="171">
        <v>-1664.9906134977441</v>
      </c>
    </row>
    <row r="564" spans="2:2" ht="15.6">
      <c r="B564" s="171">
        <v>-1015.2921652260999</v>
      </c>
    </row>
    <row r="565" spans="2:2" ht="15.6">
      <c r="B565" s="171">
        <v>-1375.5197260668701</v>
      </c>
    </row>
    <row r="566" spans="2:2" ht="15.6">
      <c r="B566" s="171">
        <v>-1416.7916408311421</v>
      </c>
    </row>
    <row r="567" spans="2:2" ht="15.6">
      <c r="B567" s="171">
        <v>-1795.1571377564846</v>
      </c>
    </row>
    <row r="568" spans="2:2" ht="15.6">
      <c r="B568" s="171">
        <v>-1711.5100632087306</v>
      </c>
    </row>
    <row r="569" spans="2:2" ht="15.6">
      <c r="B569" s="171">
        <v>-1508.6779153914845</v>
      </c>
    </row>
    <row r="570" spans="2:2" ht="15.6">
      <c r="B570" s="171">
        <v>-1398.9648437324188</v>
      </c>
    </row>
    <row r="571" spans="2:2" ht="15.6">
      <c r="B571" s="171">
        <v>-1519.0233378367982</v>
      </c>
    </row>
    <row r="572" spans="2:2" ht="15.6">
      <c r="B572" s="171">
        <v>-2056.0981200571518</v>
      </c>
    </row>
    <row r="573" spans="2:2" ht="15.6">
      <c r="B573" s="171">
        <v>-1315.3562717690143</v>
      </c>
    </row>
    <row r="574" spans="2:2" ht="15.6">
      <c r="B574" s="171">
        <v>-1565.639363007811</v>
      </c>
    </row>
    <row r="575" spans="2:2" ht="15.6">
      <c r="B575" s="171">
        <v>-702.89981378430502</v>
      </c>
    </row>
    <row r="576" spans="2:2" ht="15.6">
      <c r="B576" s="171">
        <v>-1766.9103321490797</v>
      </c>
    </row>
    <row r="577" spans="2:2" ht="15.6">
      <c r="B577" s="171">
        <v>-1714.3713303170052</v>
      </c>
    </row>
    <row r="578" spans="2:2" ht="15.6">
      <c r="B578" s="171">
        <v>-1026.9512425532175</v>
      </c>
    </row>
    <row r="579" spans="2:2" ht="15.6">
      <c r="B579" s="171">
        <v>-1188.9317079318578</v>
      </c>
    </row>
    <row r="580" spans="2:2" ht="15.6">
      <c r="B580" s="171">
        <v>-1483.6816349109304</v>
      </c>
    </row>
    <row r="581" spans="2:2" ht="15.6">
      <c r="B581" s="171">
        <v>-1364.5804946859478</v>
      </c>
    </row>
    <row r="582" spans="2:2" ht="15.6">
      <c r="B582" s="171">
        <v>-2088.9179110244622</v>
      </c>
    </row>
    <row r="583" spans="2:2" ht="15.6">
      <c r="B583" s="171">
        <v>-2187.3024957420644</v>
      </c>
    </row>
    <row r="584" spans="2:2" ht="15.6">
      <c r="B584" s="171">
        <v>-1104.1380205216872</v>
      </c>
    </row>
    <row r="585" spans="2:2" ht="15.6">
      <c r="B585" s="171">
        <v>-1608.943955040018</v>
      </c>
    </row>
    <row r="586" spans="2:2" ht="15.6">
      <c r="B586" s="171">
        <v>-993.29314782483152</v>
      </c>
    </row>
    <row r="587" spans="2:2" ht="15.6">
      <c r="B587" s="171">
        <v>-1938.9340501363567</v>
      </c>
    </row>
    <row r="588" spans="2:2" ht="15.6">
      <c r="B588" s="171">
        <v>-2522.4920744003075</v>
      </c>
    </row>
    <row r="589" spans="2:2" ht="15.6">
      <c r="B589" s="171">
        <v>-1629.3151439050666</v>
      </c>
    </row>
    <row r="590" spans="2:2" ht="15.6">
      <c r="B590" s="171">
        <v>-1371.0313117395185</v>
      </c>
    </row>
    <row r="591" spans="2:2" ht="15.6">
      <c r="B591" s="171">
        <v>-1282.1857012109722</v>
      </c>
    </row>
    <row r="592" spans="2:2" ht="15.6">
      <c r="B592" s="171">
        <v>-2102.7940143115266</v>
      </c>
    </row>
    <row r="593" spans="2:2" ht="15.6">
      <c r="B593" s="171">
        <v>-1056.8885212413625</v>
      </c>
    </row>
    <row r="594" spans="2:2" ht="15.6">
      <c r="B594" s="171">
        <v>-2229.6239398579687</v>
      </c>
    </row>
    <row r="595" spans="2:2" ht="15.6">
      <c r="B595" s="171">
        <v>-1227.5987707633285</v>
      </c>
    </row>
    <row r="596" spans="2:2" ht="15.6">
      <c r="B596" s="171">
        <v>-1658.786379452458</v>
      </c>
    </row>
    <row r="597" spans="2:2" ht="15.6">
      <c r="B597" s="171">
        <v>-1193.4933318690908</v>
      </c>
    </row>
    <row r="598" spans="2:2" ht="15.6">
      <c r="B598" s="171">
        <v>-1707.2778244446633</v>
      </c>
    </row>
    <row r="599" spans="2:2" ht="15.6">
      <c r="B599" s="171">
        <v>-825.40024387727112</v>
      </c>
    </row>
    <row r="600" spans="2:2" ht="15.6">
      <c r="B600" s="171">
        <v>-1406.8660084224039</v>
      </c>
    </row>
    <row r="601" spans="2:2" ht="15.6">
      <c r="B601" s="171">
        <v>-1773.085036263439</v>
      </c>
    </row>
    <row r="602" spans="2:2" ht="15.6">
      <c r="B602" s="171">
        <v>-1835.5916276163323</v>
      </c>
    </row>
    <row r="603" spans="2:2" ht="15.6">
      <c r="B603" s="171">
        <v>-1115.2810114488443</v>
      </c>
    </row>
    <row r="604" spans="2:2" ht="15.6">
      <c r="B604" s="171">
        <v>-1371.3234346165329</v>
      </c>
    </row>
    <row r="605" spans="2:2" ht="15.6">
      <c r="B605" s="171">
        <v>-1376.2212308097678</v>
      </c>
    </row>
    <row r="606" spans="2:2" ht="15.6">
      <c r="B606" s="171">
        <v>-1428.7151523301491</v>
      </c>
    </row>
    <row r="607" spans="2:2" ht="15.6">
      <c r="B607" s="171">
        <v>-2483.4945693559957</v>
      </c>
    </row>
    <row r="608" spans="2:2" ht="15.6">
      <c r="B608" s="171">
        <v>-1598.1045836235382</v>
      </c>
    </row>
    <row r="609" spans="2:2" ht="15.6">
      <c r="B609" s="171">
        <v>-1265.3839337048094</v>
      </c>
    </row>
    <row r="610" spans="2:2" ht="15.6">
      <c r="B610" s="171">
        <v>-943.96223263184481</v>
      </c>
    </row>
    <row r="611" spans="2:2" ht="15.6">
      <c r="B611" s="171">
        <v>-2131.7274925069005</v>
      </c>
    </row>
    <row r="612" spans="2:2" ht="15.6">
      <c r="B612" s="171">
        <v>-1337.7770080219429</v>
      </c>
    </row>
    <row r="613" spans="2:2" ht="15.6">
      <c r="B613" s="171">
        <v>-1340.3525729808989</v>
      </c>
    </row>
    <row r="614" spans="2:2" ht="15.6">
      <c r="B614" s="171">
        <v>-1430.5608055694081</v>
      </c>
    </row>
    <row r="615" spans="2:2" ht="15.6">
      <c r="B615" s="171">
        <v>-1283.0568984024449</v>
      </c>
    </row>
    <row r="616" spans="2:2" ht="15.6">
      <c r="B616" s="171">
        <v>-1433.1249241419309</v>
      </c>
    </row>
    <row r="617" spans="2:2" ht="15.6">
      <c r="B617" s="171">
        <v>-1784.4855471349556</v>
      </c>
    </row>
    <row r="618" spans="2:2" ht="15.6">
      <c r="B618" s="171">
        <v>-1345.5277976922307</v>
      </c>
    </row>
    <row r="619" spans="2:2" ht="15.6">
      <c r="B619" s="171">
        <v>-2052.3770656881406</v>
      </c>
    </row>
    <row r="620" spans="2:2" ht="15.6">
      <c r="B620" s="171">
        <v>-1692.6764912042477</v>
      </c>
    </row>
    <row r="621" spans="2:2" ht="15.6">
      <c r="B621" s="171">
        <v>-1228.1855663201015</v>
      </c>
    </row>
    <row r="622" spans="2:2" ht="15.6">
      <c r="B622" s="171">
        <v>-1956.448799860894</v>
      </c>
    </row>
    <row r="623" spans="2:2" ht="15.6">
      <c r="B623" s="171">
        <v>-1576.9898596386463</v>
      </c>
    </row>
    <row r="624" spans="2:2" ht="15.6">
      <c r="B624" s="171">
        <v>-1351.6828811646055</v>
      </c>
    </row>
    <row r="625" spans="2:2" ht="15.6">
      <c r="B625" s="171">
        <v>-1240.2699560630126</v>
      </c>
    </row>
    <row r="626" spans="2:2" ht="15.6">
      <c r="B626" s="171">
        <v>-2177.6049531117087</v>
      </c>
    </row>
    <row r="627" spans="2:2" ht="15.6">
      <c r="B627" s="171">
        <v>-1387.6128580026784</v>
      </c>
    </row>
    <row r="628" spans="2:2" ht="15.6">
      <c r="B628" s="171">
        <v>-1291.8295456881056</v>
      </c>
    </row>
    <row r="629" spans="2:2" ht="15.6">
      <c r="B629" s="171">
        <v>-1138.0977465957565</v>
      </c>
    </row>
    <row r="630" spans="2:2" ht="15.6">
      <c r="B630" s="171">
        <v>-1496.2475594455789</v>
      </c>
    </row>
    <row r="631" spans="2:2" ht="15.6">
      <c r="B631" s="171">
        <v>-2413.6852594133893</v>
      </c>
    </row>
    <row r="632" spans="2:2" ht="15.6">
      <c r="B632" s="171">
        <v>-2071.6663813615837</v>
      </c>
    </row>
    <row r="633" spans="2:2" ht="15.6">
      <c r="B633" s="171">
        <v>-1457.3356052891909</v>
      </c>
    </row>
    <row r="634" spans="2:2" ht="15.6">
      <c r="B634" s="171">
        <v>-1189.9277426651961</v>
      </c>
    </row>
    <row r="635" spans="2:2" ht="15.6">
      <c r="B635" s="171">
        <v>-1557.7911939192193</v>
      </c>
    </row>
    <row r="636" spans="2:2" ht="15.6">
      <c r="B636" s="171">
        <v>-2142.5885389175396</v>
      </c>
    </row>
    <row r="637" spans="2:2" ht="15.6">
      <c r="B637" s="171">
        <v>-1927.6264235478054</v>
      </c>
    </row>
    <row r="638" spans="2:2" ht="15.6">
      <c r="B638" s="171">
        <v>-1476.6594576775249</v>
      </c>
    </row>
    <row r="639" spans="2:2" ht="15.6">
      <c r="B639" s="171">
        <v>-1501.9171204799941</v>
      </c>
    </row>
    <row r="640" spans="2:2" ht="15.6">
      <c r="B640" s="171">
        <v>-1825.3581450819318</v>
      </c>
    </row>
    <row r="641" spans="2:2" ht="15.6">
      <c r="B641" s="171">
        <v>-1648.732216018986</v>
      </c>
    </row>
    <row r="642" spans="2:2" ht="15.6">
      <c r="B642" s="171">
        <v>-1261.6840077532513</v>
      </c>
    </row>
    <row r="643" spans="2:2" ht="15.6">
      <c r="B643" s="171">
        <v>-1554.2363144700439</v>
      </c>
    </row>
    <row r="644" spans="2:2" ht="15.6">
      <c r="B644" s="171">
        <v>-1032.5631965712207</v>
      </c>
    </row>
    <row r="645" spans="2:2" ht="15.6">
      <c r="B645" s="171">
        <v>-1723.3205961341955</v>
      </c>
    </row>
    <row r="646" spans="2:2" ht="15.6">
      <c r="B646" s="171">
        <v>-913.72977065682903</v>
      </c>
    </row>
    <row r="647" spans="2:2" ht="15.6">
      <c r="B647" s="171">
        <v>-1197.1688092097349</v>
      </c>
    </row>
    <row r="648" spans="2:2" ht="15.6">
      <c r="B648" s="171">
        <v>-1253.137242644073</v>
      </c>
    </row>
    <row r="649" spans="2:2" ht="15.6">
      <c r="B649" s="171">
        <v>-1496.3367799450293</v>
      </c>
    </row>
    <row r="650" spans="2:2" ht="15.6">
      <c r="B650" s="171">
        <v>-1851.282735633951</v>
      </c>
    </row>
    <row r="651" spans="2:2" ht="15.6">
      <c r="B651" s="171">
        <v>-1133.7171420438033</v>
      </c>
    </row>
    <row r="652" spans="2:2" ht="15.6">
      <c r="B652" s="171">
        <v>-718.73737612652985</v>
      </c>
    </row>
    <row r="653" spans="2:2" ht="15.6">
      <c r="B653" s="171">
        <v>-1806.3954623029513</v>
      </c>
    </row>
    <row r="654" spans="2:2" ht="15.6">
      <c r="B654" s="171">
        <v>-1249.3100551814791</v>
      </c>
    </row>
    <row r="655" spans="2:2" ht="15.6">
      <c r="B655" s="171">
        <v>-1400.990517565881</v>
      </c>
    </row>
    <row r="656" spans="2:2" ht="15.6">
      <c r="B656" s="171">
        <v>-1216.7331770743829</v>
      </c>
    </row>
    <row r="657" spans="2:2" ht="15.6">
      <c r="B657" s="171">
        <v>-1241.8592827779362</v>
      </c>
    </row>
    <row r="658" spans="2:2" ht="15.6">
      <c r="B658" s="171">
        <v>-2017.4042523133103</v>
      </c>
    </row>
    <row r="659" spans="2:2" ht="15.6">
      <c r="B659" s="171">
        <v>-1094.2561653980038</v>
      </c>
    </row>
    <row r="660" spans="2:2" ht="15.6">
      <c r="B660" s="171">
        <v>-2103.3719808842925</v>
      </c>
    </row>
    <row r="661" spans="2:2" ht="15.6">
      <c r="B661" s="171">
        <v>-1531.2675023295578</v>
      </c>
    </row>
    <row r="662" spans="2:2" ht="15.6">
      <c r="B662" s="171">
        <v>-1906.6607043448917</v>
      </c>
    </row>
    <row r="663" spans="2:2" ht="15.6">
      <c r="B663" s="171">
        <v>-1555.7548161953955</v>
      </c>
    </row>
    <row r="664" spans="2:2" ht="15.6">
      <c r="B664" s="171">
        <v>-1599.414171555444</v>
      </c>
    </row>
    <row r="665" spans="2:2" ht="15.6">
      <c r="B665" s="171">
        <v>-1392.7786178529204</v>
      </c>
    </row>
    <row r="666" spans="2:2" ht="15.6">
      <c r="B666" s="171">
        <v>-1732.2706348481759</v>
      </c>
    </row>
    <row r="667" spans="2:2" ht="15.6">
      <c r="B667" s="171">
        <v>-1610.3325554920475</v>
      </c>
    </row>
    <row r="668" spans="2:2" ht="15.6">
      <c r="B668" s="171">
        <v>-981.92479369471755</v>
      </c>
    </row>
    <row r="669" spans="2:2" ht="15.6">
      <c r="B669" s="171">
        <v>-989.29464020143712</v>
      </c>
    </row>
    <row r="670" spans="2:2" ht="15.6">
      <c r="B670" s="171">
        <v>-2028.3234388232493</v>
      </c>
    </row>
    <row r="671" spans="2:2" ht="15.6">
      <c r="B671" s="171">
        <v>-1175.442906523856</v>
      </c>
    </row>
    <row r="672" spans="2:2" ht="15.6">
      <c r="B672" s="171">
        <v>-2381.4735080902215</v>
      </c>
    </row>
    <row r="673" spans="2:2" ht="15.6">
      <c r="B673" s="171">
        <v>-1517.5429101423135</v>
      </c>
    </row>
    <row r="674" spans="2:2" ht="15.6">
      <c r="B674" s="171">
        <v>-2354.2106902194259</v>
      </c>
    </row>
    <row r="675" spans="2:2" ht="15.6">
      <c r="B675" s="171">
        <v>-2224.6421015950446</v>
      </c>
    </row>
    <row r="676" spans="2:2" ht="15.6">
      <c r="B676" s="171">
        <v>-1984.4689403993773</v>
      </c>
    </row>
    <row r="677" spans="2:2" ht="15.6">
      <c r="B677" s="171">
        <v>-1458.3137895107834</v>
      </c>
    </row>
    <row r="678" spans="2:2" ht="15.6">
      <c r="B678" s="171">
        <v>-1491.0500898827404</v>
      </c>
    </row>
    <row r="679" spans="2:2" ht="15.6">
      <c r="B679" s="171">
        <v>-1097.0928486289472</v>
      </c>
    </row>
    <row r="680" spans="2:2" ht="15.6">
      <c r="B680" s="171">
        <v>-2046.494494303528</v>
      </c>
    </row>
    <row r="681" spans="2:2" ht="15.6">
      <c r="B681" s="171">
        <v>-1811.3304570523358</v>
      </c>
    </row>
    <row r="682" spans="2:2" ht="15.6">
      <c r="B682" s="171">
        <v>-1302.5011040493171</v>
      </c>
    </row>
    <row r="683" spans="2:2" ht="15.6">
      <c r="B683" s="171">
        <v>-1529.0487195981138</v>
      </c>
    </row>
    <row r="684" spans="2:2" ht="15.6">
      <c r="B684" s="171">
        <v>-1582.5719130104826</v>
      </c>
    </row>
    <row r="685" spans="2:2" ht="15.6">
      <c r="B685" s="171">
        <v>-1213.3419670831204</v>
      </c>
    </row>
    <row r="686" spans="2:2" ht="15.6">
      <c r="B686" s="171">
        <v>-1977.5940681563739</v>
      </c>
    </row>
    <row r="687" spans="2:2" ht="15.6">
      <c r="B687" s="171">
        <v>-583.68394083890234</v>
      </c>
    </row>
    <row r="688" spans="2:2" ht="15.6">
      <c r="B688" s="171">
        <v>-2007.636968762826</v>
      </c>
    </row>
    <row r="689" spans="2:2" ht="15.6">
      <c r="B689" s="171">
        <v>-1237.9861962643226</v>
      </c>
    </row>
    <row r="690" spans="2:2" ht="15.6">
      <c r="B690" s="171">
        <v>-803.00392963966578</v>
      </c>
    </row>
    <row r="691" spans="2:2" ht="15.6">
      <c r="B691" s="171">
        <v>-1817.2993977741289</v>
      </c>
    </row>
    <row r="692" spans="2:2" ht="15.6">
      <c r="B692" s="171">
        <v>-1755.8985746110166</v>
      </c>
    </row>
    <row r="693" spans="2:2" ht="15.6">
      <c r="B693" s="171">
        <v>-1641.1247821701331</v>
      </c>
    </row>
    <row r="694" spans="2:2" ht="15.6">
      <c r="B694" s="171">
        <v>-1284.3025500882634</v>
      </c>
    </row>
    <row r="695" spans="2:2" ht="15.6">
      <c r="B695" s="171">
        <v>-1868.8439641679554</v>
      </c>
    </row>
    <row r="696" spans="2:2" ht="15.6">
      <c r="B696" s="171">
        <v>-1393.8888110697756</v>
      </c>
    </row>
    <row r="697" spans="2:2" ht="15.6">
      <c r="B697" s="171">
        <v>-1419.6360325959504</v>
      </c>
    </row>
    <row r="698" spans="2:2" ht="15.6">
      <c r="B698" s="171">
        <v>-1709.4358542369189</v>
      </c>
    </row>
    <row r="699" spans="2:2" ht="15.6">
      <c r="B699" s="171">
        <v>-1703.8948187396422</v>
      </c>
    </row>
    <row r="700" spans="2:2" ht="15.6">
      <c r="B700" s="171">
        <v>-1481.4080486458261</v>
      </c>
    </row>
    <row r="701" spans="2:2" ht="15.6">
      <c r="B701" s="171">
        <v>-289.83424688303177</v>
      </c>
    </row>
    <row r="702" spans="2:2" ht="15.6">
      <c r="B702" s="171">
        <v>-2161.0986799592952</v>
      </c>
    </row>
    <row r="703" spans="2:2" ht="15.6">
      <c r="B703" s="171">
        <v>-1395.2475237873261</v>
      </c>
    </row>
    <row r="704" spans="2:2" ht="15.6">
      <c r="B704" s="171">
        <v>-2284.6125508603891</v>
      </c>
    </row>
    <row r="705" spans="2:2" ht="15.6">
      <c r="B705" s="171">
        <v>-1384.6057673565081</v>
      </c>
    </row>
    <row r="706" spans="2:2" ht="15.6">
      <c r="B706" s="171">
        <v>-1245.2311222668952</v>
      </c>
    </row>
    <row r="707" spans="2:2" ht="15.6">
      <c r="B707" s="171">
        <v>-2010.1756356716392</v>
      </c>
    </row>
    <row r="708" spans="2:2" ht="15.6">
      <c r="B708" s="171">
        <v>-2289.0365108347623</v>
      </c>
    </row>
    <row r="709" spans="2:2" ht="15.6">
      <c r="B709" s="171">
        <v>-1864.9296327255804</v>
      </c>
    </row>
    <row r="710" spans="2:2" ht="15.6">
      <c r="B710" s="171">
        <v>-1198.9238742053913</v>
      </c>
    </row>
    <row r="711" spans="2:2" ht="15.6">
      <c r="B711" s="171">
        <v>-1520.3130107444854</v>
      </c>
    </row>
    <row r="712" spans="2:2" ht="15.6">
      <c r="B712" s="171">
        <v>-1815.7354126682476</v>
      </c>
    </row>
    <row r="713" spans="2:2" ht="15.6">
      <c r="B713" s="171">
        <v>-1463.5871959676997</v>
      </c>
    </row>
    <row r="714" spans="2:2" ht="15.6">
      <c r="B714" s="171">
        <v>-2031.3486429431596</v>
      </c>
    </row>
    <row r="715" spans="2:2" ht="15.6">
      <c r="B715" s="171">
        <v>-1474.5027293053051</v>
      </c>
    </row>
    <row r="716" spans="2:2" ht="15.6">
      <c r="B716" s="171">
        <v>-961.19104703364474</v>
      </c>
    </row>
    <row r="717" spans="2:2" ht="15.6">
      <c r="B717" s="171">
        <v>-1278.5431381888527</v>
      </c>
    </row>
    <row r="718" spans="2:2" ht="15.6">
      <c r="B718" s="171">
        <v>-1047.6838537383787</v>
      </c>
    </row>
    <row r="719" spans="2:2" ht="15.6">
      <c r="B719" s="171">
        <v>-1962.70908638026</v>
      </c>
    </row>
    <row r="720" spans="2:2" ht="15.6">
      <c r="B720" s="171">
        <v>-2018.0506172025043</v>
      </c>
    </row>
    <row r="721" spans="2:2" ht="15.6">
      <c r="B721" s="171">
        <v>-1794.8235761160104</v>
      </c>
    </row>
    <row r="722" spans="2:2" ht="15.6">
      <c r="B722" s="171">
        <v>-1146.0773454413936</v>
      </c>
    </row>
    <row r="723" spans="2:2" ht="15.6">
      <c r="B723" s="171">
        <v>-1162.8479046760885</v>
      </c>
    </row>
    <row r="724" spans="2:2" ht="15.6">
      <c r="B724" s="171">
        <v>-1766.1680997786721</v>
      </c>
    </row>
    <row r="725" spans="2:2" ht="15.6">
      <c r="B725" s="171">
        <v>-1798.1249002245434</v>
      </c>
    </row>
    <row r="726" spans="2:2" ht="15.6">
      <c r="B726" s="171">
        <v>-1380.5065121803138</v>
      </c>
    </row>
    <row r="727" spans="2:2" ht="15.6">
      <c r="B727" s="171">
        <v>-1260.2992927944981</v>
      </c>
    </row>
    <row r="728" spans="2:2" ht="15.6">
      <c r="B728" s="171">
        <v>-2065.5082435524791</v>
      </c>
    </row>
    <row r="729" spans="2:2" ht="15.6">
      <c r="B729" s="171">
        <v>-2251.3584819813527</v>
      </c>
    </row>
    <row r="730" spans="2:2" ht="15.6">
      <c r="B730" s="171">
        <v>-1815.6228151671733</v>
      </c>
    </row>
    <row r="731" spans="2:2" ht="15.6">
      <c r="B731" s="171">
        <v>-1049.8757795135707</v>
      </c>
    </row>
    <row r="732" spans="2:2" ht="15.6">
      <c r="B732" s="171">
        <v>-2135.1608800822705</v>
      </c>
    </row>
    <row r="733" spans="2:2" ht="15.6">
      <c r="B733" s="171">
        <v>-1841.2954840441641</v>
      </c>
    </row>
    <row r="734" spans="2:2" ht="15.6">
      <c r="B734" s="171">
        <v>-875.29685830672702</v>
      </c>
    </row>
    <row r="735" spans="2:2" ht="15.6">
      <c r="B735" s="171">
        <v>-2489.327387603741</v>
      </c>
    </row>
    <row r="736" spans="2:2" ht="15.6">
      <c r="B736" s="171">
        <v>-1668.8483072534809</v>
      </c>
    </row>
    <row r="737" spans="2:2" ht="15.6">
      <c r="B737" s="171">
        <v>-1328.1184659972914</v>
      </c>
    </row>
    <row r="738" spans="2:2" ht="15.6">
      <c r="B738" s="171">
        <v>-1254.5596310165975</v>
      </c>
    </row>
    <row r="739" spans="2:2" ht="15.6">
      <c r="B739" s="171">
        <v>-1641.1741005812573</v>
      </c>
    </row>
    <row r="740" spans="2:2" ht="15.6">
      <c r="B740" s="171">
        <v>-1747.8541510435452</v>
      </c>
    </row>
    <row r="741" spans="2:2" ht="15.6">
      <c r="B741" s="171">
        <v>-1123.570705547023</v>
      </c>
    </row>
    <row r="742" spans="2:2" ht="15.6">
      <c r="B742" s="171">
        <v>-1700.3033986774026</v>
      </c>
    </row>
    <row r="743" spans="2:2" ht="15.6">
      <c r="B743" s="171">
        <v>-2024.7850517007287</v>
      </c>
    </row>
    <row r="744" spans="2:2" ht="15.6">
      <c r="B744" s="171">
        <v>-1677.0061591625126</v>
      </c>
    </row>
    <row r="745" spans="2:2" ht="15.6">
      <c r="B745" s="171">
        <v>-1885.868024774815</v>
      </c>
    </row>
    <row r="746" spans="2:2" ht="15.6">
      <c r="B746" s="171">
        <v>-1408.6499158667802</v>
      </c>
    </row>
    <row r="747" spans="2:2" ht="15.6">
      <c r="B747" s="171">
        <v>-1140.0744178699206</v>
      </c>
    </row>
    <row r="748" spans="2:2" ht="15.6">
      <c r="B748" s="171">
        <v>-2098.1031369091957</v>
      </c>
    </row>
    <row r="749" spans="2:2" ht="15.6">
      <c r="B749" s="171">
        <v>-2335.6888818775742</v>
      </c>
    </row>
    <row r="750" spans="2:2" ht="15.6">
      <c r="B750" s="171">
        <v>-1987.3396259492272</v>
      </c>
    </row>
    <row r="751" spans="2:2" ht="15.6">
      <c r="B751" s="171">
        <v>-1542.4096737818129</v>
      </c>
    </row>
    <row r="752" spans="2:2" ht="15.6">
      <c r="B752" s="171">
        <v>-1521.6294011883847</v>
      </c>
    </row>
    <row r="753" spans="2:2" ht="15.6">
      <c r="B753" s="171">
        <v>-1494.9359312480615</v>
      </c>
    </row>
    <row r="754" spans="2:2" ht="15.6">
      <c r="B754" s="171">
        <v>-1709.3343678048059</v>
      </c>
    </row>
    <row r="755" spans="2:2" ht="15.6">
      <c r="B755" s="171">
        <v>-1232.0517522648872</v>
      </c>
    </row>
    <row r="756" spans="2:2" ht="15.6">
      <c r="B756" s="171">
        <v>-1067.3557470816299</v>
      </c>
    </row>
    <row r="757" spans="2:2" ht="15.6">
      <c r="B757" s="171">
        <v>-2538.4790233078811</v>
      </c>
    </row>
    <row r="758" spans="2:2" ht="15.6">
      <c r="B758" s="171">
        <v>-1895.2836331718177</v>
      </c>
    </row>
    <row r="759" spans="2:2" ht="15.6">
      <c r="B759" s="171">
        <v>-1557.044384654107</v>
      </c>
    </row>
    <row r="760" spans="2:2" ht="15.6">
      <c r="B760" s="171">
        <v>-2388.1843735128741</v>
      </c>
    </row>
    <row r="761" spans="2:2" ht="15.6">
      <c r="B761" s="171">
        <v>-2110.1156493533636</v>
      </c>
    </row>
    <row r="762" spans="2:2" ht="15.6">
      <c r="B762" s="171">
        <v>-1194.8771524271422</v>
      </c>
    </row>
    <row r="763" spans="2:2" ht="15.6">
      <c r="B763" s="171">
        <v>-1274.5943996659619</v>
      </c>
    </row>
    <row r="764" spans="2:2" ht="15.6">
      <c r="B764" s="171">
        <v>-1848.2668026391289</v>
      </c>
    </row>
    <row r="765" spans="2:2" ht="15.6">
      <c r="B765" s="171">
        <v>-1252.579837101038</v>
      </c>
    </row>
    <row r="766" spans="2:2" ht="15.6">
      <c r="B766" s="171">
        <v>-1154.2297076861469</v>
      </c>
    </row>
    <row r="767" spans="2:2" ht="15.6">
      <c r="B767" s="171">
        <v>-1449.7021821714484</v>
      </c>
    </row>
    <row r="768" spans="2:2" ht="15.6">
      <c r="B768" s="171">
        <v>-2448.1437976260449</v>
      </c>
    </row>
    <row r="769" spans="2:2" ht="15.6">
      <c r="B769" s="171">
        <v>-997.22114035460027</v>
      </c>
    </row>
    <row r="770" spans="2:2" ht="15.6">
      <c r="B770" s="171">
        <v>-1524.148504717009</v>
      </c>
    </row>
    <row r="771" spans="2:2" ht="15.6">
      <c r="B771" s="171">
        <v>-2226.7914995073406</v>
      </c>
    </row>
    <row r="772" spans="2:2" ht="15.6">
      <c r="B772" s="171">
        <v>-1937.65521843846</v>
      </c>
    </row>
    <row r="773" spans="2:2" ht="15.6">
      <c r="B773" s="171">
        <v>-1310.6967312369134</v>
      </c>
    </row>
    <row r="774" spans="2:2" ht="15.6">
      <c r="B774" s="171">
        <v>-2059.7656747537185</v>
      </c>
    </row>
    <row r="775" spans="2:2" ht="15.6">
      <c r="B775" s="171">
        <v>-1412.2260037967837</v>
      </c>
    </row>
    <row r="776" spans="2:2" ht="15.6">
      <c r="B776" s="171">
        <v>-1609.1929574645983</v>
      </c>
    </row>
    <row r="777" spans="2:2" ht="15.6">
      <c r="B777" s="171">
        <v>-1907.7301170018063</v>
      </c>
    </row>
    <row r="778" spans="2:2" ht="15.6">
      <c r="B778" s="171">
        <v>-1917.79325914935</v>
      </c>
    </row>
    <row r="779" spans="2:2" ht="15.6">
      <c r="B779" s="171">
        <v>-1585.5937586563509</v>
      </c>
    </row>
    <row r="780" spans="2:2" ht="15.6">
      <c r="B780" s="171">
        <v>-1207.0044395796253</v>
      </c>
    </row>
    <row r="781" spans="2:2" ht="15.6">
      <c r="B781" s="171">
        <v>-1226.2654980402353</v>
      </c>
    </row>
    <row r="782" spans="2:2" ht="15.6">
      <c r="B782" s="171">
        <v>-1228.5839181038054</v>
      </c>
    </row>
    <row r="783" spans="2:2" ht="15.6">
      <c r="B783" s="171">
        <v>-1872.1425490024887</v>
      </c>
    </row>
    <row r="784" spans="2:2" ht="15.6">
      <c r="B784" s="171">
        <v>-2263.7533841533332</v>
      </c>
    </row>
    <row r="785" spans="2:2" ht="15.6">
      <c r="B785" s="171">
        <v>-1520.045893964827</v>
      </c>
    </row>
    <row r="786" spans="2:2" ht="15.6">
      <c r="B786" s="171">
        <v>-1434.5030835017744</v>
      </c>
    </row>
    <row r="787" spans="2:2" ht="15.6">
      <c r="B787" s="171">
        <v>-1492.1284348630461</v>
      </c>
    </row>
    <row r="788" spans="2:2" ht="15.6">
      <c r="B788" s="171">
        <v>-1430.5929555338178</v>
      </c>
    </row>
    <row r="789" spans="2:2" ht="15.6">
      <c r="B789" s="171">
        <v>-1004.7639646328797</v>
      </c>
    </row>
    <row r="790" spans="2:2" ht="15.6">
      <c r="B790" s="171">
        <v>-1196.1467255737332</v>
      </c>
    </row>
    <row r="791" spans="2:2" ht="15.6">
      <c r="B791" s="171">
        <v>-1740.8295943268131</v>
      </c>
    </row>
    <row r="792" spans="2:2" ht="15.6">
      <c r="B792" s="171">
        <v>-1587.9995397624696</v>
      </c>
    </row>
    <row r="793" spans="2:2" ht="15.6">
      <c r="B793" s="171">
        <v>-1964.1036541611588</v>
      </c>
    </row>
    <row r="794" spans="2:2" ht="15.6">
      <c r="B794" s="171">
        <v>-1072.1667018583814</v>
      </c>
    </row>
    <row r="795" spans="2:2" ht="15.6">
      <c r="B795" s="171">
        <v>-1379.0906943825148</v>
      </c>
    </row>
    <row r="796" spans="2:2" ht="15.6">
      <c r="B796" s="171">
        <v>-2785.8700969415968</v>
      </c>
    </row>
    <row r="797" spans="2:2" ht="15.6">
      <c r="B797" s="171">
        <v>-2149.0310799697277</v>
      </c>
    </row>
    <row r="798" spans="2:2" ht="15.6">
      <c r="B798" s="171">
        <v>-1496.253274708155</v>
      </c>
    </row>
    <row r="799" spans="2:2" ht="15.6">
      <c r="B799" s="171">
        <v>-1142.222302539695</v>
      </c>
    </row>
    <row r="800" spans="2:2" ht="15.6">
      <c r="B800" s="171">
        <v>-1227.9102616899008</v>
      </c>
    </row>
    <row r="801" spans="2:2" ht="15.6">
      <c r="B801" s="171">
        <v>-1460.3402225805826</v>
      </c>
    </row>
    <row r="802" spans="2:2" ht="15.6">
      <c r="B802" s="171">
        <v>-1525.6199031102724</v>
      </c>
    </row>
    <row r="803" spans="2:2" ht="15.6">
      <c r="B803" s="171">
        <v>-2107.4804769236566</v>
      </c>
    </row>
    <row r="804" spans="2:2" ht="15.6">
      <c r="B804" s="171">
        <v>-1604.7789298652194</v>
      </c>
    </row>
    <row r="805" spans="2:2" ht="15.6">
      <c r="B805" s="171">
        <v>-1111.3352041638352</v>
      </c>
    </row>
    <row r="806" spans="2:2" ht="15.6">
      <c r="B806" s="171">
        <v>-2022.9925324420442</v>
      </c>
    </row>
    <row r="807" spans="2:2" ht="15.6">
      <c r="B807" s="171">
        <v>-822.02940209063024</v>
      </c>
    </row>
    <row r="808" spans="2:2" ht="15.6">
      <c r="B808" s="171">
        <v>-2348.9808617268031</v>
      </c>
    </row>
    <row r="809" spans="2:2" ht="15.6">
      <c r="B809" s="171">
        <v>-1539.2888971747466</v>
      </c>
    </row>
    <row r="810" spans="2:2" ht="15.6">
      <c r="B810" s="171">
        <v>-1400.9119114369203</v>
      </c>
    </row>
    <row r="811" spans="2:2" ht="15.6">
      <c r="B811" s="171">
        <v>-1981.2431949204254</v>
      </c>
    </row>
    <row r="812" spans="2:2" ht="15.6">
      <c r="B812" s="171">
        <v>-1979.9565801896483</v>
      </c>
    </row>
    <row r="813" spans="2:2" ht="15.6">
      <c r="B813" s="171">
        <v>-1111.5035242981812</v>
      </c>
    </row>
    <row r="814" spans="2:2" ht="15.6">
      <c r="B814" s="171">
        <v>-1936.5264464135553</v>
      </c>
    </row>
    <row r="815" spans="2:2" ht="15.6">
      <c r="B815" s="171">
        <v>-1899.340541074127</v>
      </c>
    </row>
    <row r="816" spans="2:2" ht="15.6">
      <c r="B816" s="171">
        <v>-1477.3753956357882</v>
      </c>
    </row>
    <row r="817" spans="2:2" ht="15.6">
      <c r="B817" s="171">
        <v>-1481.9414456358461</v>
      </c>
    </row>
    <row r="818" spans="2:2" ht="15.6">
      <c r="B818" s="171">
        <v>-1953.3918149846786</v>
      </c>
    </row>
    <row r="819" spans="2:2" ht="15.6">
      <c r="B819" s="171">
        <v>-1680.8495148493837</v>
      </c>
    </row>
    <row r="820" spans="2:2" ht="15.6">
      <c r="B820" s="171">
        <v>-1567.0086347503766</v>
      </c>
    </row>
    <row r="821" spans="2:2" ht="15.6">
      <c r="B821" s="171">
        <v>-1338.4119215342089</v>
      </c>
    </row>
    <row r="822" spans="2:2" ht="15.6">
      <c r="B822" s="171">
        <v>-1375.7439576080019</v>
      </c>
    </row>
    <row r="823" spans="2:2" ht="15.6">
      <c r="B823" s="171">
        <v>-1332.484601030156</v>
      </c>
    </row>
    <row r="824" spans="2:2" ht="15.6">
      <c r="B824" s="171">
        <v>-1694.2968072446008</v>
      </c>
    </row>
    <row r="825" spans="2:2" ht="15.6">
      <c r="B825" s="171">
        <v>-2115.5022528523978</v>
      </c>
    </row>
    <row r="826" spans="2:2" ht="15.6">
      <c r="B826" s="171">
        <v>-2162.1323182955139</v>
      </c>
    </row>
    <row r="827" spans="2:2" ht="15.6">
      <c r="B827" s="171">
        <v>-891.83782266905007</v>
      </c>
    </row>
    <row r="828" spans="2:2" ht="15.6">
      <c r="B828" s="171">
        <v>-2038.9725128487059</v>
      </c>
    </row>
    <row r="829" spans="2:2" ht="15.6">
      <c r="B829" s="171">
        <v>-1252.5209013624237</v>
      </c>
    </row>
    <row r="830" spans="2:2" ht="15.6">
      <c r="B830" s="171">
        <v>-1569.4101688932883</v>
      </c>
    </row>
    <row r="831" spans="2:2" ht="15.6">
      <c r="B831" s="171">
        <v>-1748.5159023157294</v>
      </c>
    </row>
    <row r="832" spans="2:2" ht="15.6">
      <c r="B832" s="171">
        <v>-1656.4704460638636</v>
      </c>
    </row>
    <row r="833" spans="2:2" ht="15.6">
      <c r="B833" s="171">
        <v>-848.96606532124895</v>
      </c>
    </row>
    <row r="834" spans="2:2" ht="15.6">
      <c r="B834" s="171">
        <v>-1807.8927884157558</v>
      </c>
    </row>
    <row r="835" spans="2:2" ht="15.6">
      <c r="B835" s="171">
        <v>-1877.2555795495643</v>
      </c>
    </row>
    <row r="836" spans="2:2" ht="15.6">
      <c r="B836" s="171">
        <v>-858.54076643008068</v>
      </c>
    </row>
    <row r="837" spans="2:2" ht="15.6">
      <c r="B837" s="171">
        <v>-1516.3716955414684</v>
      </c>
    </row>
    <row r="838" spans="2:2" ht="15.6">
      <c r="B838" s="171">
        <v>-1862.2998556173127</v>
      </c>
    </row>
    <row r="839" spans="2:2" ht="15.6">
      <c r="B839" s="171">
        <v>-1349.685594864952</v>
      </c>
    </row>
    <row r="840" spans="2:2" ht="15.6">
      <c r="B840" s="171">
        <v>-1411.4800991496065</v>
      </c>
    </row>
    <row r="841" spans="2:2" ht="15.6">
      <c r="B841" s="171">
        <v>-1264.0411105550522</v>
      </c>
    </row>
    <row r="842" spans="2:2" ht="15.6">
      <c r="B842" s="171">
        <v>-1462.3509204428601</v>
      </c>
    </row>
    <row r="843" spans="2:2" ht="15.6">
      <c r="B843" s="171">
        <v>-2135.1015816148679</v>
      </c>
    </row>
    <row r="844" spans="2:2" ht="15.6">
      <c r="B844" s="171">
        <v>-1268.2992559587399</v>
      </c>
    </row>
    <row r="845" spans="2:2" ht="15.6">
      <c r="B845" s="171">
        <v>-1031.4155256161271</v>
      </c>
    </row>
    <row r="846" spans="2:2" ht="15.6">
      <c r="B846" s="171">
        <v>-1586.6860937087663</v>
      </c>
    </row>
    <row r="847" spans="2:2" ht="15.6">
      <c r="B847" s="171">
        <v>-1814.6082916987193</v>
      </c>
    </row>
    <row r="848" spans="2:2" ht="15.6">
      <c r="B848" s="171">
        <v>-1702.3117288213239</v>
      </c>
    </row>
    <row r="849" spans="2:2" ht="15.6">
      <c r="B849" s="171">
        <v>-1177.2257738965845</v>
      </c>
    </row>
    <row r="850" spans="2:2" ht="15.6">
      <c r="B850" s="171">
        <v>-1367.9828380173101</v>
      </c>
    </row>
    <row r="851" spans="2:2" ht="15.6">
      <c r="B851" s="171">
        <v>-1629.6479112214479</v>
      </c>
    </row>
    <row r="852" spans="2:2" ht="15.6">
      <c r="B852" s="171">
        <v>-1443.5511127038649</v>
      </c>
    </row>
    <row r="853" spans="2:2" ht="15.6">
      <c r="B853" s="171">
        <v>-1555.1962648586514</v>
      </c>
    </row>
    <row r="854" spans="2:2" ht="15.6">
      <c r="B854" s="171">
        <v>-1629.9442555492369</v>
      </c>
    </row>
    <row r="855" spans="2:2" ht="15.6">
      <c r="B855" s="171">
        <v>-2113.8652609478813</v>
      </c>
    </row>
    <row r="856" spans="2:2" ht="15.6">
      <c r="B856" s="171">
        <v>-1252.6245131412513</v>
      </c>
    </row>
    <row r="857" spans="2:2" ht="15.6">
      <c r="B857" s="171">
        <v>-1198.1491647238845</v>
      </c>
    </row>
    <row r="858" spans="2:2" ht="15.6">
      <c r="B858" s="171">
        <v>-1902.9271613112758</v>
      </c>
    </row>
    <row r="859" spans="2:2" ht="15.6">
      <c r="B859" s="171">
        <v>-2036.4428335976399</v>
      </c>
    </row>
    <row r="860" spans="2:2" ht="15.6">
      <c r="B860" s="171">
        <v>-1300.0543934656544</v>
      </c>
    </row>
    <row r="861" spans="2:2" ht="15.6">
      <c r="B861" s="171">
        <v>-1982.1607504094163</v>
      </c>
    </row>
    <row r="862" spans="2:2" ht="15.6">
      <c r="B862" s="171">
        <v>-1746.7140486696035</v>
      </c>
    </row>
    <row r="863" spans="2:2" ht="15.6">
      <c r="B863" s="171">
        <v>-1990.180167692266</v>
      </c>
    </row>
    <row r="864" spans="2:2" ht="15.6">
      <c r="B864" s="171">
        <v>-1532.5318670354961</v>
      </c>
    </row>
    <row r="865" spans="2:2" ht="15.6">
      <c r="B865" s="171">
        <v>-1969.1018523735904</v>
      </c>
    </row>
    <row r="866" spans="2:2" ht="15.6">
      <c r="B866" s="171">
        <v>-1720.1122632492497</v>
      </c>
    </row>
    <row r="867" spans="2:2" ht="15.6">
      <c r="B867" s="171">
        <v>-1656.1495913784497</v>
      </c>
    </row>
    <row r="868" spans="2:2" ht="15.6">
      <c r="B868" s="171">
        <v>-1883.4695679208969</v>
      </c>
    </row>
    <row r="869" spans="2:2" ht="15.6">
      <c r="B869" s="171">
        <v>-1709.8617609311896</v>
      </c>
    </row>
    <row r="870" spans="2:2" ht="15.6">
      <c r="B870" s="171">
        <v>-1163.4074109875569</v>
      </c>
    </row>
    <row r="871" spans="2:2" ht="15.6">
      <c r="B871" s="171">
        <v>-1741.5265271402111</v>
      </c>
    </row>
    <row r="872" spans="2:2" ht="15.6">
      <c r="B872" s="171">
        <v>-1852.9135663413822</v>
      </c>
    </row>
    <row r="873" spans="2:2" ht="15.6">
      <c r="B873" s="171">
        <v>-1868.1340653188968</v>
      </c>
    </row>
    <row r="874" spans="2:2" ht="15.6">
      <c r="B874" s="171">
        <v>-2345.9848113452135</v>
      </c>
    </row>
    <row r="875" spans="2:2" ht="15.6">
      <c r="B875" s="171">
        <v>-2715.3260700451829</v>
      </c>
    </row>
    <row r="876" spans="2:2" ht="15.6">
      <c r="B876" s="171">
        <v>-1392.3363551536381</v>
      </c>
    </row>
    <row r="877" spans="2:2" ht="15.6">
      <c r="B877" s="171">
        <v>-1021.1233786190347</v>
      </c>
    </row>
    <row r="878" spans="2:2" ht="15.6">
      <c r="B878" s="171">
        <v>-768.98816216142916</v>
      </c>
    </row>
    <row r="879" spans="2:2" ht="15.6">
      <c r="B879" s="171">
        <v>-1849.2804479029855</v>
      </c>
    </row>
    <row r="880" spans="2:2" ht="15.6">
      <c r="B880" s="171">
        <v>-1488.5878312543264</v>
      </c>
    </row>
    <row r="881" spans="2:2" ht="15.6">
      <c r="B881" s="171">
        <v>-583.86250254848949</v>
      </c>
    </row>
    <row r="882" spans="2:2" ht="15.6">
      <c r="B882" s="171">
        <v>-1577.4503627011809</v>
      </c>
    </row>
    <row r="883" spans="2:2" ht="15.6">
      <c r="B883" s="171">
        <v>-1235.4950688566109</v>
      </c>
    </row>
    <row r="884" spans="2:2" ht="15.6">
      <c r="B884" s="171">
        <v>-1439.1183407894778</v>
      </c>
    </row>
    <row r="885" spans="2:2" ht="15.6">
      <c r="B885" s="171">
        <v>-1011.7391521674353</v>
      </c>
    </row>
    <row r="886" spans="2:2" ht="15.6">
      <c r="B886" s="171">
        <v>-989.57703223708734</v>
      </c>
    </row>
    <row r="887" spans="2:2" ht="15.6">
      <c r="B887" s="171">
        <v>-1812.033292675849</v>
      </c>
    </row>
    <row r="888" spans="2:2" ht="15.6">
      <c r="B888" s="171">
        <v>-1980.6577134892018</v>
      </c>
    </row>
    <row r="889" spans="2:2" ht="15.6">
      <c r="B889" s="171">
        <v>-2271.29929107712</v>
      </c>
    </row>
    <row r="890" spans="2:2" ht="15.6">
      <c r="B890" s="171">
        <v>-2229.0784398817532</v>
      </c>
    </row>
    <row r="891" spans="2:2" ht="15.6">
      <c r="B891" s="171">
        <v>-1690.4955087370977</v>
      </c>
    </row>
    <row r="892" spans="2:2" ht="15.6">
      <c r="B892" s="171">
        <v>-1620.223811349874</v>
      </c>
    </row>
    <row r="893" spans="2:2" ht="15.6">
      <c r="B893" s="171">
        <v>-1637.5117375200296</v>
      </c>
    </row>
    <row r="894" spans="2:2" ht="15.6">
      <c r="B894" s="171">
        <v>-1879.1140603471622</v>
      </c>
    </row>
    <row r="895" spans="2:2" ht="15.6">
      <c r="B895" s="171">
        <v>-1545.6599214893556</v>
      </c>
    </row>
    <row r="896" spans="2:2" ht="15.6">
      <c r="B896" s="171">
        <v>-1657.2940592291318</v>
      </c>
    </row>
    <row r="897" spans="2:2" ht="15.6">
      <c r="B897" s="171">
        <v>-1291.5361753665466</v>
      </c>
    </row>
    <row r="898" spans="2:2" ht="15.6">
      <c r="B898" s="171">
        <v>-2437.476029433165</v>
      </c>
    </row>
    <row r="899" spans="2:2" ht="15.6">
      <c r="B899" s="171">
        <v>-2296.8307954804777</v>
      </c>
    </row>
    <row r="900" spans="2:2" ht="15.6">
      <c r="B900" s="171">
        <v>-1945.2504762277572</v>
      </c>
    </row>
    <row r="901" spans="2:2" ht="15.6">
      <c r="B901" s="171">
        <v>-1245.6370950640542</v>
      </c>
    </row>
    <row r="902" spans="2:2" ht="15.6">
      <c r="B902" s="171">
        <v>-2073.6686161744879</v>
      </c>
    </row>
    <row r="903" spans="2:2" ht="15.6">
      <c r="B903" s="171">
        <v>-1052.6281214557703</v>
      </c>
    </row>
    <row r="904" spans="2:2" ht="15.6">
      <c r="B904" s="171">
        <v>-1606.4022661457855</v>
      </c>
    </row>
    <row r="905" spans="2:2" ht="15.6">
      <c r="B905" s="171">
        <v>-1563.8330731754331</v>
      </c>
    </row>
    <row r="906" spans="2:2" ht="15.6">
      <c r="B906" s="171">
        <v>-1239.7784421989209</v>
      </c>
    </row>
    <row r="907" spans="2:2" ht="15.6">
      <c r="B907" s="171">
        <v>-1315.2109644068478</v>
      </c>
    </row>
    <row r="908" spans="2:2" ht="15.6">
      <c r="B908" s="171">
        <v>-1904.1494005757781</v>
      </c>
    </row>
    <row r="909" spans="2:2" ht="15.6">
      <c r="B909" s="171">
        <v>-993.70927959614824</v>
      </c>
    </row>
    <row r="910" spans="2:2" ht="15.6">
      <c r="B910" s="171">
        <v>-1492.8417194376632</v>
      </c>
    </row>
    <row r="911" spans="2:2" ht="15.6">
      <c r="B911" s="171">
        <v>-1208.8000269352815</v>
      </c>
    </row>
    <row r="912" spans="2:2" ht="15.6">
      <c r="B912" s="171">
        <v>-1102.7422049568559</v>
      </c>
    </row>
    <row r="913" spans="2:2" ht="15.6">
      <c r="B913" s="171">
        <v>-1585.9591800937953</v>
      </c>
    </row>
    <row r="914" spans="2:2" ht="15.6">
      <c r="B914" s="171">
        <v>-1607.7974619697554</v>
      </c>
    </row>
    <row r="915" spans="2:2" ht="15.6">
      <c r="B915" s="171">
        <v>-1418.3672448529082</v>
      </c>
    </row>
    <row r="916" spans="2:2" ht="15.6">
      <c r="B916" s="171">
        <v>-1512.57553089215</v>
      </c>
    </row>
    <row r="917" spans="2:2" ht="15.6">
      <c r="B917" s="171">
        <v>-2077.8897918157618</v>
      </c>
    </row>
    <row r="918" spans="2:2" ht="15.6">
      <c r="B918" s="171">
        <v>-1450.8807123206325</v>
      </c>
    </row>
    <row r="919" spans="2:2" ht="15.6">
      <c r="B919" s="171">
        <v>-1384.8702222391166</v>
      </c>
    </row>
    <row r="920" spans="2:2" ht="15.6">
      <c r="B920" s="171">
        <v>-1680.0310996076846</v>
      </c>
    </row>
    <row r="921" spans="2:2" ht="15.6">
      <c r="B921" s="171">
        <v>-1377.4636014261464</v>
      </c>
    </row>
    <row r="922" spans="2:2" ht="15.6">
      <c r="B922" s="171">
        <v>-2059.7739292667256</v>
      </c>
    </row>
    <row r="923" spans="2:2" ht="15.6">
      <c r="B923" s="171">
        <v>-1212.3266942058237</v>
      </c>
    </row>
    <row r="924" spans="2:2" ht="15.6">
      <c r="B924" s="171">
        <v>-2078.9989887019183</v>
      </c>
    </row>
    <row r="925" spans="2:2" ht="15.6">
      <c r="B925" s="171">
        <v>-1650.0445925072231</v>
      </c>
    </row>
    <row r="926" spans="2:2" ht="15.6">
      <c r="B926" s="171">
        <v>-2183.2288414215845</v>
      </c>
    </row>
    <row r="927" spans="2:2" ht="15.6">
      <c r="B927" s="171">
        <v>-1301.2452364846652</v>
      </c>
    </row>
    <row r="928" spans="2:2" ht="15.6">
      <c r="B928" s="171">
        <v>-1326.3144228297131</v>
      </c>
    </row>
    <row r="929" spans="2:2" ht="15.6">
      <c r="B929" s="171">
        <v>-2186.7544287265032</v>
      </c>
    </row>
    <row r="930" spans="2:2" ht="15.6">
      <c r="B930" s="171">
        <v>-877.73761824366443</v>
      </c>
    </row>
    <row r="931" spans="2:2" ht="15.6">
      <c r="B931" s="171">
        <v>-1620.3297775959309</v>
      </c>
    </row>
    <row r="932" spans="2:2" ht="15.6">
      <c r="B932" s="171">
        <v>-1643.0726997803326</v>
      </c>
    </row>
    <row r="933" spans="2:2" ht="15.6">
      <c r="B933" s="171">
        <v>-1803.3859898496798</v>
      </c>
    </row>
    <row r="934" spans="2:2" ht="15.6">
      <c r="B934" s="171">
        <v>-2397.1752344170818</v>
      </c>
    </row>
    <row r="935" spans="2:2" ht="15.6">
      <c r="B935" s="171">
        <v>-1249.9312515429954</v>
      </c>
    </row>
    <row r="936" spans="2:2" ht="15.6">
      <c r="B936" s="171">
        <v>-1803.7782195754914</v>
      </c>
    </row>
    <row r="937" spans="2:2" ht="15.6">
      <c r="B937" s="171">
        <v>-1746.2626479238156</v>
      </c>
    </row>
    <row r="938" spans="2:2" ht="15.6">
      <c r="B938" s="171">
        <v>-1672.0066833737242</v>
      </c>
    </row>
    <row r="939" spans="2:2" ht="15.6">
      <c r="B939" s="171">
        <v>-1467.5608797522295</v>
      </c>
    </row>
    <row r="940" spans="2:2" ht="15.6">
      <c r="B940" s="171">
        <v>-1957.0939723249942</v>
      </c>
    </row>
    <row r="941" spans="2:2" ht="15.6">
      <c r="B941" s="171">
        <v>-1689.2783517774715</v>
      </c>
    </row>
    <row r="942" spans="2:2" ht="15.6">
      <c r="B942" s="171">
        <v>-1362.2826719938798</v>
      </c>
    </row>
    <row r="943" spans="2:2" ht="15.6">
      <c r="B943" s="171">
        <v>-1568.8953952873792</v>
      </c>
    </row>
    <row r="944" spans="2:2" ht="15.6">
      <c r="B944" s="171">
        <v>-2068.8142304002849</v>
      </c>
    </row>
    <row r="945" spans="2:2" ht="15.6">
      <c r="B945" s="171">
        <v>-1685.9379674511069</v>
      </c>
    </row>
    <row r="946" spans="2:2" ht="15.6">
      <c r="B946" s="171">
        <v>-1938.5042563089069</v>
      </c>
    </row>
    <row r="947" spans="2:2" ht="15.6">
      <c r="B947" s="171">
        <v>-2196.8245435592598</v>
      </c>
    </row>
    <row r="948" spans="2:2" ht="15.6">
      <c r="B948" s="171">
        <v>-1175.5603210369482</v>
      </c>
    </row>
    <row r="949" spans="2:2" ht="15.6">
      <c r="B949" s="171">
        <v>-1622.0236473332084</v>
      </c>
    </row>
    <row r="950" spans="2:2" ht="15.6">
      <c r="B950" s="171">
        <v>-1042.3990161844581</v>
      </c>
    </row>
    <row r="951" spans="2:2" ht="15.6">
      <c r="B951" s="171">
        <v>-1561.4016920950799</v>
      </c>
    </row>
    <row r="952" spans="2:2" ht="15.6">
      <c r="B952" s="171">
        <v>-1213.2251430860017</v>
      </c>
    </row>
    <row r="953" spans="2:2" ht="15.6">
      <c r="B953" s="171">
        <v>-1990.6290055543795</v>
      </c>
    </row>
    <row r="954" spans="2:2" ht="15.6">
      <c r="B954" s="171">
        <v>-1513.6638767117504</v>
      </c>
    </row>
    <row r="955" spans="2:2" ht="15.6">
      <c r="B955" s="171">
        <v>-1104.6015784525985</v>
      </c>
    </row>
    <row r="956" spans="2:2" ht="15.6">
      <c r="B956" s="171">
        <v>-1198.087033268185</v>
      </c>
    </row>
    <row r="957" spans="2:2" ht="15.6">
      <c r="B957" s="171">
        <v>-1388.3385256625336</v>
      </c>
    </row>
    <row r="958" spans="2:2" ht="15.6">
      <c r="B958" s="171">
        <v>-1597.499617040269</v>
      </c>
    </row>
    <row r="959" spans="2:2" ht="15.6">
      <c r="B959" s="171">
        <v>-1523.0092451713567</v>
      </c>
    </row>
    <row r="960" spans="2:2" ht="15.6">
      <c r="B960" s="171">
        <v>-2005.9754988587672</v>
      </c>
    </row>
    <row r="961" spans="2:2" ht="15.6">
      <c r="B961" s="171">
        <v>-2191.3409267877796</v>
      </c>
    </row>
    <row r="962" spans="2:2" ht="15.6">
      <c r="B962" s="171">
        <v>-1844.1785114986237</v>
      </c>
    </row>
    <row r="963" spans="2:2" ht="15.6">
      <c r="B963" s="171">
        <v>-1330.5057508186781</v>
      </c>
    </row>
    <row r="964" spans="2:2" ht="15.6">
      <c r="B964" s="171">
        <v>-1528.7159267135528</v>
      </c>
    </row>
    <row r="965" spans="2:2" ht="15.6">
      <c r="B965" s="171">
        <v>-1028.06411964839</v>
      </c>
    </row>
    <row r="966" spans="2:2" ht="15.6">
      <c r="B966" s="171">
        <v>-2473.2401213927269</v>
      </c>
    </row>
    <row r="967" spans="2:2" ht="15.6">
      <c r="B967" s="171">
        <v>-1479.4700047104952</v>
      </c>
    </row>
    <row r="968" spans="2:2" ht="15.6">
      <c r="B968" s="171">
        <v>-1257.1307866972265</v>
      </c>
    </row>
    <row r="969" spans="2:2" ht="15.6">
      <c r="B969" s="171">
        <v>-1666.2363165721076</v>
      </c>
    </row>
    <row r="970" spans="2:2" ht="15.6">
      <c r="B970" s="171">
        <v>-2417.0737472215924</v>
      </c>
    </row>
    <row r="971" spans="2:2" ht="15.6">
      <c r="B971" s="171">
        <v>-2456.5820126794829</v>
      </c>
    </row>
    <row r="972" spans="2:2" ht="15.6">
      <c r="B972" s="171">
        <v>-1076.0379617815386</v>
      </c>
    </row>
    <row r="973" spans="2:2" ht="15.6">
      <c r="B973" s="171">
        <v>-1661.2461369023708</v>
      </c>
    </row>
    <row r="974" spans="2:2" ht="15.6">
      <c r="B974" s="171">
        <v>-964.71800742563346</v>
      </c>
    </row>
    <row r="975" spans="2:2" ht="15.6">
      <c r="B975" s="171">
        <v>-1137.1532109172072</v>
      </c>
    </row>
    <row r="976" spans="2:2" ht="15.6">
      <c r="B976" s="171">
        <v>-1129.21836636118</v>
      </c>
    </row>
    <row r="977" spans="2:2" ht="15.6">
      <c r="B977" s="171">
        <v>-1627.0569558589623</v>
      </c>
    </row>
    <row r="978" spans="2:2" ht="15.6">
      <c r="B978" s="171">
        <v>-1479.8851942243371</v>
      </c>
    </row>
    <row r="979" spans="2:2" ht="15.6">
      <c r="B979" s="171">
        <v>-1538.5978263480849</v>
      </c>
    </row>
    <row r="980" spans="2:2" ht="15.6">
      <c r="B980" s="171">
        <v>-2048.3556055368635</v>
      </c>
    </row>
    <row r="981" spans="2:2" ht="15.6">
      <c r="B981" s="171">
        <v>-1447.1234258002205</v>
      </c>
    </row>
    <row r="982" spans="2:2" ht="15.6">
      <c r="B982" s="171">
        <v>-1584.3970186558322</v>
      </c>
    </row>
    <row r="983" spans="2:2" ht="15.6">
      <c r="B983" s="171">
        <v>-1161.8223262417644</v>
      </c>
    </row>
    <row r="984" spans="2:2" ht="15.6">
      <c r="B984" s="171">
        <v>-1898.5876039413426</v>
      </c>
    </row>
    <row r="985" spans="2:2" ht="15.6">
      <c r="B985" s="171">
        <v>-1868.2036292303901</v>
      </c>
    </row>
    <row r="986" spans="2:2" ht="15.6">
      <c r="B986" s="171">
        <v>-1810.5370094291704</v>
      </c>
    </row>
    <row r="987" spans="2:2" ht="15.6">
      <c r="B987" s="171">
        <v>-2213.1347588950193</v>
      </c>
    </row>
    <row r="988" spans="2:2" ht="15.6">
      <c r="B988" s="171">
        <v>-1524.5638284787424</v>
      </c>
    </row>
    <row r="989" spans="2:2" ht="15.6">
      <c r="B989" s="171">
        <v>-1753.3165589730258</v>
      </c>
    </row>
    <row r="990" spans="2:2" ht="15.6">
      <c r="B990" s="171">
        <v>-1692.9575805813299</v>
      </c>
    </row>
    <row r="991" spans="2:2" ht="15.6">
      <c r="B991" s="171">
        <v>-1729.2233929202137</v>
      </c>
    </row>
    <row r="992" spans="2:2" ht="15.6">
      <c r="B992" s="171">
        <v>-2885.562919985221</v>
      </c>
    </row>
    <row r="993" spans="2:2" ht="15.6">
      <c r="B993" s="171">
        <v>-1217.6311362589677</v>
      </c>
    </row>
    <row r="994" spans="2:2" ht="15.6">
      <c r="B994" s="171">
        <v>-1941.7925720287715</v>
      </c>
    </row>
    <row r="995" spans="2:2" ht="15.6">
      <c r="B995" s="171">
        <v>-1629.699485340647</v>
      </c>
    </row>
    <row r="996" spans="2:2" ht="15.6">
      <c r="B996" s="171">
        <v>-1246.7658475326646</v>
      </c>
    </row>
    <row r="997" spans="2:2" ht="15.6">
      <c r="B997" s="171">
        <v>-1617.7326712575946</v>
      </c>
    </row>
    <row r="998" spans="2:2" ht="15.6">
      <c r="B998" s="171">
        <v>-1055.2104518048582</v>
      </c>
    </row>
    <row r="999" spans="2:2" ht="15.6">
      <c r="B999" s="171">
        <v>-1202.4086260425061</v>
      </c>
    </row>
    <row r="1000" spans="2:2" ht="15.6">
      <c r="B1000" s="171">
        <v>-1725.0652996006374</v>
      </c>
    </row>
    <row r="1001" spans="2:2" ht="15.6">
      <c r="B1001" s="171">
        <v>-1696.8573106739132</v>
      </c>
    </row>
    <row r="1002" spans="2:2" ht="15.6">
      <c r="B1002" s="171">
        <v>-1385.2449109719907</v>
      </c>
    </row>
    <row r="1003" spans="2:2" ht="15.6">
      <c r="B1003" s="171">
        <v>-2142.3541158920507</v>
      </c>
    </row>
    <row r="1004" spans="2:2" ht="15.6">
      <c r="B1004" s="171">
        <v>-1421.3557931734672</v>
      </c>
    </row>
    <row r="1005" spans="2:2" ht="15.6">
      <c r="B1005" s="171">
        <v>-1397.7288661064547</v>
      </c>
    </row>
    <row r="1006" spans="2:2" ht="15.6">
      <c r="B1006" s="171">
        <v>-1355.5917023417062</v>
      </c>
    </row>
    <row r="1007" spans="2:2" ht="15.6">
      <c r="B1007" s="171">
        <v>-1589.7883239526038</v>
      </c>
    </row>
    <row r="1008" spans="2:2" ht="15.6">
      <c r="B1008" s="171">
        <v>-1449.9099471369211</v>
      </c>
    </row>
    <row r="1009" spans="2:2" ht="15.6">
      <c r="B1009" s="171">
        <v>-1306.3322127805434</v>
      </c>
    </row>
    <row r="1010" spans="2:2" ht="15.6">
      <c r="B1010" s="171">
        <v>-1565.3454491584953</v>
      </c>
    </row>
    <row r="1011" spans="2:2" ht="15.6">
      <c r="B1011" s="171">
        <v>-2386.0353684946963</v>
      </c>
    </row>
    <row r="1012" spans="2:2" ht="15.6">
      <c r="B1012" s="171">
        <v>-1919.5017982462973</v>
      </c>
    </row>
    <row r="1013" spans="2:2" ht="15.6">
      <c r="B1013" s="171">
        <v>-1749.5248301991951</v>
      </c>
    </row>
    <row r="1014" spans="2:2" ht="15.6">
      <c r="B1014" s="171">
        <v>-1895.7843397906677</v>
      </c>
    </row>
    <row r="1015" spans="2:2" ht="15.6">
      <c r="B1015" s="171">
        <v>-1818.1087324683324</v>
      </c>
    </row>
    <row r="1016" spans="2:2" ht="15.6">
      <c r="B1016" s="171">
        <v>-1988.1749069811278</v>
      </c>
    </row>
    <row r="1017" spans="2:2" ht="15.6">
      <c r="B1017" s="171">
        <v>-1508.7620560124969</v>
      </c>
    </row>
    <row r="1018" spans="2:2" ht="15.6">
      <c r="B1018" s="171">
        <v>-1415.3597270394905</v>
      </c>
    </row>
    <row r="1019" spans="2:2" ht="15.6">
      <c r="B1019" s="171">
        <v>-1467.4596341582801</v>
      </c>
    </row>
    <row r="1020" spans="2:2" ht="15.6">
      <c r="B1020" s="171">
        <v>-2036.3842065467047</v>
      </c>
    </row>
    <row r="1021" spans="2:2" ht="15.6">
      <c r="B1021" s="171">
        <v>-1498.132092859855</v>
      </c>
    </row>
    <row r="1022" spans="2:2" ht="15.6">
      <c r="B1022" s="171">
        <v>-2123.9218753154332</v>
      </c>
    </row>
    <row r="1023" spans="2:2" ht="15.6">
      <c r="B1023" s="171">
        <v>-1918.1348576672692</v>
      </c>
    </row>
    <row r="1024" spans="2:2" ht="15.6">
      <c r="B1024" s="171">
        <v>-2224.8615181553828</v>
      </c>
    </row>
    <row r="1025" spans="2:2" ht="15.6">
      <c r="B1025" s="171">
        <v>-1146.3616534215384</v>
      </c>
    </row>
    <row r="1026" spans="2:2" ht="15.6">
      <c r="B1026" s="171">
        <v>-1237.6756700415513</v>
      </c>
    </row>
    <row r="1027" spans="2:2" ht="15.6">
      <c r="B1027" s="171">
        <v>-1479.8525029876344</v>
      </c>
    </row>
    <row r="1028" spans="2:2" ht="15.6">
      <c r="B1028" s="171">
        <v>-1964.5948356606241</v>
      </c>
    </row>
    <row r="1029" spans="2:2" ht="15.6">
      <c r="B1029" s="171">
        <v>-567.99042912944253</v>
      </c>
    </row>
    <row r="1030" spans="2:2" ht="15.6">
      <c r="B1030" s="171">
        <v>-1243.0373771899535</v>
      </c>
    </row>
    <row r="1031" spans="2:2" ht="15.6">
      <c r="B1031" s="171">
        <v>-1539.839881572763</v>
      </c>
    </row>
    <row r="1032" spans="2:2" ht="15.6">
      <c r="B1032" s="171">
        <v>-1610.4254825907556</v>
      </c>
    </row>
    <row r="1033" spans="2:2" ht="15.6">
      <c r="B1033" s="171">
        <v>-1500.0425489132431</v>
      </c>
    </row>
    <row r="1034" spans="2:2" ht="15.6">
      <c r="B1034" s="171">
        <v>-1543.3048912637169</v>
      </c>
    </row>
    <row r="1035" spans="2:2" ht="15.6">
      <c r="B1035" s="171">
        <v>-1023.963673429568</v>
      </c>
    </row>
    <row r="1036" spans="2:2" ht="15.6">
      <c r="B1036" s="171">
        <v>-1182.3089656624973</v>
      </c>
    </row>
    <row r="1037" spans="2:2" ht="15.6">
      <c r="B1037" s="171">
        <v>-1877.8124341578596</v>
      </c>
    </row>
    <row r="1038" spans="2:2" ht="15.6">
      <c r="B1038" s="171">
        <v>-960.77373543307374</v>
      </c>
    </row>
    <row r="1039" spans="2:2" ht="15.6">
      <c r="B1039" s="171">
        <v>-1584.8472413459904</v>
      </c>
    </row>
    <row r="1040" spans="2:2" ht="15.6">
      <c r="B1040" s="171">
        <v>-1654.992894646304</v>
      </c>
    </row>
    <row r="1041" spans="2:2" ht="15.6">
      <c r="B1041" s="171">
        <v>-2072.5201904478135</v>
      </c>
    </row>
    <row r="1042" spans="2:2" ht="15.6">
      <c r="B1042" s="171">
        <v>-1165.1642899386161</v>
      </c>
    </row>
    <row r="1043" spans="2:2" ht="15.6">
      <c r="B1043" s="171">
        <v>-1096.738638418575</v>
      </c>
    </row>
    <row r="1044" spans="2:2" ht="15.6">
      <c r="B1044" s="171">
        <v>-1197.272581226392</v>
      </c>
    </row>
    <row r="1045" spans="2:2" ht="15.6">
      <c r="B1045" s="171">
        <v>-1472.282702787064</v>
      </c>
    </row>
    <row r="1046" spans="2:2" ht="15.6">
      <c r="B1046" s="171">
        <v>-1600.9272054349492</v>
      </c>
    </row>
    <row r="1047" spans="2:2" ht="15.6">
      <c r="B1047" s="171">
        <v>-1533.9242037223289</v>
      </c>
    </row>
    <row r="1048" spans="2:2" ht="15.6">
      <c r="B1048" s="171">
        <v>-1280.0299364826283</v>
      </c>
    </row>
    <row r="1049" spans="2:2" ht="15.6">
      <c r="B1049" s="171">
        <v>-1550.7791386455808</v>
      </c>
    </row>
    <row r="1050" spans="2:2" ht="15.6">
      <c r="B1050" s="171">
        <v>-1299.0993361865617</v>
      </c>
    </row>
    <row r="1051" spans="2:2" ht="15.6">
      <c r="B1051" s="171">
        <v>-2053.1819976214374</v>
      </c>
    </row>
    <row r="1052" spans="2:2" ht="15.6">
      <c r="B1052" s="171">
        <v>-1360.0429713203182</v>
      </c>
    </row>
    <row r="1053" spans="2:2" ht="15.6">
      <c r="B1053" s="171">
        <v>-1028.7820104029863</v>
      </c>
    </row>
    <row r="1054" spans="2:2" ht="15.6">
      <c r="B1054" s="171">
        <v>-1458.0110364576483</v>
      </c>
    </row>
    <row r="1055" spans="2:2" ht="15.6">
      <c r="B1055" s="171">
        <v>-1014.4053152790174</v>
      </c>
    </row>
    <row r="1056" spans="2:2" ht="15.6">
      <c r="B1056" s="171">
        <v>-1561.6935314594436</v>
      </c>
    </row>
    <row r="1057" spans="2:2" ht="15.6">
      <c r="B1057" s="171">
        <v>-1983.4493510325428</v>
      </c>
    </row>
    <row r="1058" spans="2:2" ht="15.6">
      <c r="B1058" s="171">
        <v>-1689.9346960810803</v>
      </c>
    </row>
    <row r="1059" spans="2:2" ht="15.6">
      <c r="B1059" s="171">
        <v>-1148.2276342531186</v>
      </c>
    </row>
    <row r="1060" spans="2:2" ht="15.6">
      <c r="B1060" s="171">
        <v>-1490.8145618312121</v>
      </c>
    </row>
    <row r="1061" spans="2:2" ht="15.6">
      <c r="B1061" s="171">
        <v>-1728.0612149799151</v>
      </c>
    </row>
    <row r="1062" spans="2:2" ht="15.6">
      <c r="B1062" s="171">
        <v>-864.64584872281671</v>
      </c>
    </row>
    <row r="1063" spans="2:2" ht="15.6">
      <c r="B1063" s="171">
        <v>-1475.0817131698022</v>
      </c>
    </row>
    <row r="1064" spans="2:2" ht="15.6">
      <c r="B1064" s="171">
        <v>-1120.3479209413581</v>
      </c>
    </row>
    <row r="1065" spans="2:2" ht="15.6">
      <c r="B1065" s="171">
        <v>-2115.1284293048016</v>
      </c>
    </row>
    <row r="1066" spans="2:2" ht="15.6">
      <c r="B1066" s="171">
        <v>-1459.6475148263705</v>
      </c>
    </row>
    <row r="1067" spans="2:2" ht="15.6">
      <c r="B1067" s="171">
        <v>-1275.3374323177381</v>
      </c>
    </row>
    <row r="1068" spans="2:2" ht="15.6">
      <c r="B1068" s="171">
        <v>-1661.8608353584943</v>
      </c>
    </row>
    <row r="1069" spans="2:2" ht="15.6">
      <c r="B1069" s="171">
        <v>-1660.4058557692933</v>
      </c>
    </row>
    <row r="1070" spans="2:2" ht="15.6">
      <c r="B1070" s="171">
        <v>-2311.1507145026035</v>
      </c>
    </row>
    <row r="1071" spans="2:2" ht="15.6">
      <c r="B1071" s="171">
        <v>-2128.0854146910319</v>
      </c>
    </row>
    <row r="1072" spans="2:2" ht="15.6">
      <c r="B1072" s="171">
        <v>-2242.6012393249412</v>
      </c>
    </row>
    <row r="1073" spans="2:2" ht="15.6">
      <c r="B1073" s="171">
        <v>-1657.9857519176514</v>
      </c>
    </row>
    <row r="1074" spans="2:2" ht="15.6">
      <c r="B1074" s="171">
        <v>-1252.1772570167054</v>
      </c>
    </row>
    <row r="1075" spans="2:2" ht="15.6">
      <c r="B1075" s="171">
        <v>-1106.8997761166904</v>
      </c>
    </row>
    <row r="1076" spans="2:2" ht="15.6">
      <c r="B1076" s="171">
        <v>-1217.1865518714108</v>
      </c>
    </row>
    <row r="1077" spans="2:2" ht="15.6">
      <c r="B1077" s="171">
        <v>-1757.3502136143932</v>
      </c>
    </row>
    <row r="1078" spans="2:2" ht="15.6">
      <c r="B1078" s="171">
        <v>-1695.1566609003362</v>
      </c>
    </row>
    <row r="1079" spans="2:2" ht="15.6">
      <c r="B1079" s="171">
        <v>-1904.6799306413734</v>
      </c>
    </row>
    <row r="1080" spans="2:2" ht="15.6">
      <c r="B1080" s="171">
        <v>-1349.1154946467632</v>
      </c>
    </row>
    <row r="1081" spans="2:2" ht="15.6">
      <c r="B1081" s="171">
        <v>-1657.9745392371119</v>
      </c>
    </row>
    <row r="1082" spans="2:2" ht="15.6">
      <c r="B1082" s="171">
        <v>-1664.8709690430885</v>
      </c>
    </row>
    <row r="1083" spans="2:2" ht="15.6">
      <c r="B1083" s="171">
        <v>-909.64810694288781</v>
      </c>
    </row>
    <row r="1084" spans="2:2" ht="15.6">
      <c r="B1084" s="171">
        <v>-1091.2534891425069</v>
      </c>
    </row>
    <row r="1085" spans="2:2" ht="15.6">
      <c r="B1085" s="171">
        <v>-2096.7302899936312</v>
      </c>
    </row>
    <row r="1086" spans="2:2" ht="15.6">
      <c r="B1086" s="171">
        <v>-1725.0549221282899</v>
      </c>
    </row>
    <row r="1087" spans="2:2" ht="15.6">
      <c r="B1087" s="171">
        <v>-1371.7178260317778</v>
      </c>
    </row>
    <row r="1088" spans="2:2" ht="15.6">
      <c r="B1088" s="171">
        <v>-784.31449245775605</v>
      </c>
    </row>
    <row r="1089" spans="2:2" ht="15.6">
      <c r="B1089" s="171">
        <v>-1460.5722181618826</v>
      </c>
    </row>
    <row r="1090" spans="2:2" ht="15.6">
      <c r="B1090" s="171">
        <v>-1124.9598977628125</v>
      </c>
    </row>
    <row r="1091" spans="2:2" ht="15.6">
      <c r="B1091" s="171">
        <v>-1239.276298199869</v>
      </c>
    </row>
    <row r="1092" spans="2:2" ht="15.6">
      <c r="B1092" s="171">
        <v>-1810.8314721704041</v>
      </c>
    </row>
    <row r="1093" spans="2:2" ht="15.6">
      <c r="B1093" s="171">
        <v>-1526.2795776433572</v>
      </c>
    </row>
    <row r="1094" spans="2:2" ht="15.6">
      <c r="B1094" s="171">
        <v>-1472.7513713391725</v>
      </c>
    </row>
    <row r="1095" spans="2:2" ht="15.6">
      <c r="B1095" s="171">
        <v>-1521.4360531701607</v>
      </c>
    </row>
    <row r="1096" spans="2:2" ht="15.6">
      <c r="B1096" s="171">
        <v>-1206.8377122789116</v>
      </c>
    </row>
    <row r="1097" spans="2:2" ht="15.6">
      <c r="B1097" s="171">
        <v>-1197.8790736088229</v>
      </c>
    </row>
    <row r="1098" spans="2:2" ht="15.6">
      <c r="B1098" s="171">
        <v>-1387.1286968049285</v>
      </c>
    </row>
    <row r="1099" spans="2:2" ht="15.6">
      <c r="B1099" s="171">
        <v>-1504.9629234548484</v>
      </c>
    </row>
    <row r="1100" spans="2:2" ht="15.6">
      <c r="B1100" s="171">
        <v>-1228.7233754411222</v>
      </c>
    </row>
    <row r="1101" spans="2:2" ht="15.6">
      <c r="B1101" s="171">
        <v>-1870.3454354993032</v>
      </c>
    </row>
    <row r="1102" spans="2:2" ht="15.6">
      <c r="B1102" s="171">
        <v>-1855.3905331806982</v>
      </c>
    </row>
    <row r="1103" spans="2:2" ht="15.6">
      <c r="B1103" s="171">
        <v>-1592.3432567562377</v>
      </c>
    </row>
    <row r="1104" spans="2:2" ht="15.6">
      <c r="B1104" s="171">
        <v>-1880.8542078443661</v>
      </c>
    </row>
    <row r="1105" spans="2:2" ht="15.6">
      <c r="B1105" s="171">
        <v>-1515.83141102595</v>
      </c>
    </row>
    <row r="1106" spans="2:2" ht="15.6">
      <c r="B1106" s="171">
        <v>-1715.5507923689711</v>
      </c>
    </row>
    <row r="1107" spans="2:2" ht="15.6">
      <c r="B1107" s="171">
        <v>-1451.5384286804522</v>
      </c>
    </row>
    <row r="1108" spans="2:2" ht="15.6">
      <c r="B1108" s="171">
        <v>-1863.3174791363426</v>
      </c>
    </row>
    <row r="1109" spans="2:2" ht="15.6">
      <c r="B1109" s="171">
        <v>-1498.6390191007204</v>
      </c>
    </row>
    <row r="1110" spans="2:2" ht="15.6">
      <c r="B1110" s="171">
        <v>-1641.3196907438003</v>
      </c>
    </row>
    <row r="1111" spans="2:2" ht="15.6">
      <c r="B1111" s="171">
        <v>-1862.7506977204332</v>
      </c>
    </row>
    <row r="1112" spans="2:2" ht="15.6">
      <c r="B1112" s="171">
        <v>-1595.9585711136349</v>
      </c>
    </row>
    <row r="1113" spans="2:2" ht="15.6">
      <c r="B1113" s="171">
        <v>-1127.8456458796991</v>
      </c>
    </row>
    <row r="1114" spans="2:2" ht="15.6">
      <c r="B1114" s="171">
        <v>-1959.0549356839952</v>
      </c>
    </row>
    <row r="1115" spans="2:2" ht="15.6">
      <c r="B1115" s="171">
        <v>-1894.1647042535765</v>
      </c>
    </row>
    <row r="1116" spans="2:2" ht="15.6">
      <c r="B1116" s="171">
        <v>-2226.8524779459194</v>
      </c>
    </row>
    <row r="1117" spans="2:2" ht="15.6">
      <c r="B1117" s="171">
        <v>-1772.8409507355379</v>
      </c>
    </row>
    <row r="1118" spans="2:2" ht="15.6">
      <c r="B1118" s="171">
        <v>-1023.2401705013129</v>
      </c>
    </row>
    <row r="1119" spans="2:2" ht="15.6">
      <c r="B1119" s="171">
        <v>-1720.0367687991493</v>
      </c>
    </row>
    <row r="1120" spans="2:2" ht="15.6">
      <c r="B1120" s="171">
        <v>-1426.5995848116718</v>
      </c>
    </row>
    <row r="1121" spans="2:2" ht="15.6">
      <c r="B1121" s="171">
        <v>-2604.7238223387935</v>
      </c>
    </row>
    <row r="1122" spans="2:2" ht="15.6">
      <c r="B1122" s="171">
        <v>-742.38528945810901</v>
      </c>
    </row>
    <row r="1123" spans="2:2" ht="15.6">
      <c r="B1123" s="171">
        <v>-2249.7268079642035</v>
      </c>
    </row>
    <row r="1124" spans="2:2" ht="15.6">
      <c r="B1124" s="171">
        <v>-1673.8410166682513</v>
      </c>
    </row>
    <row r="1125" spans="2:2" ht="15.6">
      <c r="B1125" s="171">
        <v>-1242.2051047497969</v>
      </c>
    </row>
    <row r="1126" spans="2:2" ht="15.6">
      <c r="B1126" s="171">
        <v>-1722.1746015352596</v>
      </c>
    </row>
    <row r="1127" spans="2:2" ht="15.6">
      <c r="B1127" s="171">
        <v>-1751.0702177684589</v>
      </c>
    </row>
    <row r="1128" spans="2:2" ht="15.6">
      <c r="B1128" s="171">
        <v>-1880.5370948814775</v>
      </c>
    </row>
    <row r="1129" spans="2:2" ht="15.6">
      <c r="B1129" s="171">
        <v>-2293.8073166010345</v>
      </c>
    </row>
    <row r="1130" spans="2:2" ht="15.6">
      <c r="B1130" s="171">
        <v>-1271.3070340581951</v>
      </c>
    </row>
    <row r="1131" spans="2:2" ht="15.6">
      <c r="B1131" s="171">
        <v>-1715.7203489684748</v>
      </c>
    </row>
    <row r="1132" spans="2:2" ht="15.6">
      <c r="B1132" s="171">
        <v>-1061.6354366351468</v>
      </c>
    </row>
    <row r="1133" spans="2:2" ht="15.6">
      <c r="B1133" s="171">
        <v>-2259.4014005153931</v>
      </c>
    </row>
    <row r="1134" spans="2:2" ht="15.6">
      <c r="B1134" s="171">
        <v>-1246.5588377228385</v>
      </c>
    </row>
    <row r="1135" spans="2:2" ht="15.6">
      <c r="B1135" s="171">
        <v>-1855.7098408262439</v>
      </c>
    </row>
    <row r="1136" spans="2:2" ht="15.6">
      <c r="B1136" s="171">
        <v>-1029.5610733733758</v>
      </c>
    </row>
    <row r="1137" spans="2:2" ht="15.6">
      <c r="B1137" s="171">
        <v>-1347.0396138804792</v>
      </c>
    </row>
    <row r="1138" spans="2:2" ht="15.6">
      <c r="B1138" s="171">
        <v>-1715.9603797525251</v>
      </c>
    </row>
    <row r="1139" spans="2:2" ht="15.6">
      <c r="B1139" s="171">
        <v>-1790.3870963431673</v>
      </c>
    </row>
    <row r="1140" spans="2:2" ht="15.6">
      <c r="B1140" s="171">
        <v>-2021.8049192761937</v>
      </c>
    </row>
    <row r="1141" spans="2:2" ht="15.6">
      <c r="B1141" s="171">
        <v>-1298.8363361926795</v>
      </c>
    </row>
    <row r="1142" spans="2:2" ht="15.6">
      <c r="B1142" s="171">
        <v>-1608.248078297474</v>
      </c>
    </row>
    <row r="1143" spans="2:2" ht="15.6">
      <c r="B1143" s="171">
        <v>-1414.7515165694031</v>
      </c>
    </row>
    <row r="1144" spans="2:2" ht="15.6">
      <c r="B1144" s="171">
        <v>-1377.6008090660741</v>
      </c>
    </row>
    <row r="1145" spans="2:2" ht="15.6">
      <c r="B1145" s="171">
        <v>-1287.8598749360563</v>
      </c>
    </row>
    <row r="1146" spans="2:2" ht="15.6">
      <c r="B1146" s="171">
        <v>-1605.9459802500726</v>
      </c>
    </row>
    <row r="1147" spans="2:2" ht="15.6">
      <c r="B1147" s="171">
        <v>-1386.1971867781131</v>
      </c>
    </row>
    <row r="1148" spans="2:2" ht="15.6">
      <c r="B1148" s="171">
        <v>-1438.7448032128991</v>
      </c>
    </row>
    <row r="1149" spans="2:2" ht="15.6">
      <c r="B1149" s="171">
        <v>-1927.9893340767044</v>
      </c>
    </row>
    <row r="1150" spans="2:2" ht="15.6">
      <c r="B1150" s="171">
        <v>-1097.1082525971885</v>
      </c>
    </row>
    <row r="1151" spans="2:2" ht="15.6">
      <c r="B1151" s="171">
        <v>-1368.9128773894206</v>
      </c>
    </row>
    <row r="1152" spans="2:2" ht="15.6">
      <c r="B1152" s="171">
        <v>-1551.6605387882016</v>
      </c>
    </row>
    <row r="1153" spans="2:2" ht="15.6">
      <c r="B1153" s="171">
        <v>-1319.0425720367925</v>
      </c>
    </row>
    <row r="1154" spans="2:2" ht="15.6">
      <c r="B1154" s="171">
        <v>-1602.4862810569177</v>
      </c>
    </row>
    <row r="1155" spans="2:2" ht="15.6">
      <c r="B1155" s="171">
        <v>-2599.1078968502998</v>
      </c>
    </row>
    <row r="1156" spans="2:2" ht="15.6">
      <c r="B1156" s="171">
        <v>-1894.6072711286704</v>
      </c>
    </row>
    <row r="1157" spans="2:2" ht="15.6">
      <c r="B1157" s="171">
        <v>-1743.2314070841235</v>
      </c>
    </row>
    <row r="1158" spans="2:2" ht="15.6">
      <c r="B1158" s="171">
        <v>-2039.2421924923913</v>
      </c>
    </row>
    <row r="1159" spans="2:2" ht="15.6">
      <c r="B1159" s="171">
        <v>-1906.3273424086476</v>
      </c>
    </row>
    <row r="1160" spans="2:2" ht="15.6">
      <c r="B1160" s="171">
        <v>-1527.7135374948493</v>
      </c>
    </row>
    <row r="1161" spans="2:2" ht="15.6">
      <c r="B1161" s="171">
        <v>-1215.5728630366973</v>
      </c>
    </row>
    <row r="1162" spans="2:2" ht="15.6">
      <c r="B1162" s="171">
        <v>-1655.0611110872051</v>
      </c>
    </row>
    <row r="1163" spans="2:2" ht="15.6">
      <c r="B1163" s="171">
        <v>-1719.7970511039889</v>
      </c>
    </row>
    <row r="1164" spans="2:2" ht="15.6">
      <c r="B1164" s="171">
        <v>-1895.1160879109157</v>
      </c>
    </row>
    <row r="1165" spans="2:2" ht="15.6">
      <c r="B1165" s="171">
        <v>-1154.5761568514381</v>
      </c>
    </row>
    <row r="1166" spans="2:2" ht="15.6">
      <c r="B1166" s="171">
        <v>-922.22098858607001</v>
      </c>
    </row>
    <row r="1167" spans="2:2" ht="15.6">
      <c r="B1167" s="171">
        <v>-1240.9060886807279</v>
      </c>
    </row>
    <row r="1168" spans="2:2" ht="15.6">
      <c r="B1168" s="171">
        <v>-1435.1588133105774</v>
      </c>
    </row>
    <row r="1169" spans="2:2" ht="15.6">
      <c r="B1169" s="171">
        <v>-1237.1346607597368</v>
      </c>
    </row>
    <row r="1170" spans="2:2" ht="15.6">
      <c r="B1170" s="171">
        <v>-1432.0660451534259</v>
      </c>
    </row>
    <row r="1171" spans="2:2" ht="15.6">
      <c r="B1171" s="171">
        <v>-1109.7726262237559</v>
      </c>
    </row>
    <row r="1172" spans="2:2" ht="15.6">
      <c r="B1172" s="171">
        <v>-980.15065946423499</v>
      </c>
    </row>
    <row r="1173" spans="2:2" ht="15.6">
      <c r="B1173" s="171">
        <v>-1753.2914822929592</v>
      </c>
    </row>
    <row r="1174" spans="2:2" ht="15.6">
      <c r="B1174" s="171">
        <v>-1204.0749625350568</v>
      </c>
    </row>
    <row r="1175" spans="2:2" ht="15.6">
      <c r="B1175" s="171">
        <v>-1549.6438012268663</v>
      </c>
    </row>
    <row r="1176" spans="2:2" ht="15.6">
      <c r="B1176" s="171">
        <v>-1205.8459868296497</v>
      </c>
    </row>
    <row r="1177" spans="2:2" ht="15.6">
      <c r="B1177" s="171">
        <v>-1645.2073283240607</v>
      </c>
    </row>
    <row r="1178" spans="2:2" ht="15.6">
      <c r="B1178" s="171">
        <v>-2352.3392294443242</v>
      </c>
    </row>
    <row r="1179" spans="2:2" ht="15.6">
      <c r="B1179" s="171">
        <v>-1571.557958644722</v>
      </c>
    </row>
    <row r="1180" spans="2:2" ht="15.6">
      <c r="B1180" s="171">
        <v>-1540.6354523864979</v>
      </c>
    </row>
    <row r="1181" spans="2:2" ht="15.6">
      <c r="B1181" s="171">
        <v>-1528.4723554949758</v>
      </c>
    </row>
    <row r="1182" spans="2:2" ht="15.6">
      <c r="B1182" s="171">
        <v>-1569.7969981472486</v>
      </c>
    </row>
    <row r="1183" spans="2:2" ht="15.6">
      <c r="B1183" s="171">
        <v>-1657.8038466091421</v>
      </c>
    </row>
    <row r="1184" spans="2:2" ht="15.6">
      <c r="B1184" s="171">
        <v>-822.22281996874415</v>
      </c>
    </row>
    <row r="1185" spans="2:2" ht="15.6">
      <c r="B1185" s="171">
        <v>-1501.1539416731075</v>
      </c>
    </row>
    <row r="1186" spans="2:2" ht="15.6">
      <c r="B1186" s="171">
        <v>-1930.5363505085702</v>
      </c>
    </row>
    <row r="1187" spans="2:2" ht="15.6">
      <c r="B1187" s="171">
        <v>-1548.1694088864572</v>
      </c>
    </row>
    <row r="1188" spans="2:2" ht="15.6">
      <c r="B1188" s="171">
        <v>-1306.5127231030158</v>
      </c>
    </row>
    <row r="1189" spans="2:2" ht="15.6">
      <c r="B1189" s="171">
        <v>-1794.6282213340974</v>
      </c>
    </row>
    <row r="1190" spans="2:2" ht="15.6">
      <c r="B1190" s="171">
        <v>-1771.3063024641747</v>
      </c>
    </row>
    <row r="1191" spans="2:2" ht="15.6">
      <c r="B1191" s="171">
        <v>-1365.0994045800808</v>
      </c>
    </row>
    <row r="1192" spans="2:2" ht="15.6">
      <c r="B1192" s="171">
        <v>-1572.2431712153675</v>
      </c>
    </row>
    <row r="1193" spans="2:2" ht="15.6">
      <c r="B1193" s="171">
        <v>-1265.1863698172785</v>
      </c>
    </row>
    <row r="1194" spans="2:2" ht="15.6">
      <c r="B1194" s="171">
        <v>-1548.3962916657399</v>
      </c>
    </row>
    <row r="1195" spans="2:2" ht="15.6">
      <c r="B1195" s="171">
        <v>-1522.3507660182581</v>
      </c>
    </row>
    <row r="1196" spans="2:2" ht="15.6">
      <c r="B1196" s="171">
        <v>-2283.3236829051652</v>
      </c>
    </row>
    <row r="1197" spans="2:2" ht="15.6">
      <c r="B1197" s="171">
        <v>-1641.185716352883</v>
      </c>
    </row>
    <row r="1198" spans="2:2" ht="15.6">
      <c r="B1198" s="171">
        <v>-1932.7347954572276</v>
      </c>
    </row>
    <row r="1199" spans="2:2" ht="15.6">
      <c r="B1199" s="171">
        <v>-1038.2825334950617</v>
      </c>
    </row>
    <row r="1200" spans="2:2" ht="15.6">
      <c r="B1200" s="171">
        <v>-1305.6098502331599</v>
      </c>
    </row>
    <row r="1201" spans="2:2" ht="15.6">
      <c r="B1201" s="171">
        <v>-2200.788640117134</v>
      </c>
    </row>
    <row r="1202" spans="2:2" ht="15.6">
      <c r="B1202" s="171">
        <v>-1828.7225385718041</v>
      </c>
    </row>
    <row r="1203" spans="2:2" ht="15.6">
      <c r="B1203" s="171">
        <v>-1931.3820224994242</v>
      </c>
    </row>
    <row r="1204" spans="2:2" ht="15.6">
      <c r="B1204" s="171">
        <v>-1552.1327065148425</v>
      </c>
    </row>
    <row r="1205" spans="2:2" ht="15.6">
      <c r="B1205" s="171">
        <v>-1638.0729986288288</v>
      </c>
    </row>
    <row r="1206" spans="2:2" ht="15.6">
      <c r="B1206" s="171">
        <v>-1281.8904484034535</v>
      </c>
    </row>
    <row r="1207" spans="2:2" ht="15.6">
      <c r="B1207" s="171">
        <v>-1609.1549515414936</v>
      </c>
    </row>
    <row r="1208" spans="2:2" ht="15.6">
      <c r="B1208" s="171">
        <v>-1951.3903427637697</v>
      </c>
    </row>
    <row r="1209" spans="2:2" ht="15.6">
      <c r="B1209" s="171">
        <v>-880.9403151618036</v>
      </c>
    </row>
    <row r="1210" spans="2:2" ht="15.6">
      <c r="B1210" s="171">
        <v>-2006.2855485382804</v>
      </c>
    </row>
    <row r="1211" spans="2:2" ht="15.6">
      <c r="B1211" s="171">
        <v>-1526.4383596489749</v>
      </c>
    </row>
    <row r="1212" spans="2:2" ht="15.6">
      <c r="B1212" s="171">
        <v>-2023.3297830466745</v>
      </c>
    </row>
    <row r="1213" spans="2:2" ht="15.6">
      <c r="B1213" s="171">
        <v>-1856.1205032046109</v>
      </c>
    </row>
    <row r="1214" spans="2:2" ht="15.6">
      <c r="B1214" s="171">
        <v>-1116.8419250586892</v>
      </c>
    </row>
    <row r="1215" spans="2:2" ht="15.6">
      <c r="B1215" s="171">
        <v>-1599.133363760845</v>
      </c>
    </row>
    <row r="1216" spans="2:2" ht="15.6">
      <c r="B1216" s="171">
        <v>-1375.9018840268714</v>
      </c>
    </row>
    <row r="1217" spans="2:2" ht="15.6">
      <c r="B1217" s="171">
        <v>-1586.4574311075394</v>
      </c>
    </row>
    <row r="1218" spans="2:2" ht="15.6">
      <c r="B1218" s="171">
        <v>-1544.1116975940095</v>
      </c>
    </row>
    <row r="1219" spans="2:2" ht="15.6">
      <c r="B1219" s="171">
        <v>-1547.2424376051531</v>
      </c>
    </row>
    <row r="1220" spans="2:2" ht="15.6">
      <c r="B1220" s="171">
        <v>-1503.4325936702007</v>
      </c>
    </row>
    <row r="1221" spans="2:2" ht="15.6">
      <c r="B1221" s="171">
        <v>-1376.9870095059352</v>
      </c>
    </row>
    <row r="1222" spans="2:2" ht="15.6">
      <c r="B1222" s="171">
        <v>-1554.4463297034858</v>
      </c>
    </row>
    <row r="1223" spans="2:2" ht="15.6">
      <c r="B1223" s="171">
        <v>-977.50837016530443</v>
      </c>
    </row>
    <row r="1224" spans="2:2" ht="15.6">
      <c r="B1224" s="171">
        <v>-1151.0163918130402</v>
      </c>
    </row>
    <row r="1225" spans="2:2" ht="15.6">
      <c r="B1225" s="171">
        <v>-1354.9102383046013</v>
      </c>
    </row>
    <row r="1226" spans="2:2" ht="15.6">
      <c r="B1226" s="171">
        <v>-1943.8417002169078</v>
      </c>
    </row>
    <row r="1227" spans="2:2" ht="15.6">
      <c r="B1227" s="171">
        <v>-1204.6564749284091</v>
      </c>
    </row>
    <row r="1228" spans="2:2" ht="15.6">
      <c r="B1228" s="171">
        <v>-2631.070959801174</v>
      </c>
    </row>
    <row r="1229" spans="2:2" ht="15.6">
      <c r="B1229" s="171">
        <v>-1764.3950278803736</v>
      </c>
    </row>
    <row r="1230" spans="2:2" ht="15.6">
      <c r="B1230" s="171">
        <v>-1390.1222245300119</v>
      </c>
    </row>
    <row r="1231" spans="2:2" ht="15.6">
      <c r="B1231" s="171">
        <v>-1672.5375628095062</v>
      </c>
    </row>
    <row r="1232" spans="2:2" ht="15.6">
      <c r="B1232" s="171">
        <v>-2057.1472087467341</v>
      </c>
    </row>
    <row r="1233" spans="2:2" ht="15.6">
      <c r="B1233" s="171">
        <v>-1870.4798316626052</v>
      </c>
    </row>
    <row r="1234" spans="2:2" ht="15.6">
      <c r="B1234" s="171">
        <v>-1762.5570288582453</v>
      </c>
    </row>
    <row r="1235" spans="2:2" ht="15.6">
      <c r="B1235" s="171">
        <v>-1746.6897979017308</v>
      </c>
    </row>
    <row r="1236" spans="2:2" ht="15.6">
      <c r="B1236" s="171">
        <v>-1063.398736195556</v>
      </c>
    </row>
    <row r="1237" spans="2:2" ht="15.6">
      <c r="B1237" s="171">
        <v>-2149.7253624395971</v>
      </c>
    </row>
    <row r="1238" spans="2:2" ht="15.6">
      <c r="B1238" s="171">
        <v>-1870.6397576571817</v>
      </c>
    </row>
    <row r="1239" spans="2:2" ht="15.6">
      <c r="B1239" s="171">
        <v>-1414.6609865135345</v>
      </c>
    </row>
    <row r="1240" spans="2:2" ht="15.6">
      <c r="B1240" s="171">
        <v>-985.37369846586682</v>
      </c>
    </row>
    <row r="1241" spans="2:2" ht="15.6">
      <c r="B1241" s="171">
        <v>-1288.1171948117562</v>
      </c>
    </row>
    <row r="1242" spans="2:2" ht="15.6">
      <c r="B1242" s="171">
        <v>-2243.0916605859361</v>
      </c>
    </row>
    <row r="1243" spans="2:2" ht="15.6">
      <c r="B1243" s="171">
        <v>-1324.1869635499806</v>
      </c>
    </row>
    <row r="1244" spans="2:2" ht="15.6">
      <c r="B1244" s="171">
        <v>-1813.4646817581179</v>
      </c>
    </row>
    <row r="1245" spans="2:2" ht="15.6">
      <c r="B1245" s="171">
        <v>-1441.2636909437533</v>
      </c>
    </row>
    <row r="1246" spans="2:2" ht="15.6">
      <c r="B1246" s="171">
        <v>-1838.7615922013117</v>
      </c>
    </row>
    <row r="1247" spans="2:2" ht="15.6">
      <c r="B1247" s="171">
        <v>-1907.3462957781885</v>
      </c>
    </row>
    <row r="1248" spans="2:2" ht="15.6">
      <c r="B1248" s="171">
        <v>-1454.1598828516974</v>
      </c>
    </row>
    <row r="1249" spans="2:2" ht="15.6">
      <c r="B1249" s="171">
        <v>-1214.3387819506252</v>
      </c>
    </row>
    <row r="1250" spans="2:2" ht="15.6">
      <c r="B1250" s="171">
        <v>-1372.0302897332701</v>
      </c>
    </row>
    <row r="1251" spans="2:2" ht="15.6">
      <c r="B1251" s="171">
        <v>-1612.7565131411504</v>
      </c>
    </row>
    <row r="1252" spans="2:2" ht="15.6">
      <c r="B1252" s="171">
        <v>-1677.9693150345788</v>
      </c>
    </row>
    <row r="1253" spans="2:2" ht="15.6">
      <c r="B1253" s="171">
        <v>-1338.0749238464098</v>
      </c>
    </row>
    <row r="1254" spans="2:2" ht="15.6">
      <c r="B1254" s="171">
        <v>-1325.7864931087429</v>
      </c>
    </row>
    <row r="1255" spans="2:2" ht="15.6">
      <c r="B1255" s="171">
        <v>-1280.8396905392856</v>
      </c>
    </row>
    <row r="1256" spans="2:2" ht="15.6">
      <c r="B1256" s="171">
        <v>-1802.1305945913273</v>
      </c>
    </row>
    <row r="1257" spans="2:2" ht="15.6">
      <c r="B1257" s="171">
        <v>-1934.9893076851188</v>
      </c>
    </row>
    <row r="1258" spans="2:2" ht="15.6">
      <c r="B1258" s="171">
        <v>-1860.2257283386994</v>
      </c>
    </row>
    <row r="1259" spans="2:2" ht="15.6">
      <c r="B1259" s="171">
        <v>-1541.850120868987</v>
      </c>
    </row>
    <row r="1260" spans="2:2" ht="15.6">
      <c r="B1260" s="171">
        <v>-1385.8648798840929</v>
      </c>
    </row>
    <row r="1261" spans="2:2" ht="15.6">
      <c r="B1261" s="171">
        <v>-1922.899030193365</v>
      </c>
    </row>
    <row r="1262" spans="2:2" ht="15.6">
      <c r="B1262" s="171">
        <v>-1037.7430699563502</v>
      </c>
    </row>
    <row r="1263" spans="2:2" ht="15.6">
      <c r="B1263" s="171">
        <v>-1029.3614133891513</v>
      </c>
    </row>
    <row r="1264" spans="2:2" ht="15.6">
      <c r="B1264" s="171">
        <v>-1361.8914461067784</v>
      </c>
    </row>
    <row r="1265" spans="2:2" ht="15.6">
      <c r="B1265" s="171">
        <v>-1472.7998028545398</v>
      </c>
    </row>
    <row r="1266" spans="2:2" ht="15.6">
      <c r="B1266" s="171">
        <v>-2709.5030869478205</v>
      </c>
    </row>
    <row r="1267" spans="2:2" ht="15.6">
      <c r="B1267" s="171">
        <v>-1628.5242226325915</v>
      </c>
    </row>
    <row r="1268" spans="2:2" ht="15.6">
      <c r="B1268" s="171">
        <v>-1724.5628736583296</v>
      </c>
    </row>
    <row r="1269" spans="2:2" ht="15.6">
      <c r="B1269" s="171">
        <v>-1419.7657924729301</v>
      </c>
    </row>
    <row r="1270" spans="2:2" ht="15.6">
      <c r="B1270" s="171">
        <v>-2436.6490583657132</v>
      </c>
    </row>
    <row r="1271" spans="2:2" ht="15.6">
      <c r="B1271" s="171">
        <v>-1264.4467783780376</v>
      </c>
    </row>
    <row r="1272" spans="2:2" ht="15.6">
      <c r="B1272" s="171">
        <v>-1614.1672188041616</v>
      </c>
    </row>
    <row r="1273" spans="2:2" ht="15.6">
      <c r="B1273" s="171">
        <v>-1619.1434740180539</v>
      </c>
    </row>
    <row r="1274" spans="2:2" ht="15.6">
      <c r="B1274" s="171">
        <v>-2161.9514278402312</v>
      </c>
    </row>
    <row r="1275" spans="2:2" ht="15.6">
      <c r="B1275" s="171">
        <v>-2122.2912240615046</v>
      </c>
    </row>
    <row r="1276" spans="2:2" ht="15.6">
      <c r="B1276" s="171">
        <v>-1666.4943509561078</v>
      </c>
    </row>
    <row r="1277" spans="2:2" ht="15.6">
      <c r="B1277" s="171">
        <v>-588.55060341205649</v>
      </c>
    </row>
    <row r="1278" spans="2:2" ht="15.6">
      <c r="B1278" s="171">
        <v>-1730.565059191714</v>
      </c>
    </row>
    <row r="1279" spans="2:2" ht="15.6">
      <c r="B1279" s="171">
        <v>-1503.0565597229988</v>
      </c>
    </row>
    <row r="1280" spans="2:2" ht="15.6">
      <c r="B1280" s="171">
        <v>-1441.0114251251516</v>
      </c>
    </row>
    <row r="1281" spans="2:2" ht="15.6">
      <c r="B1281" s="171">
        <v>-1397.5207237803302</v>
      </c>
    </row>
    <row r="1282" spans="2:2" ht="15.6">
      <c r="B1282" s="171">
        <v>-1425.7024152617223</v>
      </c>
    </row>
    <row r="1283" spans="2:2" ht="15.6">
      <c r="B1283" s="171">
        <v>-1051.0899799329163</v>
      </c>
    </row>
    <row r="1284" spans="2:2" ht="15.6">
      <c r="B1284" s="171">
        <v>-1420.8108477208739</v>
      </c>
    </row>
    <row r="1285" spans="2:2" ht="15.6">
      <c r="B1285" s="171">
        <v>-2232.2603577323098</v>
      </c>
    </row>
    <row r="1286" spans="2:2" ht="15.6">
      <c r="B1286" s="171">
        <v>-1076.5820289093415</v>
      </c>
    </row>
    <row r="1287" spans="2:2" ht="15.6">
      <c r="B1287" s="171">
        <v>-989.54871904707159</v>
      </c>
    </row>
    <row r="1288" spans="2:2" ht="15.6">
      <c r="B1288" s="171">
        <v>-1593.6906236907362</v>
      </c>
    </row>
    <row r="1289" spans="2:2" ht="15.6">
      <c r="B1289" s="171">
        <v>-1558.4991423563174</v>
      </c>
    </row>
    <row r="1290" spans="2:2" ht="15.6">
      <c r="B1290" s="171">
        <v>-2022.2625343584282</v>
      </c>
    </row>
    <row r="1291" spans="2:2" ht="15.6">
      <c r="B1291" s="171">
        <v>-1736.606255465178</v>
      </c>
    </row>
    <row r="1292" spans="2:2" ht="15.6">
      <c r="B1292" s="171">
        <v>-922.39383101108422</v>
      </c>
    </row>
    <row r="1293" spans="2:2" ht="15.6">
      <c r="B1293" s="171">
        <v>-2040.6078847978069</v>
      </c>
    </row>
    <row r="1294" spans="2:2" ht="15.6">
      <c r="B1294" s="171">
        <v>-1677.4047234296625</v>
      </c>
    </row>
    <row r="1295" spans="2:2" ht="15.6">
      <c r="B1295" s="171">
        <v>-1440.9640734356683</v>
      </c>
    </row>
    <row r="1296" spans="2:2" ht="15.6">
      <c r="B1296" s="171">
        <v>-1120.008730112394</v>
      </c>
    </row>
    <row r="1297" spans="2:2" ht="15.6">
      <c r="B1297" s="171">
        <v>-1533.6248059972615</v>
      </c>
    </row>
    <row r="1298" spans="2:2" ht="15.6">
      <c r="B1298" s="171">
        <v>-1241.8212294502168</v>
      </c>
    </row>
    <row r="1299" spans="2:2" ht="15.6">
      <c r="B1299" s="171">
        <v>-2234.0879328186975</v>
      </c>
    </row>
    <row r="1300" spans="2:2" ht="15.6">
      <c r="B1300" s="171">
        <v>-1590.4995170668692</v>
      </c>
    </row>
    <row r="1301" spans="2:2" ht="15.6">
      <c r="B1301" s="171">
        <v>-1694.3821788742591</v>
      </c>
    </row>
    <row r="1302" spans="2:2" ht="15.6">
      <c r="B1302" s="171">
        <v>-2250.990845014197</v>
      </c>
    </row>
    <row r="1303" spans="2:2" ht="15.6">
      <c r="B1303" s="171">
        <v>-1622.9969443610121</v>
      </c>
    </row>
    <row r="1304" spans="2:2" ht="15.6">
      <c r="B1304" s="171">
        <v>-1096.4934676653979</v>
      </c>
    </row>
    <row r="1305" spans="2:2" ht="15.6">
      <c r="B1305" s="171">
        <v>-1698.8411108671812</v>
      </c>
    </row>
    <row r="1306" spans="2:2" ht="15.6">
      <c r="B1306" s="171">
        <v>-1255.7625106092828</v>
      </c>
    </row>
    <row r="1307" spans="2:2" ht="15.6">
      <c r="B1307" s="171">
        <v>-2088.2940647565447</v>
      </c>
    </row>
    <row r="1308" spans="2:2" ht="15.6">
      <c r="B1308" s="171">
        <v>-2098.8727147431728</v>
      </c>
    </row>
    <row r="1309" spans="2:2" ht="15.6">
      <c r="B1309" s="171">
        <v>-1247.5789986044274</v>
      </c>
    </row>
    <row r="1310" spans="2:2" ht="15.6">
      <c r="B1310" s="171">
        <v>-959.76573228588404</v>
      </c>
    </row>
    <row r="1311" spans="2:2" ht="15.6">
      <c r="B1311" s="171">
        <v>-1116.1141031942057</v>
      </c>
    </row>
    <row r="1312" spans="2:2" ht="15.6">
      <c r="B1312" s="171">
        <v>-1123.1315861829814</v>
      </c>
    </row>
    <row r="1313" spans="2:2" ht="15.6">
      <c r="B1313" s="171">
        <v>-2669.8766952499204</v>
      </c>
    </row>
    <row r="1314" spans="2:2" ht="15.6">
      <c r="B1314" s="171">
        <v>-1616.7014696382164</v>
      </c>
    </row>
    <row r="1315" spans="2:2" ht="15.6">
      <c r="B1315" s="171">
        <v>-1813.1423167559885</v>
      </c>
    </row>
    <row r="1316" spans="2:2" ht="15.6">
      <c r="B1316" s="171">
        <v>-1256.623408829153</v>
      </c>
    </row>
    <row r="1317" spans="2:2" ht="15.6">
      <c r="B1317" s="171">
        <v>-1464.3423425974095</v>
      </c>
    </row>
    <row r="1318" spans="2:2" ht="15.6">
      <c r="B1318" s="171">
        <v>-1791.0717505405271</v>
      </c>
    </row>
    <row r="1319" spans="2:2" ht="15.6">
      <c r="B1319" s="171">
        <v>-1561.7253452028931</v>
      </c>
    </row>
    <row r="1320" spans="2:2" ht="15.6">
      <c r="B1320" s="171">
        <v>-1363.8201518487108</v>
      </c>
    </row>
    <row r="1321" spans="2:2" ht="15.6">
      <c r="B1321" s="171">
        <v>-1427.6884976426563</v>
      </c>
    </row>
    <row r="1322" spans="2:2" ht="15.6">
      <c r="B1322" s="171">
        <v>-2447.4769103456983</v>
      </c>
    </row>
    <row r="1323" spans="2:2" ht="15.6">
      <c r="B1323" s="171">
        <v>-903.36823101210007</v>
      </c>
    </row>
    <row r="1324" spans="2:2" ht="15.6">
      <c r="B1324" s="171">
        <v>-1394.3544559499601</v>
      </c>
    </row>
    <row r="1325" spans="2:2" ht="15.6">
      <c r="B1325" s="171">
        <v>-1542.5183966523932</v>
      </c>
    </row>
    <row r="1326" spans="2:2" ht="15.6">
      <c r="B1326" s="171">
        <v>-1160.4265325880558</v>
      </c>
    </row>
    <row r="1327" spans="2:2" ht="15.6">
      <c r="B1327" s="171">
        <v>-1524.8039299593074</v>
      </c>
    </row>
    <row r="1328" spans="2:2" ht="15.6">
      <c r="B1328" s="171">
        <v>-2499.5701338067065</v>
      </c>
    </row>
    <row r="1329" spans="2:2" ht="15.6">
      <c r="B1329" s="171">
        <v>-990.5682716564113</v>
      </c>
    </row>
    <row r="1330" spans="2:2" ht="15.6">
      <c r="B1330" s="171">
        <v>-1396.971473843792</v>
      </c>
    </row>
    <row r="1331" spans="2:2" ht="15.6">
      <c r="B1331" s="171">
        <v>-1476.218976602172</v>
      </c>
    </row>
    <row r="1332" spans="2:2" ht="15.6">
      <c r="B1332" s="171">
        <v>-1329.3321887668646</v>
      </c>
    </row>
    <row r="1333" spans="2:2" ht="15.6">
      <c r="B1333" s="171">
        <v>-1942.363635490103</v>
      </c>
    </row>
    <row r="1334" spans="2:2" ht="15.6">
      <c r="B1334" s="171">
        <v>-1321.681319201427</v>
      </c>
    </row>
    <row r="1335" spans="2:2" ht="15.6">
      <c r="B1335" s="171">
        <v>-1757.0067099070432</v>
      </c>
    </row>
    <row r="1336" spans="2:2" ht="15.6">
      <c r="B1336" s="171">
        <v>-1204.6686364916436</v>
      </c>
    </row>
    <row r="1337" spans="2:2" ht="15.6">
      <c r="B1337" s="171">
        <v>-1802.0549272663472</v>
      </c>
    </row>
    <row r="1338" spans="2:2" ht="15.6">
      <c r="B1338" s="171">
        <v>-1433.7429160764477</v>
      </c>
    </row>
    <row r="1339" spans="2:2" ht="15.6">
      <c r="B1339" s="171">
        <v>-1277.9323880284928</v>
      </c>
    </row>
    <row r="1340" spans="2:2" ht="15.6">
      <c r="B1340" s="171">
        <v>-1669.8954068081748</v>
      </c>
    </row>
    <row r="1341" spans="2:2" ht="15.6">
      <c r="B1341" s="171">
        <v>-1764.4327714445621</v>
      </c>
    </row>
    <row r="1342" spans="2:2" ht="15.6">
      <c r="B1342" s="171">
        <v>-1728.0599405235237</v>
      </c>
    </row>
    <row r="1343" spans="2:2" ht="15.6">
      <c r="B1343" s="171">
        <v>-1894.5424171901373</v>
      </c>
    </row>
    <row r="1344" spans="2:2" ht="15.6">
      <c r="B1344" s="171">
        <v>-1042.2667184250965</v>
      </c>
    </row>
    <row r="1345" spans="2:2" ht="15.6">
      <c r="B1345" s="171">
        <v>-1796.3797417009059</v>
      </c>
    </row>
    <row r="1346" spans="2:2" ht="15.6">
      <c r="B1346" s="171">
        <v>-1588.5217538364163</v>
      </c>
    </row>
    <row r="1347" spans="2:2" ht="15.6">
      <c r="B1347" s="171">
        <v>-1998.0494763451575</v>
      </c>
    </row>
    <row r="1348" spans="2:2" ht="15.6">
      <c r="B1348" s="171">
        <v>-1405.5660435951004</v>
      </c>
    </row>
    <row r="1349" spans="2:2" ht="15.6">
      <c r="B1349" s="171">
        <v>-1723.4438917971045</v>
      </c>
    </row>
    <row r="1350" spans="2:2" ht="15.6">
      <c r="B1350" s="171">
        <v>-1567.0931610615801</v>
      </c>
    </row>
    <row r="1351" spans="2:2" ht="15.6">
      <c r="B1351" s="171">
        <v>-2035.7636548782725</v>
      </c>
    </row>
    <row r="1352" spans="2:2" ht="15.6">
      <c r="B1352" s="171">
        <v>-2016.1299150809587</v>
      </c>
    </row>
    <row r="1353" spans="2:2" ht="15.6">
      <c r="B1353" s="171">
        <v>-1431.5973243238122</v>
      </c>
    </row>
    <row r="1354" spans="2:2" ht="15.6">
      <c r="B1354" s="171">
        <v>-1515.567515998348</v>
      </c>
    </row>
    <row r="1355" spans="2:2" ht="15.6">
      <c r="B1355" s="171">
        <v>-1511.4844318493324</v>
      </c>
    </row>
    <row r="1356" spans="2:2" ht="15.6">
      <c r="B1356" s="171">
        <v>-2336.1693178560363</v>
      </c>
    </row>
    <row r="1357" spans="2:2" ht="15.6">
      <c r="B1357" s="171">
        <v>-1525.792032807866</v>
      </c>
    </row>
    <row r="1358" spans="2:2" ht="15.6">
      <c r="B1358" s="171">
        <v>-2273.9166855327098</v>
      </c>
    </row>
    <row r="1359" spans="2:2" ht="15.6">
      <c r="B1359" s="171">
        <v>-1657.7578472832697</v>
      </c>
    </row>
    <row r="1360" spans="2:2" ht="15.6">
      <c r="B1360" s="171">
        <v>-1429.063448081765</v>
      </c>
    </row>
    <row r="1361" spans="2:2" ht="15.6">
      <c r="B1361" s="171">
        <v>-1996.1308252098215</v>
      </c>
    </row>
    <row r="1362" spans="2:2" ht="15.6">
      <c r="B1362" s="171">
        <v>-2308.4760875319353</v>
      </c>
    </row>
    <row r="1363" spans="2:2" ht="15.6">
      <c r="B1363" s="171">
        <v>-1068.6639005572006</v>
      </c>
    </row>
    <row r="1364" spans="2:2" ht="15.6">
      <c r="B1364" s="171">
        <v>-1600.7396646273953</v>
      </c>
    </row>
    <row r="1365" spans="2:2" ht="15.6">
      <c r="B1365" s="171">
        <v>-979.68380883002453</v>
      </c>
    </row>
    <row r="1366" spans="2:2" ht="15.6">
      <c r="B1366" s="171">
        <v>-1220.0405871316082</v>
      </c>
    </row>
    <row r="1367" spans="2:2" ht="15.6">
      <c r="B1367" s="171">
        <v>-2146.5360196831753</v>
      </c>
    </row>
    <row r="1368" spans="2:2" ht="15.6">
      <c r="B1368" s="171">
        <v>-1256.1859040893503</v>
      </c>
    </row>
    <row r="1369" spans="2:2" ht="15.6">
      <c r="B1369" s="171">
        <v>-1618.731407024196</v>
      </c>
    </row>
    <row r="1370" spans="2:2" ht="15.6">
      <c r="B1370" s="171">
        <v>-2229.8011916651412</v>
      </c>
    </row>
    <row r="1371" spans="2:2" ht="15.6">
      <c r="B1371" s="171">
        <v>-1291.0490456451573</v>
      </c>
    </row>
    <row r="1372" spans="2:2" ht="15.6">
      <c r="B1372" s="171">
        <v>-1642.4864540977962</v>
      </c>
    </row>
    <row r="1373" spans="2:2" ht="15.6">
      <c r="B1373" s="171">
        <v>-2129.5307591661021</v>
      </c>
    </row>
    <row r="1374" spans="2:2" ht="15.6">
      <c r="B1374" s="171">
        <v>-1338.400373844587</v>
      </c>
    </row>
    <row r="1375" spans="2:2" ht="15.6">
      <c r="B1375" s="171">
        <v>-1558.0198057918076</v>
      </c>
    </row>
    <row r="1376" spans="2:2" ht="15.6">
      <c r="B1376" s="171">
        <v>-1759.9619124345445</v>
      </c>
    </row>
    <row r="1377" spans="2:2" ht="15.6">
      <c r="B1377" s="171">
        <v>-1503.5374840385066</v>
      </c>
    </row>
    <row r="1378" spans="2:2" ht="15.6">
      <c r="B1378" s="171">
        <v>-1946.5049856474366</v>
      </c>
    </row>
    <row r="1379" spans="2:2" ht="15.6">
      <c r="B1379" s="171">
        <v>-850.42877345022464</v>
      </c>
    </row>
    <row r="1380" spans="2:2" ht="15.6">
      <c r="B1380" s="171">
        <v>-2113.1850986109903</v>
      </c>
    </row>
    <row r="1381" spans="2:2" ht="15.6">
      <c r="B1381" s="171">
        <v>-1784.1633225369887</v>
      </c>
    </row>
    <row r="1382" spans="2:2" ht="15.6">
      <c r="B1382" s="171">
        <v>-765.16967951886625</v>
      </c>
    </row>
    <row r="1383" spans="2:2" ht="15.6">
      <c r="B1383" s="171">
        <v>-2077.0818542965376</v>
      </c>
    </row>
    <row r="1384" spans="2:2" ht="15.6">
      <c r="B1384" s="171">
        <v>-1695.1477904048643</v>
      </c>
    </row>
    <row r="1385" spans="2:2" ht="15.6">
      <c r="B1385" s="171">
        <v>-2108.8749972216037</v>
      </c>
    </row>
    <row r="1386" spans="2:2" ht="15.6">
      <c r="B1386" s="171">
        <v>-1279.2656572708547</v>
      </c>
    </row>
    <row r="1387" spans="2:2" ht="15.6">
      <c r="B1387" s="171">
        <v>-1293.7725132003118</v>
      </c>
    </row>
    <row r="1388" spans="2:2" ht="15.6">
      <c r="B1388" s="171">
        <v>-793.84427366845034</v>
      </c>
    </row>
    <row r="1389" spans="2:2" ht="15.6">
      <c r="B1389" s="171">
        <v>-2122.9338369120387</v>
      </c>
    </row>
    <row r="1390" spans="2:2" ht="15.6">
      <c r="B1390" s="171">
        <v>-1140.581786357154</v>
      </c>
    </row>
    <row r="1391" spans="2:2" ht="15.6">
      <c r="B1391" s="171">
        <v>-1833.1996725941021</v>
      </c>
    </row>
    <row r="1392" spans="2:2" ht="15.6">
      <c r="B1392" s="171">
        <v>-1192.581613263661</v>
      </c>
    </row>
    <row r="1393" spans="2:2" ht="15.6">
      <c r="B1393" s="171">
        <v>-1617.9849303504056</v>
      </c>
    </row>
    <row r="1394" spans="2:2" ht="15.6">
      <c r="B1394" s="171">
        <v>-1345.6802770503041</v>
      </c>
    </row>
    <row r="1395" spans="2:2" ht="15.6">
      <c r="B1395" s="171">
        <v>-1112.5266311691039</v>
      </c>
    </row>
    <row r="1396" spans="2:2" ht="15.6">
      <c r="B1396" s="171">
        <v>-2448.3037693061997</v>
      </c>
    </row>
    <row r="1397" spans="2:2" ht="15.6">
      <c r="B1397" s="171">
        <v>-2031.6109290503096</v>
      </c>
    </row>
    <row r="1398" spans="2:2" ht="15.6">
      <c r="B1398" s="171">
        <v>-2086.3766144411888</v>
      </c>
    </row>
    <row r="1399" spans="2:2" ht="15.6">
      <c r="B1399" s="171">
        <v>-1400.4290775892789</v>
      </c>
    </row>
    <row r="1400" spans="2:2" ht="15.6">
      <c r="B1400" s="171">
        <v>-1401.4605832022855</v>
      </c>
    </row>
    <row r="1401" spans="2:2" ht="15.6">
      <c r="B1401" s="171">
        <v>-1258.4014886742625</v>
      </c>
    </row>
    <row r="1402" spans="2:2" ht="15.6">
      <c r="B1402" s="171">
        <v>-1264.9234193263042</v>
      </c>
    </row>
    <row r="1403" spans="2:2" ht="15.6">
      <c r="B1403" s="171">
        <v>-2294.7185844922069</v>
      </c>
    </row>
    <row r="1404" spans="2:2" ht="15.6">
      <c r="B1404" s="171">
        <v>-1829.9344745306162</v>
      </c>
    </row>
    <row r="1405" spans="2:2" ht="15.6">
      <c r="B1405" s="171">
        <v>-696.04560843901425</v>
      </c>
    </row>
    <row r="1406" spans="2:2" ht="15.6">
      <c r="B1406" s="171">
        <v>-1021.3859848070299</v>
      </c>
    </row>
    <row r="1407" spans="2:2" ht="15.6">
      <c r="B1407" s="171">
        <v>-2536.4288131192352</v>
      </c>
    </row>
    <row r="1408" spans="2:2" ht="15.6">
      <c r="B1408" s="171">
        <v>-1518.2700242377859</v>
      </c>
    </row>
    <row r="1409" spans="2:2" ht="15.6">
      <c r="B1409" s="171">
        <v>-2502.8568840469361</v>
      </c>
    </row>
    <row r="1410" spans="2:2" ht="15.6">
      <c r="B1410" s="171">
        <v>-1285.0127293615092</v>
      </c>
    </row>
    <row r="1411" spans="2:2" ht="15.6">
      <c r="B1411" s="171">
        <v>-1746.8932804895192</v>
      </c>
    </row>
    <row r="1412" spans="2:2" ht="15.6">
      <c r="B1412" s="171">
        <v>-945.21473329485286</v>
      </c>
    </row>
    <row r="1413" spans="2:2" ht="15.6">
      <c r="B1413" s="171">
        <v>-2287.5486354750979</v>
      </c>
    </row>
    <row r="1414" spans="2:2" ht="15.6">
      <c r="B1414" s="171">
        <v>-2333.3777773630618</v>
      </c>
    </row>
    <row r="1415" spans="2:2" ht="15.6">
      <c r="B1415" s="171">
        <v>-1512.2835447994316</v>
      </c>
    </row>
    <row r="1416" spans="2:2" ht="15.6">
      <c r="B1416" s="171">
        <v>-1607.9907155412338</v>
      </c>
    </row>
    <row r="1417" spans="2:2" ht="15.6">
      <c r="B1417" s="171">
        <v>-1807.0321745410008</v>
      </c>
    </row>
    <row r="1418" spans="2:2" ht="15.6">
      <c r="B1418" s="171">
        <v>-1279.9707246376822</v>
      </c>
    </row>
    <row r="1419" spans="2:2" ht="15.6">
      <c r="B1419" s="171">
        <v>-1955.0632685948292</v>
      </c>
    </row>
    <row r="1420" spans="2:2" ht="15.6">
      <c r="B1420" s="171">
        <v>-1690.7590139201257</v>
      </c>
    </row>
    <row r="1421" spans="2:2" ht="15.6">
      <c r="B1421" s="171">
        <v>-981.61259623884825</v>
      </c>
    </row>
    <row r="1422" spans="2:2" ht="15.6">
      <c r="B1422" s="171">
        <v>-2031.5894771869525</v>
      </c>
    </row>
    <row r="1423" spans="2:2" ht="15.6">
      <c r="B1423" s="171">
        <v>-1272.0196595823952</v>
      </c>
    </row>
    <row r="1424" spans="2:2" ht="15.6">
      <c r="B1424" s="171">
        <v>-1768.8597617332034</v>
      </c>
    </row>
    <row r="1425" spans="2:2" ht="15.6">
      <c r="B1425" s="171">
        <v>-1666.9222194887786</v>
      </c>
    </row>
    <row r="1426" spans="2:2" ht="15.6">
      <c r="B1426" s="171">
        <v>-1238.1509297643229</v>
      </c>
    </row>
    <row r="1427" spans="2:2" ht="15.6">
      <c r="B1427" s="171">
        <v>-1762.3530056664342</v>
      </c>
    </row>
    <row r="1428" spans="2:2" ht="15.6">
      <c r="B1428" s="171">
        <v>-1904.6859967250039</v>
      </c>
    </row>
    <row r="1429" spans="2:2" ht="15.6">
      <c r="B1429" s="171">
        <v>-1634.5791889562634</v>
      </c>
    </row>
    <row r="1430" spans="2:2" ht="15.6">
      <c r="B1430" s="171">
        <v>-2788.1879419841434</v>
      </c>
    </row>
    <row r="1431" spans="2:2" ht="15.6">
      <c r="B1431" s="171">
        <v>-1982.9019057771106</v>
      </c>
    </row>
    <row r="1432" spans="2:2" ht="15.6">
      <c r="B1432" s="171">
        <v>-1163.4475738681463</v>
      </c>
    </row>
    <row r="1433" spans="2:2" ht="15.6">
      <c r="B1433" s="171">
        <v>-1369.0248590236013</v>
      </c>
    </row>
    <row r="1434" spans="2:2" ht="15.6">
      <c r="B1434" s="171">
        <v>-2154.5686560309618</v>
      </c>
    </row>
    <row r="1435" spans="2:2" ht="15.6">
      <c r="B1435" s="171">
        <v>-1141.9599523251018</v>
      </c>
    </row>
    <row r="1436" spans="2:2" ht="15.6">
      <c r="B1436" s="171">
        <v>-1346.5821221055953</v>
      </c>
    </row>
    <row r="1437" spans="2:2" ht="15.6">
      <c r="B1437" s="171">
        <v>-1806.4779098764168</v>
      </c>
    </row>
    <row r="1438" spans="2:2" ht="15.6">
      <c r="B1438" s="171">
        <v>-1146.7762404210775</v>
      </c>
    </row>
    <row r="1439" spans="2:2" ht="15.6">
      <c r="B1439" s="171">
        <v>-3269.5300893623671</v>
      </c>
    </row>
    <row r="1440" spans="2:2" ht="15.6">
      <c r="B1440" s="171">
        <v>-1367.3893161891804</v>
      </c>
    </row>
    <row r="1441" spans="2:2" ht="15.6">
      <c r="B1441" s="171">
        <v>-1807.3486358817781</v>
      </c>
    </row>
    <row r="1442" spans="2:2" ht="15.6">
      <c r="B1442" s="171">
        <v>-1089.8049977580081</v>
      </c>
    </row>
    <row r="1443" spans="2:2" ht="15.6">
      <c r="B1443" s="171">
        <v>-1825.9180602242104</v>
      </c>
    </row>
    <row r="1444" spans="2:2" ht="15.6">
      <c r="B1444" s="171">
        <v>-1423.5988392333495</v>
      </c>
    </row>
    <row r="1445" spans="2:2" ht="15.6">
      <c r="B1445" s="171">
        <v>-1116.0642369807783</v>
      </c>
    </row>
    <row r="1446" spans="2:2" ht="15.6">
      <c r="B1446" s="171">
        <v>-1139.7537647927015</v>
      </c>
    </row>
    <row r="1447" spans="2:2" ht="15.6">
      <c r="B1447" s="171">
        <v>-2079.58182133012</v>
      </c>
    </row>
    <row r="1448" spans="2:2" ht="15.6">
      <c r="B1448" s="171">
        <v>-1932.6714835477283</v>
      </c>
    </row>
    <row r="1449" spans="2:2" ht="15.6">
      <c r="B1449" s="171">
        <v>-1270.416442459247</v>
      </c>
    </row>
    <row r="1450" spans="2:2" ht="15.6">
      <c r="B1450" s="171">
        <v>-2456.0863142269068</v>
      </c>
    </row>
    <row r="1451" spans="2:2" ht="15.6">
      <c r="B1451" s="171">
        <v>-1740.3020079640542</v>
      </c>
    </row>
    <row r="1452" spans="2:2" ht="15.6">
      <c r="B1452" s="171">
        <v>-1160.9606790477144</v>
      </c>
    </row>
    <row r="1453" spans="2:2" ht="15.6">
      <c r="B1453" s="171">
        <v>-1554.6781222368563</v>
      </c>
    </row>
    <row r="1454" spans="2:2" ht="15.6">
      <c r="B1454" s="171">
        <v>-2173.1053486585138</v>
      </c>
    </row>
    <row r="1455" spans="2:2" ht="15.6">
      <c r="B1455" s="171">
        <v>-1260.0203855189329</v>
      </c>
    </row>
    <row r="1456" spans="2:2" ht="15.6">
      <c r="B1456" s="171">
        <v>-1448.4189875493944</v>
      </c>
    </row>
    <row r="1457" spans="2:2" ht="15.6">
      <c r="B1457" s="171">
        <v>-1245.0222523160899</v>
      </c>
    </row>
    <row r="1458" spans="2:2" ht="15.6">
      <c r="B1458" s="171">
        <v>-1269.0633347600663</v>
      </c>
    </row>
    <row r="1459" spans="2:2" ht="15.6">
      <c r="B1459" s="171">
        <v>-1718.14593293347</v>
      </c>
    </row>
    <row r="1460" spans="2:2" ht="15.6">
      <c r="B1460" s="171">
        <v>-2411.2849486585978</v>
      </c>
    </row>
    <row r="1461" spans="2:2" ht="15.6">
      <c r="B1461" s="171">
        <v>-1670.1233431988335</v>
      </c>
    </row>
    <row r="1462" spans="2:2" ht="15.6">
      <c r="B1462" s="171">
        <v>-1465.3502453540177</v>
      </c>
    </row>
    <row r="1463" spans="2:2" ht="15.6">
      <c r="B1463" s="171">
        <v>-1437.3370903617326</v>
      </c>
    </row>
    <row r="1464" spans="2:2" ht="15.6">
      <c r="B1464" s="171">
        <v>-1442.1407525935379</v>
      </c>
    </row>
    <row r="1465" spans="2:2" ht="15.6">
      <c r="B1465" s="171">
        <v>-1477.7690186036284</v>
      </c>
    </row>
    <row r="1466" spans="2:2" ht="15.6">
      <c r="B1466" s="171">
        <v>-1269.4062272174892</v>
      </c>
    </row>
    <row r="1467" spans="2:2" ht="15.6">
      <c r="B1467" s="171">
        <v>-1380.2529621198305</v>
      </c>
    </row>
    <row r="1468" spans="2:2" ht="15.6">
      <c r="B1468" s="171">
        <v>-1970.2538820106547</v>
      </c>
    </row>
    <row r="1469" spans="2:2" ht="15.6">
      <c r="B1469" s="171">
        <v>-1312.6786384437276</v>
      </c>
    </row>
    <row r="1470" spans="2:2" ht="15.6">
      <c r="B1470" s="171">
        <v>-1257.3596692731003</v>
      </c>
    </row>
    <row r="1471" spans="2:2" ht="15.6">
      <c r="B1471" s="171">
        <v>-1581.3538978003678</v>
      </c>
    </row>
    <row r="1472" spans="2:2" ht="15.6">
      <c r="B1472" s="171">
        <v>-1298.7742034256462</v>
      </c>
    </row>
    <row r="1473" spans="2:2" ht="15.6">
      <c r="B1473" s="171">
        <v>-1915.5642676578884</v>
      </c>
    </row>
    <row r="1474" spans="2:2" ht="15.6">
      <c r="B1474" s="171">
        <v>-1173.3240782065695</v>
      </c>
    </row>
    <row r="1475" spans="2:2" ht="15.6">
      <c r="B1475" s="171">
        <v>-1659.3033214531749</v>
      </c>
    </row>
    <row r="1476" spans="2:2" ht="15.6">
      <c r="B1476" s="171">
        <v>-1729.3791526386578</v>
      </c>
    </row>
    <row r="1477" spans="2:2" ht="15.6">
      <c r="B1477" s="171">
        <v>-1529.2062734086476</v>
      </c>
    </row>
    <row r="1478" spans="2:2" ht="15.6">
      <c r="B1478" s="171">
        <v>-1553.0090831923321</v>
      </c>
    </row>
    <row r="1479" spans="2:2" ht="15.6">
      <c r="B1479" s="171">
        <v>-1626.8689504412441</v>
      </c>
    </row>
    <row r="1480" spans="2:2" ht="15.6">
      <c r="B1480" s="171">
        <v>-2102.1760301640838</v>
      </c>
    </row>
    <row r="1481" spans="2:2" ht="15.6">
      <c r="B1481" s="171">
        <v>-1291.4907224886015</v>
      </c>
    </row>
    <row r="1482" spans="2:2" ht="15.6">
      <c r="B1482" s="171">
        <v>-1171.5276205108767</v>
      </c>
    </row>
    <row r="1483" spans="2:2" ht="15.6">
      <c r="B1483" s="171">
        <v>-1735.0191224965006</v>
      </c>
    </row>
    <row r="1484" spans="2:2" ht="15.6">
      <c r="B1484" s="171">
        <v>-2256.0140037140509</v>
      </c>
    </row>
    <row r="1485" spans="2:2" ht="15.6">
      <c r="B1485" s="171">
        <v>-1355.6687011715869</v>
      </c>
    </row>
    <row r="1486" spans="2:2" ht="15.6">
      <c r="B1486" s="171">
        <v>-1571.1047555324772</v>
      </c>
    </row>
    <row r="1487" spans="2:2" ht="15.6">
      <c r="B1487" s="171">
        <v>-1607.486233238953</v>
      </c>
    </row>
    <row r="1488" spans="2:2" ht="15.6">
      <c r="B1488" s="171">
        <v>-2023.5293089183363</v>
      </c>
    </row>
    <row r="1489" spans="2:2" ht="15.6">
      <c r="B1489" s="171">
        <v>-1684.2009656292034</v>
      </c>
    </row>
    <row r="1490" spans="2:2" ht="15.6">
      <c r="B1490" s="171">
        <v>-1701.1400997454116</v>
      </c>
    </row>
    <row r="1491" spans="2:2" ht="15.6">
      <c r="B1491" s="171">
        <v>-1074.8858567510663</v>
      </c>
    </row>
    <row r="1492" spans="2:2" ht="15.6">
      <c r="B1492" s="171">
        <v>-2264.9791584279424</v>
      </c>
    </row>
    <row r="1493" spans="2:2" ht="15.6">
      <c r="B1493" s="171">
        <v>-1025.9709959457409</v>
      </c>
    </row>
    <row r="1494" spans="2:2" ht="15.6">
      <c r="B1494" s="171">
        <v>-1435.2149748345091</v>
      </c>
    </row>
    <row r="1495" spans="2:2" ht="15.6">
      <c r="B1495" s="171">
        <v>-1118.8345573767103</v>
      </c>
    </row>
    <row r="1496" spans="2:2" ht="15.6">
      <c r="B1496" s="171">
        <v>-1506.4407948207363</v>
      </c>
    </row>
    <row r="1497" spans="2:2" ht="15.6">
      <c r="B1497" s="171">
        <v>-1641.866893107315</v>
      </c>
    </row>
    <row r="1498" spans="2:2" ht="15.6">
      <c r="B1498" s="171">
        <v>-2193.2727694414448</v>
      </c>
    </row>
    <row r="1499" spans="2:2" ht="15.6">
      <c r="B1499" s="171">
        <v>-1542.5811235978349</v>
      </c>
    </row>
    <row r="1500" spans="2:2" ht="15.6">
      <c r="B1500" s="171">
        <v>-1607.5254159355882</v>
      </c>
    </row>
    <row r="1501" spans="2:2" ht="15.6">
      <c r="B1501" s="171">
        <v>-1519.5005623911211</v>
      </c>
    </row>
    <row r="1502" spans="2:2" ht="15.6">
      <c r="B1502" s="171">
        <v>-2259.1380576841166</v>
      </c>
    </row>
    <row r="1503" spans="2:2" ht="15.6">
      <c r="B1503" s="171">
        <v>-1739.8417820185996</v>
      </c>
    </row>
    <row r="1504" spans="2:2" ht="15.6">
      <c r="B1504" s="171">
        <v>-1212.9857873088617</v>
      </c>
    </row>
    <row r="1505" spans="2:2" ht="15.6">
      <c r="B1505" s="171">
        <v>-1914.9429518447712</v>
      </c>
    </row>
    <row r="1506" spans="2:2" ht="15.6">
      <c r="B1506" s="171">
        <v>-1526.5795303976429</v>
      </c>
    </row>
    <row r="1507" spans="2:2" ht="15.6">
      <c r="B1507" s="171">
        <v>-1476.7983553851632</v>
      </c>
    </row>
    <row r="1508" spans="2:2" ht="15.6">
      <c r="B1508" s="171">
        <v>-1689.0429523027124</v>
      </c>
    </row>
    <row r="1509" spans="2:2" ht="15.6">
      <c r="B1509" s="171">
        <v>-1679.1466371568322</v>
      </c>
    </row>
    <row r="1510" spans="2:2" ht="15.6">
      <c r="B1510" s="171">
        <v>-2250.8884078776396</v>
      </c>
    </row>
    <row r="1511" spans="2:2" ht="15.6">
      <c r="B1511" s="171">
        <v>-1273.0084163717845</v>
      </c>
    </row>
    <row r="1512" spans="2:2" ht="15.6">
      <c r="B1512" s="171">
        <v>-1818.9809318384405</v>
      </c>
    </row>
    <row r="1513" spans="2:2" ht="15.6">
      <c r="B1513" s="171">
        <v>-1618.2531648174559</v>
      </c>
    </row>
    <row r="1514" spans="2:2" ht="15.6">
      <c r="B1514" s="171">
        <v>-1298.8474945285075</v>
      </c>
    </row>
    <row r="1515" spans="2:2" ht="15.6">
      <c r="B1515" s="171">
        <v>-1607.5150056009184</v>
      </c>
    </row>
    <row r="1516" spans="2:2" ht="15.6">
      <c r="B1516" s="171">
        <v>-1326.9556528264006</v>
      </c>
    </row>
    <row r="1517" spans="2:2" ht="15.6">
      <c r="B1517" s="171">
        <v>-1623.2895938776614</v>
      </c>
    </row>
    <row r="1518" spans="2:2" ht="15.6">
      <c r="B1518" s="171">
        <v>-1884.0847726322222</v>
      </c>
    </row>
    <row r="1519" spans="2:2" ht="15.6">
      <c r="B1519" s="171">
        <v>-1760.5883222900447</v>
      </c>
    </row>
    <row r="1520" spans="2:2" ht="15.6">
      <c r="B1520" s="171">
        <v>-1181.1035814089194</v>
      </c>
    </row>
    <row r="1521" spans="2:2" ht="15.6">
      <c r="B1521" s="171">
        <v>-1631.8161099686531</v>
      </c>
    </row>
    <row r="1522" spans="2:2" ht="15.6">
      <c r="B1522" s="171">
        <v>-2103.292504493827</v>
      </c>
    </row>
    <row r="1523" spans="2:2" ht="15.6">
      <c r="B1523" s="171">
        <v>-1371.253975529487</v>
      </c>
    </row>
    <row r="1524" spans="2:2" ht="15.6">
      <c r="B1524" s="171">
        <v>-1556.8030548690313</v>
      </c>
    </row>
    <row r="1525" spans="2:2" ht="15.6">
      <c r="B1525" s="171">
        <v>-1284.9318249099249</v>
      </c>
    </row>
    <row r="1526" spans="2:2" ht="15.6">
      <c r="B1526" s="171">
        <v>-1634.0908834566042</v>
      </c>
    </row>
    <row r="1527" spans="2:2" ht="15.6">
      <c r="B1527" s="171">
        <v>-1591.4181045804385</v>
      </c>
    </row>
    <row r="1528" spans="2:2" ht="15.6">
      <c r="B1528" s="171">
        <v>-1722.6940984817506</v>
      </c>
    </row>
    <row r="1529" spans="2:2" ht="15.6">
      <c r="B1529" s="171">
        <v>-1458.3022314591576</v>
      </c>
    </row>
    <row r="1530" spans="2:2" ht="15.6">
      <c r="B1530" s="171">
        <v>-1714.8790982319774</v>
      </c>
    </row>
    <row r="1531" spans="2:2" ht="15.6">
      <c r="B1531" s="171">
        <v>-1262.5887389496497</v>
      </c>
    </row>
    <row r="1532" spans="2:2" ht="15.6">
      <c r="B1532" s="171">
        <v>-2469.7884222680659</v>
      </c>
    </row>
    <row r="1533" spans="2:2" ht="15.6">
      <c r="B1533" s="171">
        <v>-1395.8657830266147</v>
      </c>
    </row>
    <row r="1534" spans="2:2" ht="15.6">
      <c r="B1534" s="171">
        <v>-1798.2357228439064</v>
      </c>
    </row>
    <row r="1535" spans="2:2" ht="15.6">
      <c r="B1535" s="171">
        <v>-1157.8439867173083</v>
      </c>
    </row>
    <row r="1536" spans="2:2" ht="15.6">
      <c r="B1536" s="171">
        <v>-2136.8594717311294</v>
      </c>
    </row>
    <row r="1537" spans="2:2" ht="15.6">
      <c r="B1537" s="171">
        <v>-1978.1281246645042</v>
      </c>
    </row>
    <row r="1538" spans="2:2" ht="15.6">
      <c r="B1538" s="171">
        <v>-1420.8442505508283</v>
      </c>
    </row>
    <row r="1539" spans="2:2" ht="15.6">
      <c r="B1539" s="171">
        <v>-1359.5112706287248</v>
      </c>
    </row>
    <row r="1540" spans="2:2" ht="15.6">
      <c r="B1540" s="171">
        <v>-2012.0037366884337</v>
      </c>
    </row>
    <row r="1541" spans="2:2" ht="15.6">
      <c r="B1541" s="171">
        <v>-1570.2202065069359</v>
      </c>
    </row>
    <row r="1542" spans="2:2" ht="15.6">
      <c r="B1542" s="171">
        <v>-2307.4525943789195</v>
      </c>
    </row>
    <row r="1543" spans="2:2" ht="15.6">
      <c r="B1543" s="171">
        <v>-2131.9595248763799</v>
      </c>
    </row>
    <row r="1544" spans="2:2" ht="15.6">
      <c r="B1544" s="171">
        <v>-1570.7557590718011</v>
      </c>
    </row>
    <row r="1545" spans="2:2" ht="15.6">
      <c r="B1545" s="171">
        <v>-1529.6314551189607</v>
      </c>
    </row>
    <row r="1546" spans="2:2" ht="15.6">
      <c r="B1546" s="171">
        <v>-1255.5567455287951</v>
      </c>
    </row>
    <row r="1547" spans="2:2" ht="15.6">
      <c r="B1547" s="171">
        <v>-1586.0013362338902</v>
      </c>
    </row>
    <row r="1548" spans="2:2" ht="15.6">
      <c r="B1548" s="171">
        <v>-2041.1842004381945</v>
      </c>
    </row>
    <row r="1549" spans="2:2" ht="15.6">
      <c r="B1549" s="171">
        <v>-1893.2176183210099</v>
      </c>
    </row>
    <row r="1550" spans="2:2" ht="15.6">
      <c r="B1550" s="171">
        <v>-1409.6800570968489</v>
      </c>
    </row>
    <row r="1551" spans="2:2" ht="15.6">
      <c r="B1551" s="171">
        <v>-2719.6677134873562</v>
      </c>
    </row>
    <row r="1552" spans="2:2" ht="15.6">
      <c r="B1552" s="171">
        <v>-1115.9018154328185</v>
      </c>
    </row>
    <row r="1553" spans="2:2" ht="15.6">
      <c r="B1553" s="171">
        <v>-1827.6338113154684</v>
      </c>
    </row>
    <row r="1554" spans="2:2" ht="15.6">
      <c r="B1554" s="171">
        <v>-1353.9327037174512</v>
      </c>
    </row>
    <row r="1555" spans="2:2" ht="15.6">
      <c r="B1555" s="171">
        <v>-3026.1360693354209</v>
      </c>
    </row>
    <row r="1556" spans="2:2" ht="15.6">
      <c r="B1556" s="171">
        <v>-1321.1143111814638</v>
      </c>
    </row>
    <row r="1557" spans="2:2" ht="15.6">
      <c r="B1557" s="171">
        <v>-1664.5115592690829</v>
      </c>
    </row>
    <row r="1558" spans="2:2" ht="15.6">
      <c r="B1558" s="171">
        <v>-1009.5108086189795</v>
      </c>
    </row>
    <row r="1559" spans="2:2" ht="15.6">
      <c r="B1559" s="171">
        <v>-2268.1676500759331</v>
      </c>
    </row>
    <row r="1560" spans="2:2" ht="15.6">
      <c r="B1560" s="171">
        <v>-1949.3864504007643</v>
      </c>
    </row>
    <row r="1561" spans="2:2" ht="15.6">
      <c r="B1561" s="171">
        <v>-1117.0988190576447</v>
      </c>
    </row>
    <row r="1562" spans="2:2" ht="15.6">
      <c r="B1562" s="171">
        <v>-1231.7637503824299</v>
      </c>
    </row>
    <row r="1563" spans="2:2" ht="15.6">
      <c r="B1563" s="171">
        <v>-1026.8286045946932</v>
      </c>
    </row>
    <row r="1564" spans="2:2" ht="15.6">
      <c r="B1564" s="171">
        <v>-1731.9706593853953</v>
      </c>
    </row>
    <row r="1565" spans="2:2" ht="15.6">
      <c r="B1565" s="171">
        <v>-1842.9285332781187</v>
      </c>
    </row>
    <row r="1566" spans="2:2" ht="15.6">
      <c r="B1566" s="171">
        <v>-1402.4796194798412</v>
      </c>
    </row>
    <row r="1567" spans="2:2" ht="15.6">
      <c r="B1567" s="171">
        <v>-1872.569331626984</v>
      </c>
    </row>
    <row r="1568" spans="2:2" ht="15.6">
      <c r="B1568" s="171">
        <v>-1769.3054234547772</v>
      </c>
    </row>
    <row r="1569" spans="2:2" ht="15.6">
      <c r="B1569" s="171">
        <v>-1513.2031018167581</v>
      </c>
    </row>
    <row r="1570" spans="2:2" ht="15.6">
      <c r="B1570" s="171">
        <v>-1647.9855892008256</v>
      </c>
    </row>
    <row r="1571" spans="2:2" ht="15.6">
      <c r="B1571" s="171">
        <v>-1425.2429453689654</v>
      </c>
    </row>
    <row r="1572" spans="2:2" ht="15.6">
      <c r="B1572" s="171">
        <v>-1715.9699436863657</v>
      </c>
    </row>
    <row r="1573" spans="2:2" ht="15.6">
      <c r="B1573" s="171">
        <v>-3018.0728385584512</v>
      </c>
    </row>
    <row r="1574" spans="2:2" ht="15.6">
      <c r="B1574" s="171">
        <v>-1707.1485666794615</v>
      </c>
    </row>
    <row r="1575" spans="2:2" ht="15.6">
      <c r="B1575" s="171">
        <v>-1256.1419650751725</v>
      </c>
    </row>
    <row r="1576" spans="2:2" ht="15.6">
      <c r="B1576" s="171">
        <v>-1583.5409429710794</v>
      </c>
    </row>
    <row r="1577" spans="2:2" ht="15.6">
      <c r="B1577" s="171">
        <v>-1023.0293844515508</v>
      </c>
    </row>
    <row r="1578" spans="2:2" ht="15.6">
      <c r="B1578" s="171">
        <v>-2325.4790017263003</v>
      </c>
    </row>
    <row r="1579" spans="2:2" ht="15.6">
      <c r="B1579" s="171">
        <v>-1368.4623746489417</v>
      </c>
    </row>
    <row r="1580" spans="2:2" ht="15.6">
      <c r="B1580" s="171">
        <v>-2047.7779585182188</v>
      </c>
    </row>
    <row r="1581" spans="2:2" ht="15.6">
      <c r="B1581" s="171">
        <v>-1829.5055583172793</v>
      </c>
    </row>
    <row r="1582" spans="2:2" ht="15.6">
      <c r="B1582" s="171">
        <v>-1579.3166290686518</v>
      </c>
    </row>
    <row r="1583" spans="2:2" ht="15.6">
      <c r="B1583" s="171">
        <v>-1704.9850140787728</v>
      </c>
    </row>
    <row r="1584" spans="2:2" ht="15.6">
      <c r="B1584" s="171">
        <v>-1544.6238011027071</v>
      </c>
    </row>
    <row r="1585" spans="2:2" ht="15.6">
      <c r="B1585" s="171">
        <v>-1352.5741679391583</v>
      </c>
    </row>
    <row r="1586" spans="2:2" ht="15.6">
      <c r="B1586" s="171">
        <v>-1022.4037360017051</v>
      </c>
    </row>
    <row r="1587" spans="2:2" ht="15.6">
      <c r="B1587" s="171">
        <v>-1985.5522105198695</v>
      </c>
    </row>
    <row r="1588" spans="2:2" ht="15.6">
      <c r="B1588" s="171">
        <v>-1187.4826001781796</v>
      </c>
    </row>
    <row r="1589" spans="2:2" ht="15.6">
      <c r="B1589" s="171">
        <v>-1516.1449277712459</v>
      </c>
    </row>
    <row r="1590" spans="2:2" ht="15.6">
      <c r="B1590" s="171">
        <v>-886.71929056620502</v>
      </c>
    </row>
    <row r="1591" spans="2:2" ht="15.6">
      <c r="B1591" s="171">
        <v>-1501.3685777162571</v>
      </c>
    </row>
    <row r="1592" spans="2:2" ht="15.6">
      <c r="B1592" s="171">
        <v>-1341.7389888526261</v>
      </c>
    </row>
    <row r="1593" spans="2:2" ht="15.6">
      <c r="B1593" s="171">
        <v>-1301.3614039272677</v>
      </c>
    </row>
    <row r="1594" spans="2:2" ht="15.6">
      <c r="B1594" s="171">
        <v>-1249.930054355716</v>
      </c>
    </row>
    <row r="1595" spans="2:2" ht="15.6">
      <c r="B1595" s="171">
        <v>-1652.4553538440384</v>
      </c>
    </row>
    <row r="1596" spans="2:2" ht="15.6">
      <c r="B1596" s="171">
        <v>-1178.073549094461</v>
      </c>
    </row>
    <row r="1597" spans="2:2" ht="15.6">
      <c r="B1597" s="171">
        <v>-1408.8412475610814</v>
      </c>
    </row>
    <row r="1598" spans="2:2" ht="15.6">
      <c r="B1598" s="171">
        <v>-1836.1679902987487</v>
      </c>
    </row>
    <row r="1599" spans="2:2" ht="15.6">
      <c r="B1599" s="171">
        <v>-840.05961821192591</v>
      </c>
    </row>
    <row r="1600" spans="2:2" ht="15.6">
      <c r="B1600" s="171">
        <v>-1500.8546823677416</v>
      </c>
    </row>
    <row r="1601" spans="2:2" ht="15.6">
      <c r="B1601" s="171">
        <v>-1755.5797333830424</v>
      </c>
    </row>
    <row r="1602" spans="2:2" ht="15.6">
      <c r="B1602" s="171">
        <v>-2076.074415359637</v>
      </c>
    </row>
    <row r="1603" spans="2:2" ht="15.6">
      <c r="B1603" s="171">
        <v>-1358.7894044612449</v>
      </c>
    </row>
    <row r="1604" spans="2:2" ht="15.6">
      <c r="B1604" s="171">
        <v>-1973.9136652949162</v>
      </c>
    </row>
    <row r="1605" spans="2:2" ht="15.6">
      <c r="B1605" s="171">
        <v>-1586.1689398457693</v>
      </c>
    </row>
    <row r="1606" spans="2:2" ht="15.6">
      <c r="B1606" s="171">
        <v>-1244.2632386874893</v>
      </c>
    </row>
    <row r="1607" spans="2:2" ht="15.6">
      <c r="B1607" s="171">
        <v>-1258.3087705567821</v>
      </c>
    </row>
    <row r="1608" spans="2:2" ht="15.6">
      <c r="B1608" s="171">
        <v>-1283.0742151965701</v>
      </c>
    </row>
    <row r="1609" spans="2:2" ht="15.6">
      <c r="B1609" s="171">
        <v>-1884.983467426614</v>
      </c>
    </row>
    <row r="1610" spans="2:2" ht="15.6">
      <c r="B1610" s="171">
        <v>-1868.8646651341801</v>
      </c>
    </row>
    <row r="1611" spans="2:2" ht="15.6">
      <c r="B1611" s="171">
        <v>-1545.5861591648104</v>
      </c>
    </row>
    <row r="1612" spans="2:2" ht="15.6">
      <c r="B1612" s="171">
        <v>-1150.4949232625445</v>
      </c>
    </row>
    <row r="1613" spans="2:2" ht="15.6">
      <c r="B1613" s="171">
        <v>-1928.7509281685457</v>
      </c>
    </row>
    <row r="1614" spans="2:2" ht="15.6">
      <c r="B1614" s="171">
        <v>-1456.4203244720077</v>
      </c>
    </row>
    <row r="1615" spans="2:2" ht="15.6">
      <c r="B1615" s="171">
        <v>-1618.5724737226224</v>
      </c>
    </row>
    <row r="1616" spans="2:2" ht="15.6">
      <c r="B1616" s="171">
        <v>-2345.994359110704</v>
      </c>
    </row>
    <row r="1617" spans="2:2" ht="15.6">
      <c r="B1617" s="171">
        <v>-1651.5374640352916</v>
      </c>
    </row>
    <row r="1618" spans="2:2" ht="15.6">
      <c r="B1618" s="171">
        <v>-1632.9487033803944</v>
      </c>
    </row>
    <row r="1619" spans="2:2" ht="15.6">
      <c r="B1619" s="171">
        <v>-1344.5787279957046</v>
      </c>
    </row>
    <row r="1620" spans="2:2" ht="15.6">
      <c r="B1620" s="171">
        <v>-2001.46457935735</v>
      </c>
    </row>
    <row r="1621" spans="2:2" ht="15.6">
      <c r="B1621" s="171">
        <v>-1564.2107442351626</v>
      </c>
    </row>
    <row r="1622" spans="2:2" ht="15.6">
      <c r="B1622" s="171">
        <v>-1743.6706642257684</v>
      </c>
    </row>
    <row r="1623" spans="2:2" ht="15.6">
      <c r="B1623" s="171">
        <v>-1604.6796695213968</v>
      </c>
    </row>
    <row r="1624" spans="2:2" ht="15.6">
      <c r="B1624" s="171">
        <v>-1566.2985159140958</v>
      </c>
    </row>
    <row r="1625" spans="2:2" ht="15.6">
      <c r="B1625" s="171">
        <v>-1924.262061237644</v>
      </c>
    </row>
    <row r="1626" spans="2:2" ht="15.6">
      <c r="B1626" s="171">
        <v>-1743.3134422032699</v>
      </c>
    </row>
    <row r="1627" spans="2:2" ht="15.6">
      <c r="B1627" s="171">
        <v>-1966.8205085122968</v>
      </c>
    </row>
    <row r="1628" spans="2:2" ht="15.6">
      <c r="B1628" s="171">
        <v>-1907.8852149933946</v>
      </c>
    </row>
    <row r="1629" spans="2:2" ht="15.6">
      <c r="B1629" s="171">
        <v>-1690.9012603595816</v>
      </c>
    </row>
    <row r="1630" spans="2:2" ht="15.6">
      <c r="B1630" s="171">
        <v>-1546.4433910864932</v>
      </c>
    </row>
    <row r="1631" spans="2:2" ht="15.6">
      <c r="B1631" s="171">
        <v>-1826.5954986818647</v>
      </c>
    </row>
    <row r="1632" spans="2:2" ht="15.6">
      <c r="B1632" s="171">
        <v>-2208.2118236402303</v>
      </c>
    </row>
    <row r="1633" spans="2:2" ht="15.6">
      <c r="B1633" s="171">
        <v>-1276.2175970474545</v>
      </c>
    </row>
    <row r="1634" spans="2:2" ht="15.6">
      <c r="B1634" s="171">
        <v>-1009.7154153143671</v>
      </c>
    </row>
    <row r="1635" spans="2:2" ht="15.6">
      <c r="B1635" s="171">
        <v>-1385.2531289844155</v>
      </c>
    </row>
    <row r="1636" spans="2:2" ht="15.6">
      <c r="B1636" s="171">
        <v>-1655.5880761929145</v>
      </c>
    </row>
    <row r="1637" spans="2:2" ht="15.6">
      <c r="B1637" s="171">
        <v>-2274.3499516468846</v>
      </c>
    </row>
    <row r="1638" spans="2:2" ht="15.6">
      <c r="B1638" s="171">
        <v>-1407.8230879900025</v>
      </c>
    </row>
    <row r="1639" spans="2:2" ht="15.6">
      <c r="B1639" s="171">
        <v>-1242.0553969037107</v>
      </c>
    </row>
    <row r="1640" spans="2:2" ht="15.6">
      <c r="B1640" s="171">
        <v>-1076.7482143654083</v>
      </c>
    </row>
    <row r="1641" spans="2:2" ht="15.6">
      <c r="B1641" s="171">
        <v>-1986.7818870078963</v>
      </c>
    </row>
    <row r="1642" spans="2:2" ht="15.6">
      <c r="B1642" s="171">
        <v>-1641.2221677091488</v>
      </c>
    </row>
    <row r="1643" spans="2:2" ht="15.6">
      <c r="B1643" s="171">
        <v>-1255.2890925996774</v>
      </c>
    </row>
    <row r="1644" spans="2:2" ht="15.6">
      <c r="B1644" s="171">
        <v>-1829.4365334613417</v>
      </c>
    </row>
    <row r="1645" spans="2:2" ht="15.6">
      <c r="B1645" s="171">
        <v>-1348.9271761396901</v>
      </c>
    </row>
    <row r="1646" spans="2:2" ht="15.6">
      <c r="B1646" s="171">
        <v>-940.87256304920993</v>
      </c>
    </row>
    <row r="1647" spans="2:2" ht="15.6">
      <c r="B1647" s="171">
        <v>-981.82989940385789</v>
      </c>
    </row>
    <row r="1648" spans="2:2" ht="15.6">
      <c r="B1648" s="171">
        <v>-2135.7098469048146</v>
      </c>
    </row>
    <row r="1649" spans="2:2" ht="15.6">
      <c r="B1649" s="171">
        <v>-1860.2289465957192</v>
      </c>
    </row>
    <row r="1650" spans="2:2" ht="15.6">
      <c r="B1650" s="171">
        <v>-1343.9243930550124</v>
      </c>
    </row>
    <row r="1651" spans="2:2" ht="15.6">
      <c r="B1651" s="171">
        <v>-1635.7011092496521</v>
      </c>
    </row>
    <row r="1652" spans="2:2" ht="15.6">
      <c r="B1652" s="171">
        <v>-844.49411546478836</v>
      </c>
    </row>
    <row r="1653" spans="2:2" ht="15.6">
      <c r="B1653" s="171">
        <v>-1677.0846723762975</v>
      </c>
    </row>
    <row r="1654" spans="2:2" ht="15.6">
      <c r="B1654" s="171">
        <v>-1163.1950853781834</v>
      </c>
    </row>
    <row r="1655" spans="2:2" ht="15.6">
      <c r="B1655" s="171">
        <v>-1596.7485523462792</v>
      </c>
    </row>
    <row r="1656" spans="2:2" ht="15.6">
      <c r="B1656" s="171">
        <v>-1732.510702552544</v>
      </c>
    </row>
    <row r="1657" spans="2:2" ht="15.6">
      <c r="B1657" s="171">
        <v>-1347.7544432207947</v>
      </c>
    </row>
    <row r="1658" spans="2:2" ht="15.6">
      <c r="B1658" s="171">
        <v>-1974.9589181038964</v>
      </c>
    </row>
    <row r="1659" spans="2:2" ht="15.6">
      <c r="B1659" s="171">
        <v>-1015.4643568761705</v>
      </c>
    </row>
    <row r="1660" spans="2:2" ht="15.6">
      <c r="B1660" s="171">
        <v>-1660.6432054195375</v>
      </c>
    </row>
    <row r="1661" spans="2:2" ht="15.6">
      <c r="B1661" s="171">
        <v>-1072.6403361556809</v>
      </c>
    </row>
    <row r="1662" spans="2:2" ht="15.6">
      <c r="B1662" s="171">
        <v>-1149.1200790019768</v>
      </c>
    </row>
    <row r="1663" spans="2:2" ht="15.6">
      <c r="B1663" s="171">
        <v>-1658.8263472013198</v>
      </c>
    </row>
    <row r="1664" spans="2:2" ht="15.6">
      <c r="B1664" s="171">
        <v>-1365.4150010771148</v>
      </c>
    </row>
    <row r="1665" spans="2:2" ht="15.6">
      <c r="B1665" s="171">
        <v>-1769.5623650719785</v>
      </c>
    </row>
    <row r="1666" spans="2:2" ht="15.6">
      <c r="B1666" s="171">
        <v>-1527.4870015208164</v>
      </c>
    </row>
    <row r="1667" spans="2:2" ht="15.6">
      <c r="B1667" s="171">
        <v>-1446.1840694896166</v>
      </c>
    </row>
    <row r="1668" spans="2:2" ht="15.6">
      <c r="B1668" s="171">
        <v>-1556.5939053177576</v>
      </c>
    </row>
    <row r="1669" spans="2:2" ht="15.6">
      <c r="B1669" s="171">
        <v>-1284.1040458350385</v>
      </c>
    </row>
    <row r="1670" spans="2:2" ht="15.6">
      <c r="B1670" s="171">
        <v>-1680.9859681578478</v>
      </c>
    </row>
    <row r="1671" spans="2:2" ht="15.6">
      <c r="B1671" s="171">
        <v>-1016.4005122405907</v>
      </c>
    </row>
    <row r="1672" spans="2:2" ht="15.6">
      <c r="B1672" s="171">
        <v>-1541.9874190178766</v>
      </c>
    </row>
    <row r="1673" spans="2:2" ht="15.6">
      <c r="B1673" s="171">
        <v>-1884.0650915751507</v>
      </c>
    </row>
    <row r="1674" spans="2:2" ht="15.6">
      <c r="B1674" s="171">
        <v>-1592.4651392689107</v>
      </c>
    </row>
    <row r="1675" spans="2:2" ht="15.6">
      <c r="B1675" s="171">
        <v>-1277.207999011659</v>
      </c>
    </row>
    <row r="1676" spans="2:2" ht="15.6">
      <c r="B1676" s="171">
        <v>-1375.6349176499007</v>
      </c>
    </row>
    <row r="1677" spans="2:2" ht="15.6">
      <c r="B1677" s="171">
        <v>-1790.2966031405858</v>
      </c>
    </row>
    <row r="1678" spans="2:2" ht="15.6">
      <c r="B1678" s="171">
        <v>-2061.4375040232153</v>
      </c>
    </row>
    <row r="1679" spans="2:2" ht="15.6">
      <c r="B1679" s="171">
        <v>-1885.2133063912479</v>
      </c>
    </row>
    <row r="1680" spans="2:2" ht="15.6">
      <c r="B1680" s="171">
        <v>-1681.3516223033259</v>
      </c>
    </row>
    <row r="1681" spans="2:2" ht="15.6">
      <c r="B1681" s="171">
        <v>-1661.0674080518997</v>
      </c>
    </row>
    <row r="1682" spans="2:2" ht="15.6">
      <c r="B1682" s="171">
        <v>-550.89279024304369</v>
      </c>
    </row>
    <row r="1683" spans="2:2" ht="15.6">
      <c r="B1683" s="171">
        <v>-1458.5399276288663</v>
      </c>
    </row>
    <row r="1684" spans="2:2" ht="15.6">
      <c r="B1684" s="171">
        <v>-1845.1447571368071</v>
      </c>
    </row>
    <row r="1685" spans="2:2" ht="15.6">
      <c r="B1685" s="171">
        <v>-1532.8543830198839</v>
      </c>
    </row>
    <row r="1686" spans="2:2" ht="15.6">
      <c r="B1686" s="171">
        <v>-1428.767771713128</v>
      </c>
    </row>
    <row r="1687" spans="2:2" ht="15.6">
      <c r="B1687" s="171">
        <v>-2172.2326962715697</v>
      </c>
    </row>
    <row r="1688" spans="2:2" ht="15.6">
      <c r="B1688" s="171">
        <v>-1181.78358645914</v>
      </c>
    </row>
    <row r="1689" spans="2:2" ht="15.6">
      <c r="B1689" s="171">
        <v>-1196.0632254253203</v>
      </c>
    </row>
    <row r="1690" spans="2:2" ht="15.6">
      <c r="B1690" s="171">
        <v>-1073.5685230861091</v>
      </c>
    </row>
    <row r="1691" spans="2:2" ht="15.6">
      <c r="B1691" s="171">
        <v>-1065.8549955741973</v>
      </c>
    </row>
    <row r="1692" spans="2:2" ht="15.6">
      <c r="B1692" s="171">
        <v>-1200.7286137973169</v>
      </c>
    </row>
    <row r="1693" spans="2:2" ht="15.6">
      <c r="B1693" s="171">
        <v>-1814.5061208118148</v>
      </c>
    </row>
    <row r="1694" spans="2:2" ht="15.6">
      <c r="B1694" s="171">
        <v>-1796.1760356156294</v>
      </c>
    </row>
    <row r="1695" spans="2:2" ht="15.6">
      <c r="B1695" s="171">
        <v>-2433.2271854139599</v>
      </c>
    </row>
    <row r="1696" spans="2:2" ht="15.6">
      <c r="B1696" s="171">
        <v>-1586.7412131261917</v>
      </c>
    </row>
    <row r="1697" spans="2:2" ht="15.6">
      <c r="B1697" s="171">
        <v>-1422.2488865611222</v>
      </c>
    </row>
    <row r="1698" spans="2:2" ht="15.6">
      <c r="B1698" s="171">
        <v>-1843.1974751775228</v>
      </c>
    </row>
    <row r="1699" spans="2:2" ht="15.6">
      <c r="B1699" s="171">
        <v>-1614.9227699569853</v>
      </c>
    </row>
    <row r="1700" spans="2:2" ht="15.6">
      <c r="B1700" s="171">
        <v>-1421.8502692052953</v>
      </c>
    </row>
    <row r="1701" spans="2:2" ht="15.6">
      <c r="B1701" s="171">
        <v>-1074.0896221479272</v>
      </c>
    </row>
    <row r="1702" spans="2:2" ht="15.6">
      <c r="B1702" s="171">
        <v>-1332.3209349404717</v>
      </c>
    </row>
    <row r="1703" spans="2:2" ht="15.6">
      <c r="B1703" s="171">
        <v>-1594.1107877640925</v>
      </c>
    </row>
    <row r="1704" spans="2:2" ht="15.6">
      <c r="B1704" s="171">
        <v>-1370.1301317892444</v>
      </c>
    </row>
    <row r="1705" spans="2:2" ht="15.6">
      <c r="B1705" s="171">
        <v>-1547.1056281222986</v>
      </c>
    </row>
    <row r="1706" spans="2:2" ht="15.6">
      <c r="B1706" s="171">
        <v>-1542.34984977563</v>
      </c>
    </row>
    <row r="1707" spans="2:2" ht="15.6">
      <c r="B1707" s="171">
        <v>-1614.0935749024854</v>
      </c>
    </row>
    <row r="1708" spans="2:2" ht="15.6">
      <c r="B1708" s="171">
        <v>-1719.0130549502446</v>
      </c>
    </row>
    <row r="1709" spans="2:2" ht="15.6">
      <c r="B1709" s="171">
        <v>-2275.6474660172044</v>
      </c>
    </row>
    <row r="1710" spans="2:2" ht="15.6">
      <c r="B1710" s="171">
        <v>-3077.0027900276586</v>
      </c>
    </row>
    <row r="1711" spans="2:2" ht="15.6">
      <c r="B1711" s="171">
        <v>-1504.2117955440624</v>
      </c>
    </row>
    <row r="1712" spans="2:2" ht="15.6">
      <c r="B1712" s="171">
        <v>-1782.8164679522811</v>
      </c>
    </row>
    <row r="1713" spans="2:2" ht="15.6">
      <c r="B1713" s="171">
        <v>-1376.3341359506612</v>
      </c>
    </row>
    <row r="1714" spans="2:2" ht="15.6">
      <c r="B1714" s="171">
        <v>-1215.5964642103131</v>
      </c>
    </row>
    <row r="1715" spans="2:2" ht="15.6">
      <c r="B1715" s="171">
        <v>-1861.4661593609671</v>
      </c>
    </row>
    <row r="1716" spans="2:2" ht="15.6">
      <c r="B1716" s="171">
        <v>-1300.5036057205318</v>
      </c>
    </row>
    <row r="1717" spans="2:2" ht="15.6">
      <c r="B1717" s="171">
        <v>-1563.1583398711932</v>
      </c>
    </row>
    <row r="1718" spans="2:2" ht="15.6">
      <c r="B1718" s="171">
        <v>-1842.143950863267</v>
      </c>
    </row>
    <row r="1719" spans="2:2" ht="15.6">
      <c r="B1719" s="171">
        <v>-1587.1760926021163</v>
      </c>
    </row>
    <row r="1720" spans="2:2" ht="15.6">
      <c r="B1720" s="171">
        <v>-1319.7300827165734</v>
      </c>
    </row>
    <row r="1721" spans="2:2" ht="15.6">
      <c r="B1721" s="171">
        <v>-1342.4839827740589</v>
      </c>
    </row>
    <row r="1722" spans="2:2" ht="15.6">
      <c r="B1722" s="171">
        <v>-2106.0253994103609</v>
      </c>
    </row>
    <row r="1723" spans="2:2" ht="15.6">
      <c r="B1723" s="171">
        <v>-2209.1666226563875</v>
      </c>
    </row>
    <row r="1724" spans="2:2" ht="15.6">
      <c r="B1724" s="171">
        <v>-1120.9706033953426</v>
      </c>
    </row>
    <row r="1725" spans="2:2" ht="15.6">
      <c r="B1725" s="171">
        <v>-1685.9139118536855</v>
      </c>
    </row>
    <row r="1726" spans="2:2" ht="15.6">
      <c r="B1726" s="171">
        <v>-2413.4356483401239</v>
      </c>
    </row>
    <row r="1727" spans="2:2" ht="15.6">
      <c r="B1727" s="171">
        <v>-2305.3725026037228</v>
      </c>
    </row>
    <row r="1728" spans="2:2" ht="15.6">
      <c r="B1728" s="171">
        <v>-1450.4427753471527</v>
      </c>
    </row>
    <row r="1729" spans="2:2" ht="15.6">
      <c r="B1729" s="171">
        <v>-2851.7546849165624</v>
      </c>
    </row>
    <row r="1730" spans="2:2" ht="15.6">
      <c r="B1730" s="171">
        <v>-1316.7580629905567</v>
      </c>
    </row>
    <row r="1731" spans="2:2" ht="15.6">
      <c r="B1731" s="171">
        <v>-689.18562438830872</v>
      </c>
    </row>
    <row r="1732" spans="2:2" ht="15.6">
      <c r="B1732" s="171">
        <v>-1851.2633162642205</v>
      </c>
    </row>
    <row r="1733" spans="2:2" ht="15.6">
      <c r="B1733" s="171">
        <v>-1641.1812322954747</v>
      </c>
    </row>
    <row r="1734" spans="2:2" ht="15.6">
      <c r="B1734" s="171">
        <v>-1961.5134217206296</v>
      </c>
    </row>
    <row r="1735" spans="2:2" ht="15.6">
      <c r="B1735" s="171">
        <v>-1166.6111969484568</v>
      </c>
    </row>
    <row r="1736" spans="2:2" ht="15.6">
      <c r="B1736" s="171">
        <v>-1621.5367533836454</v>
      </c>
    </row>
    <row r="1737" spans="2:2" ht="15.6">
      <c r="B1737" s="171">
        <v>-1456.4336007482796</v>
      </c>
    </row>
    <row r="1738" spans="2:2" ht="15.6">
      <c r="B1738" s="171">
        <v>-1907.230492087612</v>
      </c>
    </row>
    <row r="1739" spans="2:2" ht="15.6">
      <c r="B1739" s="171">
        <v>-1258.3017110170799</v>
      </c>
    </row>
    <row r="1740" spans="2:2" ht="15.6">
      <c r="B1740" s="171">
        <v>-1836.9380542828285</v>
      </c>
    </row>
    <row r="1741" spans="2:2" ht="15.6">
      <c r="B1741" s="171">
        <v>-1648.73293022097</v>
      </c>
    </row>
    <row r="1742" spans="2:2" ht="15.6">
      <c r="B1742" s="171">
        <v>-1521.8562107826265</v>
      </c>
    </row>
    <row r="1743" spans="2:2" ht="15.6">
      <c r="B1743" s="171">
        <v>-1693.3770902279871</v>
      </c>
    </row>
    <row r="1744" spans="2:2" ht="15.6">
      <c r="B1744" s="171">
        <v>-784.45100392875213</v>
      </c>
    </row>
    <row r="1745" spans="2:2" ht="15.6">
      <c r="B1745" s="171">
        <v>-2132.8046751095389</v>
      </c>
    </row>
    <row r="1746" spans="2:2" ht="15.6">
      <c r="B1746" s="171">
        <v>-2295.2489761119909</v>
      </c>
    </row>
    <row r="1747" spans="2:2" ht="15.6">
      <c r="B1747" s="171">
        <v>-1916.3144175680375</v>
      </c>
    </row>
    <row r="1748" spans="2:2" ht="15.6">
      <c r="B1748" s="171">
        <v>-1182.2841192404235</v>
      </c>
    </row>
    <row r="1749" spans="2:2" ht="15.6">
      <c r="B1749" s="171">
        <v>-1118.5182048587599</v>
      </c>
    </row>
    <row r="1750" spans="2:2" ht="15.6">
      <c r="B1750" s="171">
        <v>-1919.7181744202876</v>
      </c>
    </row>
    <row r="1751" spans="2:2" ht="15.6">
      <c r="B1751" s="171">
        <v>-1619.475068604439</v>
      </c>
    </row>
    <row r="1752" spans="2:2" ht="15.6">
      <c r="B1752" s="171">
        <v>-1900.4739260005663</v>
      </c>
    </row>
    <row r="1753" spans="2:2" ht="15.6">
      <c r="B1753" s="171">
        <v>-1449.464595771344</v>
      </c>
    </row>
    <row r="1754" spans="2:2" ht="15.6">
      <c r="B1754" s="171">
        <v>-1813.8891145515458</v>
      </c>
    </row>
    <row r="1755" spans="2:2" ht="15.6">
      <c r="B1755" s="171">
        <v>-1349.4629748211894</v>
      </c>
    </row>
    <row r="1756" spans="2:2" ht="15.6">
      <c r="B1756" s="171">
        <v>-998.40426539093994</v>
      </c>
    </row>
    <row r="1757" spans="2:2" ht="15.6">
      <c r="B1757" s="171">
        <v>-1487.767629674056</v>
      </c>
    </row>
    <row r="1758" spans="2:2" ht="15.6">
      <c r="B1758" s="171">
        <v>-1598.5679516984528</v>
      </c>
    </row>
    <row r="1759" spans="2:2" ht="15.6">
      <c r="B1759" s="171">
        <v>-1967.8291061252748</v>
      </c>
    </row>
    <row r="1760" spans="2:2" ht="15.6">
      <c r="B1760" s="171">
        <v>-1469.3578463216663</v>
      </c>
    </row>
    <row r="1761" spans="2:2" ht="15.6">
      <c r="B1761" s="171">
        <v>-2394.5311622046484</v>
      </c>
    </row>
    <row r="1762" spans="2:2" ht="15.6">
      <c r="B1762" s="171">
        <v>-1815.9508273271731</v>
      </c>
    </row>
    <row r="1763" spans="2:2" ht="15.6">
      <c r="B1763" s="171">
        <v>-1020.7382302014564</v>
      </c>
    </row>
    <row r="1764" spans="2:2" ht="15.6">
      <c r="B1764" s="171">
        <v>-1171.4867313056993</v>
      </c>
    </row>
    <row r="1765" spans="2:2" ht="15.6">
      <c r="B1765" s="171">
        <v>-1555.142900634947</v>
      </c>
    </row>
    <row r="1766" spans="2:2" ht="15.6">
      <c r="B1766" s="171">
        <v>-1807.1827852924005</v>
      </c>
    </row>
    <row r="1767" spans="2:2" ht="15.6">
      <c r="B1767" s="171">
        <v>-1749.1819964061194</v>
      </c>
    </row>
    <row r="1768" spans="2:2" ht="15.6">
      <c r="B1768" s="171">
        <v>-1786.5479312727944</v>
      </c>
    </row>
    <row r="1769" spans="2:2" ht="15.6">
      <c r="B1769" s="171">
        <v>-1060.9712395733679</v>
      </c>
    </row>
    <row r="1770" spans="2:2" ht="15.6">
      <c r="B1770" s="171">
        <v>-1817.6377210924138</v>
      </c>
    </row>
    <row r="1771" spans="2:2" ht="15.6">
      <c r="B1771" s="171">
        <v>-1729.3119602740844</v>
      </c>
    </row>
    <row r="1772" spans="2:2" ht="15.6">
      <c r="B1772" s="171">
        <v>-2174.6579623036514</v>
      </c>
    </row>
    <row r="1773" spans="2:2" ht="15.6">
      <c r="B1773" s="171">
        <v>-1342.3084322641619</v>
      </c>
    </row>
    <row r="1774" spans="2:2" ht="15.6">
      <c r="B1774" s="171">
        <v>-1542.2078019571786</v>
      </c>
    </row>
    <row r="1775" spans="2:2" ht="15.6">
      <c r="B1775" s="171">
        <v>-2696.1665391681336</v>
      </c>
    </row>
    <row r="1776" spans="2:2" ht="15.6">
      <c r="B1776" s="171">
        <v>-1195.6436807341117</v>
      </c>
    </row>
    <row r="1777" spans="2:2" ht="15.6">
      <c r="B1777" s="171">
        <v>-2671.7366136649207</v>
      </c>
    </row>
    <row r="1778" spans="2:2" ht="15.6">
      <c r="B1778" s="171">
        <v>-2186.2005763330067</v>
      </c>
    </row>
    <row r="1779" spans="2:2" ht="15.6">
      <c r="B1779" s="171">
        <v>-1367.2006184717882</v>
      </c>
    </row>
    <row r="1780" spans="2:2" ht="15.6">
      <c r="B1780" s="171">
        <v>-1774.3501400468301</v>
      </c>
    </row>
    <row r="1781" spans="2:2" ht="15.6">
      <c r="B1781" s="171">
        <v>-1520.2222059445571</v>
      </c>
    </row>
    <row r="1782" spans="2:2" ht="15.6">
      <c r="B1782" s="171">
        <v>-2034.1506212190716</v>
      </c>
    </row>
    <row r="1783" spans="2:2" ht="15.6">
      <c r="B1783" s="171">
        <v>-1911.1939427971947</v>
      </c>
    </row>
    <row r="1784" spans="2:2" ht="15.6">
      <c r="B1784" s="171">
        <v>-1017.3079622249861</v>
      </c>
    </row>
    <row r="1785" spans="2:2" ht="15.6">
      <c r="B1785" s="171">
        <v>-1545.3103505043989</v>
      </c>
    </row>
    <row r="1786" spans="2:2" ht="15.6">
      <c r="B1786" s="171">
        <v>-1978.7407201852138</v>
      </c>
    </row>
    <row r="1787" spans="2:2" ht="15.6">
      <c r="B1787" s="171">
        <v>-1422.6846686292415</v>
      </c>
    </row>
    <row r="1788" spans="2:2" ht="15.6">
      <c r="B1788" s="171">
        <v>-1671.2521711614168</v>
      </c>
    </row>
    <row r="1789" spans="2:2" ht="15.6">
      <c r="B1789" s="171">
        <v>-1654.6197367050327</v>
      </c>
    </row>
    <row r="1790" spans="2:2" ht="15.6">
      <c r="B1790" s="171">
        <v>-1651.7226373160179</v>
      </c>
    </row>
    <row r="1791" spans="2:2" ht="15.6">
      <c r="B1791" s="171">
        <v>-1826.4721767397054</v>
      </c>
    </row>
    <row r="1792" spans="2:2" ht="15.6">
      <c r="B1792" s="171">
        <v>-2205.1889110732486</v>
      </c>
    </row>
    <row r="1793" spans="2:2" ht="15.6">
      <c r="B1793" s="171">
        <v>-1060.5085559483032</v>
      </c>
    </row>
    <row r="1794" spans="2:2" ht="15.6">
      <c r="B1794" s="171">
        <v>-1756.7821303999756</v>
      </c>
    </row>
    <row r="1795" spans="2:2" ht="15.6">
      <c r="B1795" s="171">
        <v>-1301.6305781376732</v>
      </c>
    </row>
    <row r="1796" spans="2:2" ht="15.6">
      <c r="B1796" s="171">
        <v>-1578.4504909974012</v>
      </c>
    </row>
    <row r="1797" spans="2:2" ht="15.6">
      <c r="B1797" s="171">
        <v>-1637.8616241065756</v>
      </c>
    </row>
    <row r="1798" spans="2:2" ht="15.6">
      <c r="B1798" s="171">
        <v>-838.79924955271633</v>
      </c>
    </row>
    <row r="1799" spans="2:2" ht="15.6">
      <c r="B1799" s="171">
        <v>-1161.1888883432673</v>
      </c>
    </row>
    <row r="1800" spans="2:2" ht="15.6">
      <c r="B1800" s="171">
        <v>-949.84802339400005</v>
      </c>
    </row>
    <row r="1801" spans="2:2" ht="15.6">
      <c r="B1801" s="171">
        <v>-1457.2225573664593</v>
      </c>
    </row>
    <row r="1802" spans="2:2" ht="15.6">
      <c r="B1802" s="171">
        <v>-1112.9799008748923</v>
      </c>
    </row>
    <row r="1803" spans="2:2" ht="15.6">
      <c r="B1803" s="171">
        <v>-2148.325737826955</v>
      </c>
    </row>
    <row r="1804" spans="2:2" ht="15.6">
      <c r="B1804" s="171">
        <v>-1929.1726061215859</v>
      </c>
    </row>
    <row r="1805" spans="2:2" ht="15.6">
      <c r="B1805" s="171">
        <v>-2070.9113522198445</v>
      </c>
    </row>
    <row r="1806" spans="2:2" ht="15.6">
      <c r="B1806" s="171">
        <v>-1996.1479045993628</v>
      </c>
    </row>
    <row r="1807" spans="2:2" ht="15.6">
      <c r="B1807" s="171">
        <v>-1738.1697140505703</v>
      </c>
    </row>
    <row r="1808" spans="2:2" ht="15.6">
      <c r="B1808" s="171">
        <v>-1979.4527679348071</v>
      </c>
    </row>
    <row r="1809" spans="2:2" ht="15.6">
      <c r="B1809" s="171">
        <v>-1532.3073742246199</v>
      </c>
    </row>
    <row r="1810" spans="2:2" ht="15.6">
      <c r="B1810" s="171">
        <v>-1512.1056630915748</v>
      </c>
    </row>
    <row r="1811" spans="2:2" ht="15.6">
      <c r="B1811" s="171">
        <v>-1797.8422027929844</v>
      </c>
    </row>
    <row r="1812" spans="2:2" ht="15.6">
      <c r="B1812" s="171">
        <v>-1664.3071412156582</v>
      </c>
    </row>
    <row r="1813" spans="2:2" ht="15.6">
      <c r="B1813" s="171">
        <v>-1261.2611157505039</v>
      </c>
    </row>
    <row r="1814" spans="2:2" ht="15.6">
      <c r="B1814" s="171">
        <v>-1606.2892247003426</v>
      </c>
    </row>
    <row r="1815" spans="2:2" ht="15.6">
      <c r="B1815" s="171">
        <v>-1362.997361828325</v>
      </c>
    </row>
    <row r="1816" spans="2:2" ht="15.6">
      <c r="B1816" s="171">
        <v>-1104.3287861374886</v>
      </c>
    </row>
    <row r="1817" spans="2:2" ht="15.6">
      <c r="B1817" s="171">
        <v>-1278.9690909804112</v>
      </c>
    </row>
    <row r="1818" spans="2:2" ht="15.6">
      <c r="B1818" s="171">
        <v>-1842.0789409531301</v>
      </c>
    </row>
    <row r="1819" spans="2:2" ht="15.6">
      <c r="B1819" s="171">
        <v>-1977.0354646951932</v>
      </c>
    </row>
    <row r="1820" spans="2:2" ht="15.6">
      <c r="B1820" s="171">
        <v>-1879.8419522403935</v>
      </c>
    </row>
    <row r="1821" spans="2:2" ht="15.6">
      <c r="B1821" s="171">
        <v>-1808.9769470932956</v>
      </c>
    </row>
    <row r="1822" spans="2:2" ht="15.6">
      <c r="B1822" s="171">
        <v>-1116.1262826445823</v>
      </c>
    </row>
    <row r="1823" spans="2:2" ht="15.6">
      <c r="B1823" s="171">
        <v>-1454.4409970821368</v>
      </c>
    </row>
    <row r="1824" spans="2:2" ht="15.6">
      <c r="B1824" s="171">
        <v>-1642.9100286799958</v>
      </c>
    </row>
    <row r="1825" spans="2:2" ht="15.6">
      <c r="B1825" s="171">
        <v>-1225.1589443194307</v>
      </c>
    </row>
    <row r="1826" spans="2:2" ht="15.6">
      <c r="B1826" s="171">
        <v>-1252.5557389047301</v>
      </c>
    </row>
    <row r="1827" spans="2:2" ht="15.6">
      <c r="B1827" s="171">
        <v>-1853.8832059791771</v>
      </c>
    </row>
    <row r="1828" spans="2:2" ht="15.6">
      <c r="B1828" s="171">
        <v>-2071.2100351491436</v>
      </c>
    </row>
    <row r="1829" spans="2:2" ht="15.6">
      <c r="B1829" s="171">
        <v>-1348.5836572514881</v>
      </c>
    </row>
    <row r="1830" spans="2:2" ht="15.6">
      <c r="B1830" s="171">
        <v>-1028.0732824840568</v>
      </c>
    </row>
    <row r="1831" spans="2:2" ht="15.6">
      <c r="B1831" s="171">
        <v>-2117.5884360536675</v>
      </c>
    </row>
    <row r="1832" spans="2:2" ht="15.6">
      <c r="B1832" s="171">
        <v>-1319.4924576894664</v>
      </c>
    </row>
    <row r="1833" spans="2:2" ht="15.6">
      <c r="B1833" s="171">
        <v>-705.0063980722723</v>
      </c>
    </row>
    <row r="1834" spans="2:2" ht="15.6">
      <c r="B1834" s="171">
        <v>-1280.1888016921268</v>
      </c>
    </row>
    <row r="1835" spans="2:2" ht="15.6">
      <c r="B1835" s="171">
        <v>-1971.8018353074572</v>
      </c>
    </row>
    <row r="1836" spans="2:2" ht="15.6">
      <c r="B1836" s="171">
        <v>-1790.5201016669691</v>
      </c>
    </row>
    <row r="1837" spans="2:2" ht="15.6">
      <c r="B1837" s="171">
        <v>-1809.1821881434194</v>
      </c>
    </row>
    <row r="1838" spans="2:2" ht="15.6">
      <c r="B1838" s="171">
        <v>-1365.8277140380444</v>
      </c>
    </row>
    <row r="1839" spans="2:2" ht="15.6">
      <c r="B1839" s="171">
        <v>-1949.1601052903461</v>
      </c>
    </row>
    <row r="1840" spans="2:2" ht="15.6">
      <c r="B1840" s="171">
        <v>-1773.9049958468556</v>
      </c>
    </row>
    <row r="1841" spans="2:2" ht="15.6">
      <c r="B1841" s="171">
        <v>-1982.1075475351697</v>
      </c>
    </row>
    <row r="1842" spans="2:2" ht="15.6">
      <c r="B1842" s="171">
        <v>-1163.2944929217249</v>
      </c>
    </row>
    <row r="1843" spans="2:2" ht="15.6">
      <c r="B1843" s="171">
        <v>-950.31842733818587</v>
      </c>
    </row>
    <row r="1844" spans="2:2" ht="15.6">
      <c r="B1844" s="171">
        <v>-1923.6873678542602</v>
      </c>
    </row>
    <row r="1845" spans="2:2" ht="15.6">
      <c r="B1845" s="171">
        <v>-1003.1052576878367</v>
      </c>
    </row>
    <row r="1846" spans="2:2" ht="15.6">
      <c r="B1846" s="171">
        <v>-1212.1783139172819</v>
      </c>
    </row>
    <row r="1847" spans="2:2" ht="15.6">
      <c r="B1847" s="171">
        <v>-1276.7399736548211</v>
      </c>
    </row>
    <row r="1848" spans="2:2" ht="15.6">
      <c r="B1848" s="171">
        <v>-1749.3974604179548</v>
      </c>
    </row>
    <row r="1849" spans="2:2" ht="15.6">
      <c r="B1849" s="171">
        <v>-1843.3929491649496</v>
      </c>
    </row>
    <row r="1850" spans="2:2" ht="15.6">
      <c r="B1850" s="171">
        <v>-1697.1721366073621</v>
      </c>
    </row>
    <row r="1851" spans="2:2" ht="15.6">
      <c r="B1851" s="171">
        <v>-1528.1089111435854</v>
      </c>
    </row>
    <row r="1852" spans="2:2" ht="15.6">
      <c r="B1852" s="171">
        <v>-1575.1139951406071</v>
      </c>
    </row>
    <row r="1853" spans="2:2" ht="15.6">
      <c r="B1853" s="171">
        <v>-950.22889975789928</v>
      </c>
    </row>
    <row r="1854" spans="2:2" ht="15.6">
      <c r="B1854" s="171">
        <v>-1037.9641732577891</v>
      </c>
    </row>
    <row r="1855" spans="2:2" ht="15.6">
      <c r="B1855" s="171">
        <v>-1548.7384799666484</v>
      </c>
    </row>
    <row r="1856" spans="2:2" ht="15.6">
      <c r="B1856" s="171">
        <v>-999.12637756832203</v>
      </c>
    </row>
    <row r="1857" spans="2:2" ht="15.6">
      <c r="B1857" s="171">
        <v>-1685.4975717967877</v>
      </c>
    </row>
    <row r="1858" spans="2:2" ht="15.6">
      <c r="B1858" s="171">
        <v>-1051.7655166703817</v>
      </c>
    </row>
    <row r="1859" spans="2:2" ht="15.6">
      <c r="B1859" s="171">
        <v>-2529.0851357432971</v>
      </c>
    </row>
    <row r="1860" spans="2:2" ht="15.6">
      <c r="B1860" s="171">
        <v>-1699.6031448386225</v>
      </c>
    </row>
    <row r="1861" spans="2:2" ht="15.6">
      <c r="B1861" s="171">
        <v>-1828.3999062761804</v>
      </c>
    </row>
    <row r="1862" spans="2:2" ht="15.6">
      <c r="B1862" s="171">
        <v>-1435.1708974324281</v>
      </c>
    </row>
    <row r="1863" spans="2:2" ht="15.6">
      <c r="B1863" s="171">
        <v>-2313.4790638935478</v>
      </c>
    </row>
    <row r="1864" spans="2:2" ht="15.6">
      <c r="B1864" s="171">
        <v>-1400.4177482951798</v>
      </c>
    </row>
    <row r="1865" spans="2:2" ht="15.6">
      <c r="B1865" s="171">
        <v>-1332.6608656989342</v>
      </c>
    </row>
    <row r="1866" spans="2:2" ht="15.6">
      <c r="B1866" s="171">
        <v>-1717.6860571725367</v>
      </c>
    </row>
    <row r="1867" spans="2:2" ht="15.6">
      <c r="B1867" s="171">
        <v>-814.03572080817344</v>
      </c>
    </row>
    <row r="1868" spans="2:2" ht="15.6">
      <c r="B1868" s="171">
        <v>-1549.0944864978092</v>
      </c>
    </row>
    <row r="1869" spans="2:2" ht="15.6">
      <c r="B1869" s="171">
        <v>-1862.9098207516708</v>
      </c>
    </row>
    <row r="1870" spans="2:2" ht="15.6">
      <c r="B1870" s="171">
        <v>-1693.0313220990333</v>
      </c>
    </row>
    <row r="1871" spans="2:2" ht="15.6">
      <c r="B1871" s="171">
        <v>-1335.8800712297223</v>
      </c>
    </row>
    <row r="1872" spans="2:2" ht="15.6">
      <c r="B1872" s="171">
        <v>-1850.2149007553828</v>
      </c>
    </row>
    <row r="1873" spans="2:2" ht="15.6">
      <c r="B1873" s="171">
        <v>-1700.8478730991133</v>
      </c>
    </row>
    <row r="1874" spans="2:2" ht="15.6">
      <c r="B1874" s="171">
        <v>-1663.5173279147912</v>
      </c>
    </row>
    <row r="1875" spans="2:2" ht="15.6">
      <c r="B1875" s="171">
        <v>-1516.579802794349</v>
      </c>
    </row>
    <row r="1876" spans="2:2" ht="15.6">
      <c r="B1876" s="171">
        <v>-1309.6214334223014</v>
      </c>
    </row>
    <row r="1877" spans="2:2" ht="15.6">
      <c r="B1877" s="171">
        <v>-1229.4297539843196</v>
      </c>
    </row>
    <row r="1878" spans="2:2" ht="15.6">
      <c r="B1878" s="171">
        <v>-1282.5646174417384</v>
      </c>
    </row>
    <row r="1879" spans="2:2" ht="15.6">
      <c r="B1879" s="171">
        <v>-1951.7506258410945</v>
      </c>
    </row>
    <row r="1880" spans="2:2" ht="15.6">
      <c r="B1880" s="171">
        <v>-1495.3085220678295</v>
      </c>
    </row>
    <row r="1881" spans="2:2" ht="15.6">
      <c r="B1881" s="171">
        <v>-1425.7519171983809</v>
      </c>
    </row>
    <row r="1882" spans="2:2" ht="15.6">
      <c r="B1882" s="171">
        <v>-1972.7151648925608</v>
      </c>
    </row>
    <row r="1883" spans="2:2" ht="15.6">
      <c r="B1883" s="171">
        <v>-1190.5002897631146</v>
      </c>
    </row>
    <row r="1884" spans="2:2" ht="15.6">
      <c r="B1884" s="171">
        <v>-1581.7631656390149</v>
      </c>
    </row>
    <row r="1885" spans="2:2" ht="15.6">
      <c r="B1885" s="171">
        <v>-2024.5241962440582</v>
      </c>
    </row>
    <row r="1886" spans="2:2" ht="15.6">
      <c r="B1886" s="171">
        <v>-1692.1051408163758</v>
      </c>
    </row>
    <row r="1887" spans="2:2" ht="15.6">
      <c r="B1887" s="171">
        <v>-1470.1601462171307</v>
      </c>
    </row>
    <row r="1888" spans="2:2" ht="15.6">
      <c r="B1888" s="171">
        <v>-2139.6237270945549</v>
      </c>
    </row>
    <row r="1889" spans="2:2" ht="15.6">
      <c r="B1889" s="171">
        <v>-1205.516642634545</v>
      </c>
    </row>
    <row r="1890" spans="2:2" ht="15.6">
      <c r="B1890" s="171">
        <v>-1465.0873476354852</v>
      </c>
    </row>
    <row r="1891" spans="2:2" ht="15.6">
      <c r="B1891" s="171">
        <v>-1293.7198378671123</v>
      </c>
    </row>
    <row r="1892" spans="2:2" ht="15.6">
      <c r="B1892" s="171">
        <v>-1463.8469662381726</v>
      </c>
    </row>
    <row r="1893" spans="2:2" ht="15.6">
      <c r="B1893" s="171">
        <v>-1483.1525165906564</v>
      </c>
    </row>
    <row r="1894" spans="2:2" ht="15.6">
      <c r="B1894" s="171">
        <v>-1746.0567691395552</v>
      </c>
    </row>
    <row r="1895" spans="2:2" ht="15.6">
      <c r="B1895" s="171">
        <v>-1339.0740618382272</v>
      </c>
    </row>
    <row r="1896" spans="2:2" ht="15.6">
      <c r="B1896" s="171">
        <v>-2289.7930234382625</v>
      </c>
    </row>
    <row r="1897" spans="2:2" ht="15.6">
      <c r="B1897" s="171">
        <v>-1342.7622988712803</v>
      </c>
    </row>
    <row r="1898" spans="2:2" ht="15.6">
      <c r="B1898" s="171">
        <v>-1181.8541115694118</v>
      </c>
    </row>
    <row r="1899" spans="2:2" ht="15.6">
      <c r="B1899" s="171">
        <v>-1368.1376555963361</v>
      </c>
    </row>
    <row r="1900" spans="2:2" ht="15.6">
      <c r="B1900" s="171">
        <v>-1508.3000193489752</v>
      </c>
    </row>
    <row r="1901" spans="2:2" ht="15.6">
      <c r="B1901" s="171">
        <v>-1209.1278161475459</v>
      </c>
    </row>
    <row r="1902" spans="2:2" ht="15.6">
      <c r="B1902" s="171">
        <v>-1497.8706018266673</v>
      </c>
    </row>
    <row r="1903" spans="2:2" ht="15.6">
      <c r="B1903" s="171">
        <v>-2127.8083331702474</v>
      </c>
    </row>
    <row r="1904" spans="2:2" ht="15.6">
      <c r="B1904" s="171">
        <v>-1710.8509192080514</v>
      </c>
    </row>
    <row r="1905" spans="2:2" ht="15.6">
      <c r="B1905" s="171">
        <v>-719.06289375210918</v>
      </c>
    </row>
    <row r="1906" spans="2:2" ht="15.6">
      <c r="B1906" s="171">
        <v>-1774.2284501692288</v>
      </c>
    </row>
    <row r="1907" spans="2:2" ht="15.6">
      <c r="B1907" s="171">
        <v>-1493.2484817610546</v>
      </c>
    </row>
    <row r="1908" spans="2:2" ht="15.6">
      <c r="B1908" s="171">
        <v>-1478.6466782956195</v>
      </c>
    </row>
    <row r="1909" spans="2:2" ht="15.6">
      <c r="B1909" s="171">
        <v>-1461.9614372166147</v>
      </c>
    </row>
    <row r="1910" spans="2:2" ht="15.6">
      <c r="B1910" s="171">
        <v>-1949.8260524465977</v>
      </c>
    </row>
    <row r="1911" spans="2:2" ht="15.6">
      <c r="B1911" s="171">
        <v>-1709.8443677811963</v>
      </c>
    </row>
    <row r="1912" spans="2:2" ht="15.6">
      <c r="B1912" s="171">
        <v>-1910.555516771331</v>
      </c>
    </row>
    <row r="1913" spans="2:2" ht="15.6">
      <c r="B1913" s="171">
        <v>-1948.7047294959248</v>
      </c>
    </row>
    <row r="1914" spans="2:2" ht="15.6">
      <c r="B1914" s="171">
        <v>-1049.3596789011744</v>
      </c>
    </row>
    <row r="1915" spans="2:2" ht="15.6">
      <c r="B1915" s="171">
        <v>-1013.7401701102602</v>
      </c>
    </row>
    <row r="1916" spans="2:2" ht="15.6">
      <c r="B1916" s="171">
        <v>-1778.4689501253617</v>
      </c>
    </row>
    <row r="1917" spans="2:2" ht="15.6">
      <c r="B1917" s="171">
        <v>-1737.894565766954</v>
      </c>
    </row>
    <row r="1918" spans="2:2" ht="15.6">
      <c r="B1918" s="171">
        <v>-1679.2697609397064</v>
      </c>
    </row>
    <row r="1919" spans="2:2" ht="15.6">
      <c r="B1919" s="171">
        <v>-1676.5820809500744</v>
      </c>
    </row>
    <row r="1920" spans="2:2" ht="15.6">
      <c r="B1920" s="171">
        <v>-1086.0921333750434</v>
      </c>
    </row>
    <row r="1921" spans="2:2" ht="15.6">
      <c r="B1921" s="171">
        <v>-1727.7653747077343</v>
      </c>
    </row>
    <row r="1922" spans="2:2" ht="15.6">
      <c r="B1922" s="171">
        <v>-1295.4456483812248</v>
      </c>
    </row>
    <row r="1923" spans="2:2" ht="15.6">
      <c r="B1923" s="171">
        <v>-1048.4225503279649</v>
      </c>
    </row>
    <row r="1924" spans="2:2" ht="15.6">
      <c r="B1924" s="171">
        <v>-1465.1961214169178</v>
      </c>
    </row>
    <row r="1925" spans="2:2" ht="15.6">
      <c r="B1925" s="171">
        <v>-1408.4929939371334</v>
      </c>
    </row>
    <row r="1926" spans="2:2" ht="15.6">
      <c r="B1926" s="171">
        <v>-1190.260169273663</v>
      </c>
    </row>
    <row r="1927" spans="2:2" ht="15.6">
      <c r="B1927" s="171">
        <v>-1760.1784510711434</v>
      </c>
    </row>
    <row r="1928" spans="2:2" ht="15.6">
      <c r="B1928" s="171">
        <v>-1526.8534277187682</v>
      </c>
    </row>
    <row r="1929" spans="2:2" ht="15.6">
      <c r="B1929" s="171">
        <v>-1506.140906318265</v>
      </c>
    </row>
    <row r="1930" spans="2:2" ht="15.6">
      <c r="B1930" s="171">
        <v>-2092.4147937455696</v>
      </c>
    </row>
    <row r="1931" spans="2:2" ht="15.6">
      <c r="B1931" s="171">
        <v>-996.1050529814845</v>
      </c>
    </row>
    <row r="1932" spans="2:2" ht="15.6">
      <c r="B1932" s="171">
        <v>-1646.0969313792643</v>
      </c>
    </row>
    <row r="1933" spans="2:2" ht="15.6">
      <c r="B1933" s="171">
        <v>-1411.5429624235435</v>
      </c>
    </row>
    <row r="1934" spans="2:2" ht="15.6">
      <c r="B1934" s="171">
        <v>-1685.7256719130894</v>
      </c>
    </row>
    <row r="1935" spans="2:2" ht="15.6">
      <c r="B1935" s="171">
        <v>-1789.8761348175201</v>
      </c>
    </row>
    <row r="1936" spans="2:2" ht="15.6">
      <c r="B1936" s="171">
        <v>-1397.3656665551339</v>
      </c>
    </row>
    <row r="1937" spans="2:2" ht="15.6">
      <c r="B1937" s="171">
        <v>-1299.266179064397</v>
      </c>
    </row>
    <row r="1938" spans="2:2" ht="15.6">
      <c r="B1938" s="171">
        <v>-917.48916287426778</v>
      </c>
    </row>
    <row r="1939" spans="2:2" ht="15.6">
      <c r="B1939" s="171">
        <v>-1918.6469421666575</v>
      </c>
    </row>
    <row r="1940" spans="2:2" ht="15.6">
      <c r="B1940" s="171">
        <v>-2321.5489760258356</v>
      </c>
    </row>
    <row r="1941" spans="2:2" ht="15.6">
      <c r="B1941" s="171">
        <v>-1696.7989412203433</v>
      </c>
    </row>
    <row r="1942" spans="2:2" ht="15.6">
      <c r="B1942" s="171">
        <v>-1375.5672930998194</v>
      </c>
    </row>
    <row r="1943" spans="2:2" ht="15.6">
      <c r="B1943" s="171">
        <v>-1256.8988159667797</v>
      </c>
    </row>
    <row r="1944" spans="2:2" ht="15.6">
      <c r="B1944" s="171">
        <v>-1635.7352409201571</v>
      </c>
    </row>
    <row r="1945" spans="2:2" ht="15.6">
      <c r="B1945" s="171">
        <v>-1980.2687211465338</v>
      </c>
    </row>
    <row r="1946" spans="2:2" ht="15.6">
      <c r="B1946" s="171">
        <v>-1403.8735423821965</v>
      </c>
    </row>
    <row r="1947" spans="2:2" ht="15.6">
      <c r="B1947" s="171">
        <v>-1254.2892415202243</v>
      </c>
    </row>
    <row r="1948" spans="2:2" ht="15.6">
      <c r="B1948" s="171">
        <v>-2749.0462886165838</v>
      </c>
    </row>
    <row r="1949" spans="2:2" ht="15.6">
      <c r="B1949" s="171">
        <v>-2288.6049050707652</v>
      </c>
    </row>
    <row r="1950" spans="2:2" ht="15.6">
      <c r="B1950" s="171">
        <v>-2346.1956302429894</v>
      </c>
    </row>
    <row r="1951" spans="2:2" ht="15.6">
      <c r="B1951" s="171">
        <v>-1537.0615377261433</v>
      </c>
    </row>
    <row r="1952" spans="2:2" ht="15.6">
      <c r="B1952" s="171">
        <v>-2059.9145609247444</v>
      </c>
    </row>
    <row r="1953" spans="2:2" ht="15.6">
      <c r="B1953" s="171">
        <v>-1484.433653836162</v>
      </c>
    </row>
    <row r="1954" spans="2:2" ht="15.6">
      <c r="B1954" s="171">
        <v>-2042.15301618898</v>
      </c>
    </row>
    <row r="1955" spans="2:2" ht="15.6">
      <c r="B1955" s="171">
        <v>-1466.0621426658277</v>
      </c>
    </row>
    <row r="1956" spans="2:2" ht="15.6">
      <c r="B1956" s="171">
        <v>-1568.6751575341507</v>
      </c>
    </row>
    <row r="1957" spans="2:2" ht="15.6">
      <c r="B1957" s="171">
        <v>-1800.0228786035761</v>
      </c>
    </row>
    <row r="1958" spans="2:2" ht="15.6">
      <c r="B1958" s="171">
        <v>-1638.4881426846762</v>
      </c>
    </row>
    <row r="1959" spans="2:2" ht="15.6">
      <c r="B1959" s="171">
        <v>-2247.1290099618991</v>
      </c>
    </row>
    <row r="1960" spans="2:2" ht="15.6">
      <c r="B1960" s="171">
        <v>-1064.3844646467003</v>
      </c>
    </row>
    <row r="1961" spans="2:2" ht="15.6">
      <c r="B1961" s="171">
        <v>-1389.9788693138969</v>
      </c>
    </row>
    <row r="1962" spans="2:2" ht="15.6">
      <c r="B1962" s="171">
        <v>-1076.7598236597064</v>
      </c>
    </row>
    <row r="1963" spans="2:2" ht="15.6">
      <c r="B1963" s="171">
        <v>-1958.9284645961236</v>
      </c>
    </row>
    <row r="1964" spans="2:2" ht="15.6">
      <c r="B1964" s="171">
        <v>-914.27010995743001</v>
      </c>
    </row>
    <row r="1965" spans="2:2" ht="15.6">
      <c r="B1965" s="171">
        <v>-2050.0394269944745</v>
      </c>
    </row>
    <row r="1966" spans="2:2" ht="15.6">
      <c r="B1966" s="171">
        <v>-2523.3164219604414</v>
      </c>
    </row>
    <row r="1967" spans="2:2" ht="15.6">
      <c r="B1967" s="171">
        <v>-1780.9771252635951</v>
      </c>
    </row>
    <row r="1968" spans="2:2" ht="15.6">
      <c r="B1968" s="171">
        <v>-1392.4855186169505</v>
      </c>
    </row>
    <row r="1969" spans="2:2" ht="15.6">
      <c r="B1969" s="171">
        <v>-1085.0834350618011</v>
      </c>
    </row>
    <row r="1970" spans="2:2" ht="15.6">
      <c r="B1970" s="171">
        <v>-2687.5994428165709</v>
      </c>
    </row>
    <row r="1971" spans="2:2" ht="15.6">
      <c r="B1971" s="171">
        <v>-912.75792097176497</v>
      </c>
    </row>
    <row r="1972" spans="2:2" ht="15.6">
      <c r="B1972" s="171">
        <v>-1027.9722418929825</v>
      </c>
    </row>
    <row r="1973" spans="2:2" ht="15.6">
      <c r="B1973" s="171">
        <v>-1338.9298979467339</v>
      </c>
    </row>
    <row r="1974" spans="2:2" ht="15.6">
      <c r="B1974" s="171">
        <v>-1935.2414430111251</v>
      </c>
    </row>
    <row r="1975" spans="2:2" ht="15.6">
      <c r="B1975" s="171">
        <v>-1817.193537512898</v>
      </c>
    </row>
    <row r="1976" spans="2:2" ht="15.6">
      <c r="B1976" s="171">
        <v>-1218.5248638923986</v>
      </c>
    </row>
    <row r="1977" spans="2:2" ht="15.6">
      <c r="B1977" s="171">
        <v>-969.82397674177275</v>
      </c>
    </row>
    <row r="1978" spans="2:2" ht="15.6">
      <c r="B1978" s="171">
        <v>-1014.4726654744004</v>
      </c>
    </row>
    <row r="1979" spans="2:2" ht="15.6">
      <c r="B1979" s="171">
        <v>-1829.760674407717</v>
      </c>
    </row>
    <row r="1980" spans="2:2" ht="15.6">
      <c r="B1980" s="171">
        <v>-1311.3482222452901</v>
      </c>
    </row>
    <row r="1981" spans="2:2" ht="15.6">
      <c r="B1981" s="171">
        <v>-1956.5973551582344</v>
      </c>
    </row>
    <row r="1982" spans="2:2" ht="15.6">
      <c r="B1982" s="171">
        <v>-1266.8134196097419</v>
      </c>
    </row>
    <row r="1983" spans="2:2" ht="15.6">
      <c r="B1983" s="171">
        <v>-2499.1802311874062</v>
      </c>
    </row>
    <row r="1984" spans="2:2" ht="15.6">
      <c r="B1984" s="171">
        <v>-1645.4468884769469</v>
      </c>
    </row>
    <row r="1985" spans="2:2" ht="15.6">
      <c r="B1985" s="171">
        <v>-1449.587157539876</v>
      </c>
    </row>
    <row r="1986" spans="2:2" ht="15.6">
      <c r="B1986" s="171">
        <v>-1671.4005202644732</v>
      </c>
    </row>
    <row r="1987" spans="2:2" ht="15.6">
      <c r="B1987" s="171">
        <v>-823.52133998861689</v>
      </c>
    </row>
    <row r="1988" spans="2:2" ht="15.6">
      <c r="B1988" s="171">
        <v>-1211.7987624321706</v>
      </c>
    </row>
    <row r="1989" spans="2:2" ht="15.6">
      <c r="B1989" s="171">
        <v>-2343.7666647711139</v>
      </c>
    </row>
    <row r="1990" spans="2:2" ht="15.6">
      <c r="B1990" s="171">
        <v>-2214.8667250991116</v>
      </c>
    </row>
    <row r="1991" spans="2:2" ht="15.6">
      <c r="B1991" s="171">
        <v>-1819.8345351891437</v>
      </c>
    </row>
    <row r="1992" spans="2:2" ht="15.6">
      <c r="B1992" s="171">
        <v>-1343.53535755763</v>
      </c>
    </row>
    <row r="1993" spans="2:2" ht="15.6">
      <c r="B1993" s="171">
        <v>-1108.2632315725107</v>
      </c>
    </row>
    <row r="1994" spans="2:2" ht="15.6">
      <c r="B1994" s="171">
        <v>-1236.3051276363585</v>
      </c>
    </row>
    <row r="1995" spans="2:2" ht="15.6">
      <c r="B1995" s="171">
        <v>-2385.0717397324006</v>
      </c>
    </row>
    <row r="1996" spans="2:2" ht="15.6">
      <c r="B1996" s="171">
        <v>-2134.626279995698</v>
      </c>
    </row>
    <row r="1997" spans="2:2" ht="15.6">
      <c r="B1997" s="171">
        <v>-1544.5791404842596</v>
      </c>
    </row>
    <row r="1998" spans="2:2" ht="15.6">
      <c r="B1998" s="171">
        <v>-1267.3257530182882</v>
      </c>
    </row>
    <row r="1999" spans="2:2" ht="15.6">
      <c r="B1999" s="171">
        <v>-994.05731959545199</v>
      </c>
    </row>
    <row r="2000" spans="2:2" ht="15.6">
      <c r="B2000" s="171">
        <v>-1618.771362149721</v>
      </c>
    </row>
    <row r="2001" spans="2:2" ht="15.6">
      <c r="B2001" s="171">
        <v>-1744.8815416681357</v>
      </c>
    </row>
    <row r="2002" spans="2:2" ht="15.6">
      <c r="B2002" s="171">
        <v>-2158.3279682297416</v>
      </c>
    </row>
    <row r="2003" spans="2:2" ht="15.6">
      <c r="B2003" s="171">
        <v>-1745.5701157980957</v>
      </c>
    </row>
    <row r="2004" spans="2:2" ht="15.6">
      <c r="B2004" s="171">
        <v>-1817.4732980270051</v>
      </c>
    </row>
    <row r="2005" spans="2:2" ht="15.6">
      <c r="B2005" s="171">
        <v>-1519.4170849133375</v>
      </c>
    </row>
    <row r="2006" spans="2:2" ht="15.6">
      <c r="B2006" s="171">
        <v>-701.57138081864741</v>
      </c>
    </row>
    <row r="2007" spans="2:2" ht="15.6">
      <c r="B2007" s="171">
        <v>-1328.1842964966083</v>
      </c>
    </row>
    <row r="2008" spans="2:2" ht="15.6">
      <c r="B2008" s="171">
        <v>-1126.1629904394238</v>
      </c>
    </row>
    <row r="2009" spans="2:2" ht="15.6">
      <c r="B2009" s="171">
        <v>-2577.7821292380286</v>
      </c>
    </row>
    <row r="2010" spans="2:2" ht="15.6">
      <c r="B2010" s="171">
        <v>-1444.7531325541299</v>
      </c>
    </row>
    <row r="2011" spans="2:2" ht="15.6">
      <c r="B2011" s="171">
        <v>-1278.8012566836485</v>
      </c>
    </row>
    <row r="2012" spans="2:2" ht="15.6">
      <c r="B2012" s="171">
        <v>-1123.9472126484209</v>
      </c>
    </row>
    <row r="2013" spans="2:2" ht="15.6">
      <c r="B2013" s="171">
        <v>-2086.4379618316816</v>
      </c>
    </row>
    <row r="2014" spans="2:2" ht="15.6">
      <c r="B2014" s="171">
        <v>-1259.6083751627559</v>
      </c>
    </row>
    <row r="2015" spans="2:2" ht="15.6">
      <c r="B2015" s="171">
        <v>-1567.8633516610976</v>
      </c>
    </row>
    <row r="2016" spans="2:2" ht="15.6">
      <c r="B2016" s="171">
        <v>-2010.230531702236</v>
      </c>
    </row>
    <row r="2017" spans="2:2" ht="15.6">
      <c r="B2017" s="171">
        <v>-1837.7551016185303</v>
      </c>
    </row>
    <row r="2018" spans="2:2" ht="15.6">
      <c r="B2018" s="171">
        <v>-1976.7408584166174</v>
      </c>
    </row>
    <row r="2019" spans="2:2" ht="15.6">
      <c r="B2019" s="171">
        <v>-1416.6839755351418</v>
      </c>
    </row>
    <row r="2020" spans="2:2" ht="15.6">
      <c r="B2020" s="171">
        <v>-2453.956869516569</v>
      </c>
    </row>
    <row r="2021" spans="2:2" ht="15.6">
      <c r="B2021" s="171">
        <v>-1794.8081587029551</v>
      </c>
    </row>
    <row r="2022" spans="2:2" ht="15.6">
      <c r="B2022" s="171">
        <v>-1759.4554856025602</v>
      </c>
    </row>
    <row r="2023" spans="2:2" ht="15.6">
      <c r="B2023" s="171">
        <v>-1453.1016955430507</v>
      </c>
    </row>
    <row r="2024" spans="2:2" ht="15.6">
      <c r="B2024" s="171">
        <v>-1350.1152326902538</v>
      </c>
    </row>
    <row r="2025" spans="2:2" ht="15.6">
      <c r="B2025" s="171">
        <v>-1497.9816413048786</v>
      </c>
    </row>
    <row r="2026" spans="2:2" ht="15.6">
      <c r="B2026" s="171">
        <v>-2351.6963862210282</v>
      </c>
    </row>
    <row r="2027" spans="2:2" ht="15.6">
      <c r="B2027" s="171">
        <v>-1513.0606487438863</v>
      </c>
    </row>
    <row r="2028" spans="2:2" ht="15.6">
      <c r="B2028" s="171">
        <v>-2257.9448512930539</v>
      </c>
    </row>
    <row r="2029" spans="2:2" ht="15.6">
      <c r="B2029" s="171">
        <v>-1284.4816469541283</v>
      </c>
    </row>
    <row r="2030" spans="2:2" ht="15.6">
      <c r="B2030" s="171">
        <v>-1791.4700094505311</v>
      </c>
    </row>
    <row r="2031" spans="2:2" ht="15.6">
      <c r="B2031" s="171">
        <v>-814.75340154876721</v>
      </c>
    </row>
    <row r="2032" spans="2:2" ht="15.6">
      <c r="B2032" s="171">
        <v>-1298.1752723674654</v>
      </c>
    </row>
    <row r="2033" spans="2:2" ht="15.6">
      <c r="B2033" s="171">
        <v>-1103.5585325720758</v>
      </c>
    </row>
    <row r="2034" spans="2:2" ht="15.6">
      <c r="B2034" s="171">
        <v>-1189.3126816218412</v>
      </c>
    </row>
    <row r="2035" spans="2:2" ht="15.6">
      <c r="B2035" s="171">
        <v>-1975.588341596288</v>
      </c>
    </row>
    <row r="2036" spans="2:2" ht="15.6">
      <c r="B2036" s="171">
        <v>-1876.1681012600745</v>
      </c>
    </row>
    <row r="2037" spans="2:2" ht="15.6">
      <c r="B2037" s="171">
        <v>-1717.9138841695474</v>
      </c>
    </row>
    <row r="2038" spans="2:2" ht="15.6">
      <c r="B2038" s="171">
        <v>-1592.0966746825782</v>
      </c>
    </row>
    <row r="2039" spans="2:2" ht="15.6">
      <c r="B2039" s="171">
        <v>-1627.8568586392287</v>
      </c>
    </row>
    <row r="2040" spans="2:2" ht="15.6">
      <c r="B2040" s="171">
        <v>-1573.6605410985699</v>
      </c>
    </row>
    <row r="2041" spans="2:2" ht="15.6">
      <c r="B2041" s="171">
        <v>-1248.1592264078408</v>
      </c>
    </row>
    <row r="2042" spans="2:2" ht="15.6">
      <c r="B2042" s="171">
        <v>-979.02288631980275</v>
      </c>
    </row>
    <row r="2043" spans="2:2" ht="15.6">
      <c r="B2043" s="171">
        <v>-2575.2796427216203</v>
      </c>
    </row>
    <row r="2044" spans="2:2" ht="15.6">
      <c r="B2044" s="171">
        <v>-1364.9367661691708</v>
      </c>
    </row>
    <row r="2045" spans="2:2" ht="15.6">
      <c r="B2045" s="171">
        <v>-1805.4455370849096</v>
      </c>
    </row>
    <row r="2046" spans="2:2" ht="15.6">
      <c r="B2046" s="171">
        <v>-1772.8713305164754</v>
      </c>
    </row>
    <row r="2047" spans="2:2" ht="15.6">
      <c r="B2047" s="171">
        <v>-2320.3689969082106</v>
      </c>
    </row>
    <row r="2048" spans="2:2" ht="15.6">
      <c r="B2048" s="171">
        <v>-1770.9260300800017</v>
      </c>
    </row>
    <row r="2049" spans="2:2" ht="15.6">
      <c r="B2049" s="171">
        <v>-1583.2229527153499</v>
      </c>
    </row>
    <row r="2050" spans="2:2" ht="15.6">
      <c r="B2050" s="171">
        <v>-1103.5245275431992</v>
      </c>
    </row>
    <row r="2051" spans="2:2" ht="15.6">
      <c r="B2051" s="171">
        <v>-1693.7894863641257</v>
      </c>
    </row>
    <row r="2052" spans="2:2" ht="15.6">
      <c r="B2052" s="171">
        <v>-2007.1177050826705</v>
      </c>
    </row>
    <row r="2053" spans="2:2" ht="15.6">
      <c r="B2053" s="171">
        <v>-1270.1605247147563</v>
      </c>
    </row>
    <row r="2054" spans="2:2" ht="15.6">
      <c r="B2054" s="171">
        <v>-2148.7457516463264</v>
      </c>
    </row>
    <row r="2055" spans="2:2" ht="15.6">
      <c r="B2055" s="171">
        <v>-1586.9517286271498</v>
      </c>
    </row>
    <row r="2056" spans="2:2" ht="15.6">
      <c r="B2056" s="171">
        <v>-1407.8900356484044</v>
      </c>
    </row>
    <row r="2057" spans="2:2" ht="15.6">
      <c r="B2057" s="171">
        <v>-1504.6447880031731</v>
      </c>
    </row>
    <row r="2058" spans="2:2" ht="15.6">
      <c r="B2058" s="171">
        <v>-1004.4529635871919</v>
      </c>
    </row>
    <row r="2059" spans="2:2" ht="15.6">
      <c r="B2059" s="171">
        <v>-1612.6852014152068</v>
      </c>
    </row>
    <row r="2060" spans="2:2" ht="15.6">
      <c r="B2060" s="171">
        <v>-1524.8147841861219</v>
      </c>
    </row>
    <row r="2061" spans="2:2" ht="15.6">
      <c r="B2061" s="171">
        <v>-1264.1080874326963</v>
      </c>
    </row>
    <row r="2062" spans="2:2" ht="15.6">
      <c r="B2062" s="171">
        <v>-1352.9917467247178</v>
      </c>
    </row>
    <row r="2063" spans="2:2" ht="15.6">
      <c r="B2063" s="171">
        <v>-1434.5421323402852</v>
      </c>
    </row>
    <row r="2064" spans="2:2" ht="15.6">
      <c r="B2064" s="171">
        <v>-1552.9936257069276</v>
      </c>
    </row>
    <row r="2065" spans="2:2" ht="15.6">
      <c r="B2065" s="171">
        <v>-1430.9310651580781</v>
      </c>
    </row>
    <row r="2066" spans="2:2" ht="15.6">
      <c r="B2066" s="171">
        <v>-1687.3738878348231</v>
      </c>
    </row>
    <row r="2067" spans="2:2" ht="15.6">
      <c r="B2067" s="171">
        <v>-1350.1400159541301</v>
      </c>
    </row>
    <row r="2068" spans="2:2" ht="15.6">
      <c r="B2068" s="171">
        <v>-1422.0942348359576</v>
      </c>
    </row>
    <row r="2069" spans="2:2" ht="15.6">
      <c r="B2069" s="171">
        <v>-1918.6224880901013</v>
      </c>
    </row>
    <row r="2070" spans="2:2" ht="15.6">
      <c r="B2070" s="171">
        <v>-1586.3191044902499</v>
      </c>
    </row>
    <row r="2071" spans="2:2" ht="15.6">
      <c r="B2071" s="171">
        <v>-1935.7406281219589</v>
      </c>
    </row>
    <row r="2072" spans="2:2" ht="15.6">
      <c r="B2072" s="171">
        <v>-1581.1032863120561</v>
      </c>
    </row>
    <row r="2073" spans="2:2" ht="15.6">
      <c r="B2073" s="171">
        <v>-820.31569095193493</v>
      </c>
    </row>
    <row r="2074" spans="2:2" ht="15.6">
      <c r="B2074" s="171">
        <v>-1359.0405360810832</v>
      </c>
    </row>
    <row r="2075" spans="2:2" ht="15.6">
      <c r="B2075" s="171">
        <v>-1701.3226728393861</v>
      </c>
    </row>
    <row r="2076" spans="2:2" ht="15.6">
      <c r="B2076" s="171">
        <v>-1735.5966500341087</v>
      </c>
    </row>
    <row r="2077" spans="2:2" ht="15.6">
      <c r="B2077" s="171">
        <v>-2169.4846002393983</v>
      </c>
    </row>
    <row r="2078" spans="2:2" ht="15.6">
      <c r="B2078" s="171">
        <v>-919.53904294404288</v>
      </c>
    </row>
    <row r="2079" spans="2:2" ht="15.6">
      <c r="B2079" s="171">
        <v>-1501.2270722863223</v>
      </c>
    </row>
    <row r="2080" spans="2:2" ht="15.6">
      <c r="B2080" s="171">
        <v>-839.24465908485934</v>
      </c>
    </row>
    <row r="2081" spans="2:2" ht="15.6">
      <c r="B2081" s="171">
        <v>-1913.1140284931193</v>
      </c>
    </row>
    <row r="2082" spans="2:2" ht="15.6">
      <c r="B2082" s="171">
        <v>-1232.2214228707876</v>
      </c>
    </row>
    <row r="2083" spans="2:2" ht="15.6">
      <c r="B2083" s="171">
        <v>-1229.092760783235</v>
      </c>
    </row>
    <row r="2084" spans="2:2" ht="15.6">
      <c r="B2084" s="171">
        <v>-981.41831300307899</v>
      </c>
    </row>
    <row r="2085" spans="2:2" ht="15.6">
      <c r="B2085" s="171">
        <v>-2175.4289843190604</v>
      </c>
    </row>
    <row r="2086" spans="2:2" ht="15.6">
      <c r="B2086" s="171">
        <v>-1550.8801532334801</v>
      </c>
    </row>
    <row r="2087" spans="2:2" ht="15.6">
      <c r="B2087" s="171">
        <v>-2055.3374096809298</v>
      </c>
    </row>
    <row r="2088" spans="2:2" ht="15.6">
      <c r="B2088" s="171">
        <v>-1273.5857849980616</v>
      </c>
    </row>
    <row r="2089" spans="2:2" ht="15.6">
      <c r="B2089" s="171">
        <v>-1251.3503073837494</v>
      </c>
    </row>
    <row r="2090" spans="2:2" ht="15.6">
      <c r="B2090" s="171">
        <v>-2125.2264487810507</v>
      </c>
    </row>
    <row r="2091" spans="2:2" ht="15.6">
      <c r="B2091" s="171">
        <v>-1485.1328682082449</v>
      </c>
    </row>
    <row r="2092" spans="2:2" ht="15.6">
      <c r="B2092" s="171">
        <v>-1287.1508639653098</v>
      </c>
    </row>
    <row r="2093" spans="2:2" ht="15.6">
      <c r="B2093" s="171">
        <v>-1202.7413540002542</v>
      </c>
    </row>
    <row r="2094" spans="2:2" ht="15.6">
      <c r="B2094" s="171">
        <v>-1415.3400023188415</v>
      </c>
    </row>
    <row r="2095" spans="2:2" ht="15.6">
      <c r="B2095" s="171">
        <v>-2632.8194292665721</v>
      </c>
    </row>
    <row r="2096" spans="2:2" ht="15.6">
      <c r="B2096" s="171">
        <v>-1449.8936062564505</v>
      </c>
    </row>
    <row r="2097" spans="2:2" ht="15.6">
      <c r="B2097" s="171">
        <v>-2136.9347406666316</v>
      </c>
    </row>
    <row r="2098" spans="2:2" ht="15.6">
      <c r="B2098" s="171">
        <v>-2092.6780441211208</v>
      </c>
    </row>
    <row r="2099" spans="2:2" ht="15.6">
      <c r="B2099" s="171">
        <v>-1400.1755438517639</v>
      </c>
    </row>
    <row r="2100" spans="2:2" ht="15.6">
      <c r="B2100" s="171">
        <v>-1314.9065887538654</v>
      </c>
    </row>
    <row r="2101" spans="2:2" ht="15.6">
      <c r="B2101" s="171">
        <v>-1085.1705738641072</v>
      </c>
    </row>
    <row r="2102" spans="2:2" ht="15.6">
      <c r="B2102" s="171">
        <v>-2549.1844006527663</v>
      </c>
    </row>
    <row r="2103" spans="2:2" ht="15.6">
      <c r="B2103" s="171">
        <v>-1182.7155244445523</v>
      </c>
    </row>
    <row r="2104" spans="2:2" ht="15.6">
      <c r="B2104" s="171">
        <v>-1322.7378648495085</v>
      </c>
    </row>
    <row r="2105" spans="2:2" ht="15.6">
      <c r="B2105" s="171">
        <v>-1822.5861756805195</v>
      </c>
    </row>
    <row r="2106" spans="2:2" ht="15.6">
      <c r="B2106" s="171">
        <v>-1976.86260617886</v>
      </c>
    </row>
    <row r="2107" spans="2:2" ht="15.6">
      <c r="B2107" s="171">
        <v>-1447.5274159382629</v>
      </c>
    </row>
    <row r="2108" spans="2:2" ht="15.6">
      <c r="B2108" s="171">
        <v>-876.1149815969145</v>
      </c>
    </row>
    <row r="2109" spans="2:2" ht="15.6">
      <c r="B2109" s="171">
        <v>-1653.4997241558576</v>
      </c>
    </row>
    <row r="2110" spans="2:2" ht="15.6">
      <c r="B2110" s="171">
        <v>-1924.8373653066867</v>
      </c>
    </row>
    <row r="2111" spans="2:2" ht="15.6">
      <c r="B2111" s="171">
        <v>-2125.3950114581385</v>
      </c>
    </row>
    <row r="2112" spans="2:2" ht="15.6">
      <c r="B2112" s="171">
        <v>-2154.5866904158252</v>
      </c>
    </row>
    <row r="2113" spans="2:2" ht="15.6">
      <c r="B2113" s="171">
        <v>-2755.9254798469487</v>
      </c>
    </row>
    <row r="2114" spans="2:2" ht="15.6">
      <c r="B2114" s="171">
        <v>-1228.5356012719697</v>
      </c>
    </row>
    <row r="2115" spans="2:2" ht="15.6">
      <c r="B2115" s="171">
        <v>-1989.2286868874764</v>
      </c>
    </row>
    <row r="2116" spans="2:2" ht="15.6">
      <c r="B2116" s="171">
        <v>-1824.8596212267473</v>
      </c>
    </row>
    <row r="2117" spans="2:2" ht="15.6">
      <c r="B2117" s="171">
        <v>-1472.1587826933721</v>
      </c>
    </row>
    <row r="2118" spans="2:2" ht="15.6">
      <c r="B2118" s="171">
        <v>-1684.458181059844</v>
      </c>
    </row>
    <row r="2119" spans="2:2" ht="15.6">
      <c r="B2119" s="171">
        <v>-1356.503283463572</v>
      </c>
    </row>
    <row r="2120" spans="2:2" ht="15.6">
      <c r="B2120" s="171">
        <v>-1727.119897415995</v>
      </c>
    </row>
    <row r="2121" spans="2:2" ht="15.6">
      <c r="B2121" s="171">
        <v>-1130.4311296542335</v>
      </c>
    </row>
    <row r="2122" spans="2:2" ht="15.6">
      <c r="B2122" s="171">
        <v>-1696.4866617032087</v>
      </c>
    </row>
    <row r="2123" spans="2:2" ht="15.6">
      <c r="B2123" s="171">
        <v>-1246.4666743768671</v>
      </c>
    </row>
    <row r="2124" spans="2:2" ht="15.6">
      <c r="B2124" s="171">
        <v>-2149.3230853573955</v>
      </c>
    </row>
    <row r="2125" spans="2:2" ht="15.6">
      <c r="B2125" s="171">
        <v>-1577.5102450376687</v>
      </c>
    </row>
    <row r="2126" spans="2:2" ht="15.6">
      <c r="B2126" s="171">
        <v>-1752.6847950443355</v>
      </c>
    </row>
    <row r="2127" spans="2:2" ht="15.6">
      <c r="B2127" s="171">
        <v>-1121.9061196018076</v>
      </c>
    </row>
    <row r="2128" spans="2:2" ht="15.6">
      <c r="B2128" s="171">
        <v>-2307.973220108127</v>
      </c>
    </row>
    <row r="2129" spans="2:2" ht="15.6">
      <c r="B2129" s="171">
        <v>-1172.8412889010924</v>
      </c>
    </row>
    <row r="2130" spans="2:2" ht="15.6">
      <c r="B2130" s="171">
        <v>-1439.5603950679754</v>
      </c>
    </row>
    <row r="2131" spans="2:2" ht="15.6">
      <c r="B2131" s="171">
        <v>-859.14512817325169</v>
      </c>
    </row>
    <row r="2132" spans="2:2" ht="15.6">
      <c r="B2132" s="171">
        <v>-1241.1195623781973</v>
      </c>
    </row>
    <row r="2133" spans="2:2" ht="15.6">
      <c r="B2133" s="171">
        <v>-1359.3018967776707</v>
      </c>
    </row>
    <row r="2134" spans="2:2" ht="15.6">
      <c r="B2134" s="171">
        <v>-1420.9918544514539</v>
      </c>
    </row>
    <row r="2135" spans="2:2" ht="15.6">
      <c r="B2135" s="171">
        <v>-1757.0860368335902</v>
      </c>
    </row>
    <row r="2136" spans="2:2" ht="15.6">
      <c r="B2136" s="171">
        <v>-1528.8001216561543</v>
      </c>
    </row>
    <row r="2137" spans="2:2" ht="15.6">
      <c r="B2137" s="171">
        <v>-1455.738687168644</v>
      </c>
    </row>
    <row r="2138" spans="2:2" ht="15.6">
      <c r="B2138" s="171">
        <v>-1405.7566705109639</v>
      </c>
    </row>
    <row r="2139" spans="2:2" ht="15.6">
      <c r="B2139" s="171">
        <v>-1521.961219276413</v>
      </c>
    </row>
    <row r="2140" spans="2:2" ht="15.6">
      <c r="B2140" s="171">
        <v>-1636.8844500606351</v>
      </c>
    </row>
    <row r="2141" spans="2:2" ht="15.6">
      <c r="B2141" s="171">
        <v>-1260.8467188037228</v>
      </c>
    </row>
    <row r="2142" spans="2:2" ht="15.6">
      <c r="B2142" s="171">
        <v>-1251.7393158422406</v>
      </c>
    </row>
    <row r="2143" spans="2:2" ht="15.6">
      <c r="B2143" s="171">
        <v>-1284.0176952464942</v>
      </c>
    </row>
    <row r="2144" spans="2:2" ht="15.6">
      <c r="B2144" s="171">
        <v>-1800.6013072032424</v>
      </c>
    </row>
    <row r="2145" spans="2:2" ht="15.6">
      <c r="B2145" s="171">
        <v>-1348.6912466366855</v>
      </c>
    </row>
    <row r="2146" spans="2:2" ht="15.6">
      <c r="B2146" s="171">
        <v>-1224.1319901076092</v>
      </c>
    </row>
    <row r="2147" spans="2:2" ht="15.6">
      <c r="B2147" s="171">
        <v>-1828.3189137544678</v>
      </c>
    </row>
    <row r="2148" spans="2:2" ht="15.6">
      <c r="B2148" s="171">
        <v>-2781.702120067966</v>
      </c>
    </row>
    <row r="2149" spans="2:2" ht="15.6">
      <c r="B2149" s="171">
        <v>-1694.2397861151119</v>
      </c>
    </row>
    <row r="2150" spans="2:2" ht="15.6">
      <c r="B2150" s="171">
        <v>-1912.868362399835</v>
      </c>
    </row>
    <row r="2151" spans="2:2" ht="15.6">
      <c r="B2151" s="171">
        <v>-1535.0645054984134</v>
      </c>
    </row>
    <row r="2152" spans="2:2" ht="15.6">
      <c r="B2152" s="171">
        <v>-1612.4748897158868</v>
      </c>
    </row>
    <row r="2153" spans="2:2" ht="15.6">
      <c r="B2153" s="171">
        <v>-1539.7831190120273</v>
      </c>
    </row>
    <row r="2154" spans="2:2" ht="15.6">
      <c r="B2154" s="171">
        <v>-1772.6720130030701</v>
      </c>
    </row>
    <row r="2155" spans="2:2" ht="15.6">
      <c r="B2155" s="171">
        <v>-1187.2465198757891</v>
      </c>
    </row>
    <row r="2156" spans="2:2" ht="15.6">
      <c r="B2156" s="171">
        <v>-918.74063285812872</v>
      </c>
    </row>
    <row r="2157" spans="2:2" ht="15.6">
      <c r="B2157" s="171">
        <v>-1153.6529897957348</v>
      </c>
    </row>
    <row r="2158" spans="2:2" ht="15.6">
      <c r="B2158" s="171">
        <v>-1709.8754570199726</v>
      </c>
    </row>
    <row r="2159" spans="2:2" ht="15.6">
      <c r="B2159" s="171">
        <v>-1022.0285177395814</v>
      </c>
    </row>
    <row r="2160" spans="2:2" ht="15.6">
      <c r="B2160" s="171">
        <v>-876.40390260100173</v>
      </c>
    </row>
    <row r="2161" spans="2:2" ht="15.6">
      <c r="B2161" s="171">
        <v>-1689.561767420093</v>
      </c>
    </row>
    <row r="2162" spans="2:2" ht="15.6">
      <c r="B2162" s="171">
        <v>-1793.1721982999115</v>
      </c>
    </row>
    <row r="2163" spans="2:2" ht="15.6">
      <c r="B2163" s="171">
        <v>-2031.5794205681045</v>
      </c>
    </row>
    <row r="2164" spans="2:2" ht="15.6">
      <c r="B2164" s="171">
        <v>-1574.2050203864169</v>
      </c>
    </row>
    <row r="2165" spans="2:2" ht="15.6">
      <c r="B2165" s="171">
        <v>-1380.9214726159635</v>
      </c>
    </row>
    <row r="2166" spans="2:2" ht="15.6">
      <c r="B2166" s="171">
        <v>-1144.2886363182026</v>
      </c>
    </row>
    <row r="2167" spans="2:2" ht="15.6">
      <c r="B2167" s="171">
        <v>-1614.973013156919</v>
      </c>
    </row>
    <row r="2168" spans="2:2" ht="15.6">
      <c r="B2168" s="171">
        <v>-1742.8165514423008</v>
      </c>
    </row>
    <row r="2169" spans="2:2" ht="15.6">
      <c r="B2169" s="171">
        <v>-855.88844264435306</v>
      </c>
    </row>
    <row r="2170" spans="2:2" ht="15.6">
      <c r="B2170" s="171">
        <v>-1960.6768491578346</v>
      </c>
    </row>
    <row r="2171" spans="2:2" ht="15.6">
      <c r="B2171" s="171">
        <v>-1174.0550252454073</v>
      </c>
    </row>
    <row r="2172" spans="2:2" ht="15.6">
      <c r="B2172" s="171">
        <v>-1263.5264714249122</v>
      </c>
    </row>
    <row r="2173" spans="2:2" ht="15.6">
      <c r="B2173" s="171">
        <v>-1807.5924841594901</v>
      </c>
    </row>
    <row r="2174" spans="2:2" ht="15.6">
      <c r="B2174" s="171">
        <v>-1366.5456068544247</v>
      </c>
    </row>
    <row r="2175" spans="2:2" ht="15.6">
      <c r="B2175" s="171">
        <v>-1044.6098887719804</v>
      </c>
    </row>
    <row r="2176" spans="2:2" ht="15.6">
      <c r="B2176" s="171">
        <v>-926.80738848062435</v>
      </c>
    </row>
    <row r="2177" spans="2:2" ht="15.6">
      <c r="B2177" s="171">
        <v>-1588.4254149523717</v>
      </c>
    </row>
    <row r="2178" spans="2:2" ht="15.6">
      <c r="B2178" s="171">
        <v>-1469.0043897688299</v>
      </c>
    </row>
    <row r="2179" spans="2:2" ht="15.6">
      <c r="B2179" s="171">
        <v>-2337.398806221845</v>
      </c>
    </row>
    <row r="2180" spans="2:2" ht="15.6">
      <c r="B2180" s="171">
        <v>-1455.6794915490834</v>
      </c>
    </row>
    <row r="2181" spans="2:2" ht="15.6">
      <c r="B2181" s="171">
        <v>-2198.4035453779193</v>
      </c>
    </row>
    <row r="2182" spans="2:2" ht="15.6">
      <c r="B2182" s="171">
        <v>-2687.8730956132786</v>
      </c>
    </row>
    <row r="2183" spans="2:2" ht="15.6">
      <c r="B2183" s="171">
        <v>-1540.9565729620831</v>
      </c>
    </row>
    <row r="2184" spans="2:2" ht="15.6">
      <c r="B2184" s="171">
        <v>-1752.4462557429654</v>
      </c>
    </row>
    <row r="2185" spans="2:2" ht="15.6">
      <c r="B2185" s="171">
        <v>-1645.1957765511415</v>
      </c>
    </row>
    <row r="2186" spans="2:2" ht="15.6">
      <c r="B2186" s="171">
        <v>-1788.5800861871205</v>
      </c>
    </row>
    <row r="2187" spans="2:2" ht="15.6">
      <c r="B2187" s="171">
        <v>-1626.1465520235101</v>
      </c>
    </row>
    <row r="2188" spans="2:2" ht="15.6">
      <c r="B2188" s="171">
        <v>-1663.6446015014899</v>
      </c>
    </row>
    <row r="2189" spans="2:2" ht="15.6">
      <c r="B2189" s="171">
        <v>-1718.8836587840283</v>
      </c>
    </row>
    <row r="2190" spans="2:2" ht="15.6">
      <c r="B2190" s="171">
        <v>-1611.6888756308031</v>
      </c>
    </row>
    <row r="2191" spans="2:2" ht="15.6">
      <c r="B2191" s="171">
        <v>-2104.6464048631433</v>
      </c>
    </row>
    <row r="2192" spans="2:2" ht="15.6">
      <c r="B2192" s="171">
        <v>-2463.4934387429435</v>
      </c>
    </row>
    <row r="2193" spans="2:2" ht="15.6">
      <c r="B2193" s="171">
        <v>-1416.8537445520278</v>
      </c>
    </row>
    <row r="2194" spans="2:2" ht="15.6">
      <c r="B2194" s="171">
        <v>-1911.3229980864699</v>
      </c>
    </row>
    <row r="2195" spans="2:2" ht="15.6">
      <c r="B2195" s="171">
        <v>-1852.4703494973783</v>
      </c>
    </row>
    <row r="2196" spans="2:2" ht="15.6">
      <c r="B2196" s="171">
        <v>-1617.5014533900867</v>
      </c>
    </row>
    <row r="2197" spans="2:2" ht="15.6">
      <c r="B2197" s="171">
        <v>-1907.6342489501703</v>
      </c>
    </row>
    <row r="2198" spans="2:2" ht="15.6">
      <c r="B2198" s="171">
        <v>-1117.0033112312151</v>
      </c>
    </row>
    <row r="2199" spans="2:2" ht="15.6">
      <c r="B2199" s="171">
        <v>-1908.9079001199925</v>
      </c>
    </row>
    <row r="2200" spans="2:2" ht="15.6">
      <c r="B2200" s="171">
        <v>-1912.4116109879305</v>
      </c>
    </row>
    <row r="2201" spans="2:2" ht="15.6">
      <c r="B2201" s="171">
        <v>-1662.443681337701</v>
      </c>
    </row>
    <row r="2202" spans="2:2" ht="15.6">
      <c r="B2202" s="171">
        <v>-2472.1110763220513</v>
      </c>
    </row>
    <row r="2203" spans="2:2" ht="15.6">
      <c r="B2203" s="171">
        <v>-1072.2620405843466</v>
      </c>
    </row>
    <row r="2204" spans="2:2" ht="15.6">
      <c r="B2204" s="171">
        <v>-1143.6481554792279</v>
      </c>
    </row>
    <row r="2205" spans="2:2" ht="15.6">
      <c r="B2205" s="171">
        <v>-1735.1675126169187</v>
      </c>
    </row>
    <row r="2206" spans="2:2" ht="15.6">
      <c r="B2206" s="171">
        <v>-1747.9831771554709</v>
      </c>
    </row>
    <row r="2207" spans="2:2" ht="15.6">
      <c r="B2207" s="171">
        <v>-1722.426645245725</v>
      </c>
    </row>
    <row r="2208" spans="2:2" ht="15.6">
      <c r="B2208" s="171">
        <v>-1474.0589655312226</v>
      </c>
    </row>
    <row r="2209" spans="2:2" ht="15.6">
      <c r="B2209" s="171">
        <v>-1339.1402211502311</v>
      </c>
    </row>
    <row r="2210" spans="2:2" ht="15.6">
      <c r="B2210" s="171">
        <v>-1962.3244643574376</v>
      </c>
    </row>
    <row r="2211" spans="2:2" ht="15.6">
      <c r="B2211" s="171">
        <v>-1478.1944688626295</v>
      </c>
    </row>
    <row r="2212" spans="2:2" ht="15.6">
      <c r="B2212" s="171">
        <v>-1360.7540402779018</v>
      </c>
    </row>
    <row r="2213" spans="2:2" ht="15.6">
      <c r="B2213" s="171">
        <v>-1182.2648981938121</v>
      </c>
    </row>
    <row r="2214" spans="2:2" ht="15.6">
      <c r="B2214" s="171">
        <v>-1330.5998936472761</v>
      </c>
    </row>
    <row r="2215" spans="2:2" ht="15.6">
      <c r="B2215" s="171">
        <v>-2249.2773394260348</v>
      </c>
    </row>
    <row r="2216" spans="2:2" ht="15.6">
      <c r="B2216" s="171">
        <v>-1364.3962935858478</v>
      </c>
    </row>
    <row r="2217" spans="2:2" ht="15.6">
      <c r="B2217" s="171">
        <v>-1492.5418944372764</v>
      </c>
    </row>
    <row r="2218" spans="2:2" ht="15.6">
      <c r="B2218" s="171">
        <v>-1809.2527163903694</v>
      </c>
    </row>
    <row r="2219" spans="2:2" ht="15.6">
      <c r="B2219" s="171">
        <v>-1569.4281347595688</v>
      </c>
    </row>
    <row r="2220" spans="2:2" ht="15.6">
      <c r="B2220" s="171">
        <v>-1256.7156781733572</v>
      </c>
    </row>
    <row r="2221" spans="2:2" ht="15.6">
      <c r="B2221" s="171">
        <v>-2140.2131651326199</v>
      </c>
    </row>
    <row r="2222" spans="2:2" ht="15.6">
      <c r="B2222" s="171">
        <v>-2244.5448335977999</v>
      </c>
    </row>
    <row r="2223" spans="2:2" ht="15.6">
      <c r="B2223" s="171">
        <v>-1606.2914881914817</v>
      </c>
    </row>
    <row r="2224" spans="2:2" ht="15.6">
      <c r="B2224" s="171">
        <v>-2075.510062187087</v>
      </c>
    </row>
    <row r="2225" spans="2:2" ht="15.6">
      <c r="B2225" s="171">
        <v>-1684.913619737305</v>
      </c>
    </row>
    <row r="2226" spans="2:2" ht="15.6">
      <c r="B2226" s="171">
        <v>-1288.9689513522217</v>
      </c>
    </row>
    <row r="2227" spans="2:2" ht="15.6">
      <c r="B2227" s="171">
        <v>-1211.2556627011847</v>
      </c>
    </row>
    <row r="2228" spans="2:2" ht="15.6">
      <c r="B2228" s="171">
        <v>-1446.3876729744338</v>
      </c>
    </row>
    <row r="2229" spans="2:2" ht="15.6">
      <c r="B2229" s="171">
        <v>-1330.0142529563698</v>
      </c>
    </row>
    <row r="2230" spans="2:2" ht="15.6">
      <c r="B2230" s="171">
        <v>-1675.0232917373551</v>
      </c>
    </row>
    <row r="2231" spans="2:2" ht="15.6">
      <c r="B2231" s="171">
        <v>-1774.4698355650817</v>
      </c>
    </row>
    <row r="2232" spans="2:2" ht="15.6">
      <c r="B2232" s="171">
        <v>-1322.9592359525934</v>
      </c>
    </row>
    <row r="2233" spans="2:2" ht="15.6">
      <c r="B2233" s="171">
        <v>-1685.7074995459075</v>
      </c>
    </row>
    <row r="2234" spans="2:2" ht="15.6">
      <c r="B2234" s="171">
        <v>-1152.5058039687972</v>
      </c>
    </row>
    <row r="2235" spans="2:2" ht="15.6">
      <c r="B2235" s="171">
        <v>-919.13812693399325</v>
      </c>
    </row>
    <row r="2236" spans="2:2" ht="15.6">
      <c r="B2236" s="171">
        <v>-1665.8050231362608</v>
      </c>
    </row>
    <row r="2237" spans="2:2" ht="15.6">
      <c r="B2237" s="171">
        <v>-715.71452417247201</v>
      </c>
    </row>
    <row r="2238" spans="2:2" ht="15.6">
      <c r="B2238" s="171">
        <v>-1162.3856409017271</v>
      </c>
    </row>
    <row r="2239" spans="2:2" ht="15.6">
      <c r="B2239" s="171">
        <v>-1544.1296622694599</v>
      </c>
    </row>
    <row r="2240" spans="2:2" ht="15.6">
      <c r="B2240" s="171">
        <v>-1627.5920552490193</v>
      </c>
    </row>
    <row r="2241" spans="2:2" ht="15.6">
      <c r="B2241" s="171">
        <v>-1606.9050521383999</v>
      </c>
    </row>
    <row r="2242" spans="2:2" ht="15.6">
      <c r="B2242" s="171">
        <v>-2112.1096978318656</v>
      </c>
    </row>
    <row r="2243" spans="2:2" ht="15.6">
      <c r="B2243" s="171">
        <v>-2049.7013023888467</v>
      </c>
    </row>
    <row r="2244" spans="2:2" ht="15.6">
      <c r="B2244" s="171">
        <v>-1843.518088050509</v>
      </c>
    </row>
    <row r="2245" spans="2:2" ht="15.6">
      <c r="B2245" s="171">
        <v>-1283.6202586263516</v>
      </c>
    </row>
    <row r="2246" spans="2:2" ht="15.6">
      <c r="B2246" s="171">
        <v>-1830.9594931215697</v>
      </c>
    </row>
    <row r="2247" spans="2:2" ht="15.6">
      <c r="B2247" s="171">
        <v>-1625.1670026404963</v>
      </c>
    </row>
    <row r="2248" spans="2:2" ht="15.6">
      <c r="B2248" s="171">
        <v>-2026.0806281732043</v>
      </c>
    </row>
    <row r="2249" spans="2:2" ht="15.6">
      <c r="B2249" s="171">
        <v>-1739.2219847518459</v>
      </c>
    </row>
    <row r="2250" spans="2:2" ht="15.6">
      <c r="B2250" s="171">
        <v>-1621.5044343568293</v>
      </c>
    </row>
    <row r="2251" spans="2:2" ht="15.6">
      <c r="B2251" s="171">
        <v>-1624.8873779066889</v>
      </c>
    </row>
    <row r="2252" spans="2:2" ht="15.6">
      <c r="B2252" s="171">
        <v>-1693.8614392500472</v>
      </c>
    </row>
    <row r="2253" spans="2:2" ht="15.6">
      <c r="B2253" s="171">
        <v>-1171.3397530502546</v>
      </c>
    </row>
    <row r="2254" spans="2:2" ht="15.6">
      <c r="B2254" s="171">
        <v>-1751.2206078638412</v>
      </c>
    </row>
    <row r="2255" spans="2:2" ht="15.6">
      <c r="B2255" s="171">
        <v>-1792.30308331531</v>
      </c>
    </row>
    <row r="2256" spans="2:2" ht="15.6">
      <c r="B2256" s="171">
        <v>-1645.3787426259946</v>
      </c>
    </row>
    <row r="2257" spans="2:2" ht="15.6">
      <c r="B2257" s="171">
        <v>-1420.0780859230729</v>
      </c>
    </row>
    <row r="2258" spans="2:2" ht="15.6">
      <c r="B2258" s="171">
        <v>-2279.8480566113394</v>
      </c>
    </row>
    <row r="2259" spans="2:2" ht="15.6">
      <c r="B2259" s="171">
        <v>-1727.4335608651822</v>
      </c>
    </row>
    <row r="2260" spans="2:2" ht="15.6">
      <c r="B2260" s="171">
        <v>-1866.6832169751151</v>
      </c>
    </row>
    <row r="2261" spans="2:2" ht="15.6">
      <c r="B2261" s="171">
        <v>-1854.9145747120358</v>
      </c>
    </row>
    <row r="2262" spans="2:2" ht="15.6">
      <c r="B2262" s="171">
        <v>-1879.3199938386203</v>
      </c>
    </row>
    <row r="2263" spans="2:2" ht="15.6">
      <c r="B2263" s="171">
        <v>-1881.6682886364538</v>
      </c>
    </row>
    <row r="2264" spans="2:2" ht="15.6">
      <c r="B2264" s="171">
        <v>-1727.1082669301752</v>
      </c>
    </row>
    <row r="2265" spans="2:2" ht="15.6">
      <c r="B2265" s="171">
        <v>-2026.6083788038231</v>
      </c>
    </row>
    <row r="2266" spans="2:2" ht="15.6">
      <c r="B2266" s="171">
        <v>-1242.3884939174986</v>
      </c>
    </row>
    <row r="2267" spans="2:2" ht="15.6">
      <c r="B2267" s="171">
        <v>-1205.5233044742492</v>
      </c>
    </row>
    <row r="2268" spans="2:2" ht="15.6">
      <c r="B2268" s="171">
        <v>-2360.5846939859548</v>
      </c>
    </row>
    <row r="2269" spans="2:2" ht="15.6">
      <c r="B2269" s="171">
        <v>-1315.9073583383163</v>
      </c>
    </row>
    <row r="2270" spans="2:2" ht="15.6">
      <c r="B2270" s="171">
        <v>-2113.765517208064</v>
      </c>
    </row>
    <row r="2271" spans="2:2" ht="15.6">
      <c r="B2271" s="171">
        <v>-1665.0649219155007</v>
      </c>
    </row>
    <row r="2272" spans="2:2" ht="15.6">
      <c r="B2272" s="171">
        <v>-1384.6090148711473</v>
      </c>
    </row>
    <row r="2273" spans="2:2" ht="15.6">
      <c r="B2273" s="171">
        <v>-1266.7292823918435</v>
      </c>
    </row>
    <row r="2274" spans="2:2" ht="15.6">
      <c r="B2274" s="171">
        <v>-1305.0985489015445</v>
      </c>
    </row>
    <row r="2275" spans="2:2" ht="15.6">
      <c r="B2275" s="171">
        <v>-1095.2919366470771</v>
      </c>
    </row>
    <row r="2276" spans="2:2" ht="15.6">
      <c r="B2276" s="171">
        <v>-1581.4792484692673</v>
      </c>
    </row>
    <row r="2277" spans="2:2" ht="15.6">
      <c r="B2277" s="171">
        <v>-1180.9255278778139</v>
      </c>
    </row>
    <row r="2278" spans="2:2" ht="15.6">
      <c r="B2278" s="171">
        <v>-1226.1083064280549</v>
      </c>
    </row>
    <row r="2279" spans="2:2" ht="15.6">
      <c r="B2279" s="171">
        <v>-1713.990568380987</v>
      </c>
    </row>
    <row r="2280" spans="2:2" ht="15.6">
      <c r="B2280" s="171">
        <v>-1460.1422198220748</v>
      </c>
    </row>
    <row r="2281" spans="2:2" ht="15.6">
      <c r="B2281" s="171">
        <v>-1071.1468084491532</v>
      </c>
    </row>
    <row r="2282" spans="2:2" ht="15.6">
      <c r="B2282" s="171">
        <v>-2188.1003662843432</v>
      </c>
    </row>
    <row r="2283" spans="2:2" ht="15.6">
      <c r="B2283" s="171">
        <v>-1650.5045422944991</v>
      </c>
    </row>
    <row r="2284" spans="2:2" ht="15.6">
      <c r="B2284" s="171">
        <v>-1615.3928286314335</v>
      </c>
    </row>
    <row r="2285" spans="2:2" ht="15.6">
      <c r="B2285" s="171">
        <v>-1557.0254380005963</v>
      </c>
    </row>
    <row r="2286" spans="2:2" ht="15.6">
      <c r="B2286" s="171">
        <v>-1888.3974577258869</v>
      </c>
    </row>
    <row r="2287" spans="2:2" ht="15.6">
      <c r="B2287" s="171">
        <v>-1021.3295859405634</v>
      </c>
    </row>
    <row r="2288" spans="2:2" ht="15.6">
      <c r="B2288" s="171">
        <v>-1037.7408773462619</v>
      </c>
    </row>
    <row r="2289" spans="2:2" ht="15.6">
      <c r="B2289" s="171">
        <v>-1969.7615156004999</v>
      </c>
    </row>
    <row r="2290" spans="2:2" ht="15.6">
      <c r="B2290" s="171">
        <v>-1761.991036168647</v>
      </c>
    </row>
    <row r="2291" spans="2:2" ht="15.6">
      <c r="B2291" s="171">
        <v>-2439.2594459136362</v>
      </c>
    </row>
    <row r="2292" spans="2:2" ht="15.6">
      <c r="B2292" s="171">
        <v>-1683.6686662835023</v>
      </c>
    </row>
    <row r="2293" spans="2:2" ht="15.6">
      <c r="B2293" s="171">
        <v>-1760.6808211268758</v>
      </c>
    </row>
    <row r="2294" spans="2:2" ht="15.6">
      <c r="B2294" s="171">
        <v>-1802.8907550064639</v>
      </c>
    </row>
    <row r="2295" spans="2:2" ht="15.6">
      <c r="B2295" s="171">
        <v>-1381.9858173981452</v>
      </c>
    </row>
    <row r="2296" spans="2:2" ht="15.6">
      <c r="B2296" s="171">
        <v>-1366.5459178000388</v>
      </c>
    </row>
    <row r="2297" spans="2:2" ht="15.6">
      <c r="B2297" s="171">
        <v>-1604.0459075286958</v>
      </c>
    </row>
    <row r="2298" spans="2:2" ht="15.6">
      <c r="B2298" s="171">
        <v>-1482.1454150861041</v>
      </c>
    </row>
    <row r="2299" spans="2:2" ht="15.6">
      <c r="B2299" s="171">
        <v>-1779.1406305983639</v>
      </c>
    </row>
    <row r="2300" spans="2:2" ht="15.6">
      <c r="B2300" s="171">
        <v>-1728.3072809497326</v>
      </c>
    </row>
    <row r="2301" spans="2:2" ht="15.6">
      <c r="B2301" s="171">
        <v>-1547.1414475438223</v>
      </c>
    </row>
    <row r="2302" spans="2:2" ht="15.6">
      <c r="B2302" s="171">
        <v>-2452.9476506087035</v>
      </c>
    </row>
    <row r="2303" spans="2:2" ht="15.6">
      <c r="B2303" s="171">
        <v>-1424.7799917688303</v>
      </c>
    </row>
    <row r="2304" spans="2:2" ht="15.6">
      <c r="B2304" s="171">
        <v>-899.70635996666272</v>
      </c>
    </row>
    <row r="2305" spans="2:2" ht="15.6">
      <c r="B2305" s="171">
        <v>-1295.1621556710925</v>
      </c>
    </row>
    <row r="2306" spans="2:2" ht="15.6">
      <c r="B2306" s="171">
        <v>-1926.6707874361291</v>
      </c>
    </row>
    <row r="2307" spans="2:2" ht="15.6">
      <c r="B2307" s="171">
        <v>-1332.5758720759061</v>
      </c>
    </row>
    <row r="2308" spans="2:2" ht="15.6">
      <c r="B2308" s="171">
        <v>-1124.1960849020611</v>
      </c>
    </row>
    <row r="2309" spans="2:2" ht="15.6">
      <c r="B2309" s="171">
        <v>-1746.1755071817879</v>
      </c>
    </row>
    <row r="2310" spans="2:2" ht="15.6">
      <c r="B2310" s="171">
        <v>-1722.5816423611061</v>
      </c>
    </row>
    <row r="2311" spans="2:2" ht="15.6">
      <c r="B2311" s="171">
        <v>-1377.631851534775</v>
      </c>
    </row>
    <row r="2312" spans="2:2" ht="15.6">
      <c r="B2312" s="171">
        <v>-1387.7472922343595</v>
      </c>
    </row>
    <row r="2313" spans="2:2" ht="15.6">
      <c r="B2313" s="171">
        <v>-1569.2301213498163</v>
      </c>
    </row>
    <row r="2314" spans="2:2" ht="15.6">
      <c r="B2314" s="171">
        <v>-1563.6510071113398</v>
      </c>
    </row>
    <row r="2315" spans="2:2" ht="15.6">
      <c r="B2315" s="171">
        <v>-1201.1995945573283</v>
      </c>
    </row>
    <row r="2316" spans="2:2" ht="15.6">
      <c r="B2316" s="171">
        <v>-2378.0980132506402</v>
      </c>
    </row>
    <row r="2317" spans="2:2" ht="15.6">
      <c r="B2317" s="171">
        <v>-2126.5415293827236</v>
      </c>
    </row>
    <row r="2318" spans="2:2" ht="15.6">
      <c r="B2318" s="171">
        <v>-861.34112411934223</v>
      </c>
    </row>
    <row r="2319" spans="2:2" ht="15.6">
      <c r="B2319" s="171">
        <v>-2290.3555891634342</v>
      </c>
    </row>
    <row r="2320" spans="2:2" ht="15.6">
      <c r="B2320" s="171">
        <v>-1403.2781384809575</v>
      </c>
    </row>
    <row r="2321" spans="2:2" ht="15.6">
      <c r="B2321" s="171">
        <v>-2336.1670666168975</v>
      </c>
    </row>
    <row r="2322" spans="2:2" ht="15.6">
      <c r="B2322" s="171">
        <v>-1589.938654383619</v>
      </c>
    </row>
    <row r="2323" spans="2:2" ht="15.6">
      <c r="B2323" s="171">
        <v>-1061.5768945356826</v>
      </c>
    </row>
    <row r="2324" spans="2:2" ht="15.6">
      <c r="B2324" s="171">
        <v>-1372.1213670401498</v>
      </c>
    </row>
    <row r="2325" spans="2:2" ht="15.6">
      <c r="B2325" s="171">
        <v>-1809.4930391478447</v>
      </c>
    </row>
    <row r="2326" spans="2:2" ht="15.6">
      <c r="B2326" s="171">
        <v>-1014.0828618818605</v>
      </c>
    </row>
    <row r="2327" spans="2:2" ht="15.6">
      <c r="B2327" s="171">
        <v>-1779.6439298718687</v>
      </c>
    </row>
    <row r="2328" spans="2:2" ht="15.6">
      <c r="B2328" s="171">
        <v>-2049.0122746020497</v>
      </c>
    </row>
    <row r="2329" spans="2:2" ht="15.6">
      <c r="B2329" s="171">
        <v>-1921.8891268127225</v>
      </c>
    </row>
    <row r="2330" spans="2:2" ht="15.6">
      <c r="B2330" s="171">
        <v>-1781.0531885901364</v>
      </c>
    </row>
    <row r="2331" spans="2:2" ht="15.6">
      <c r="B2331" s="171">
        <v>-1192.0283941396378</v>
      </c>
    </row>
    <row r="2332" spans="2:2" ht="15.6">
      <c r="B2332" s="171">
        <v>-1115.8872784304383</v>
      </c>
    </row>
    <row r="2333" spans="2:2" ht="15.6">
      <c r="B2333" s="171">
        <v>-1050.7416353837505</v>
      </c>
    </row>
    <row r="2334" spans="2:2" ht="15.6">
      <c r="B2334" s="171">
        <v>-1817.2962612987817</v>
      </c>
    </row>
    <row r="2335" spans="2:2" ht="15.6">
      <c r="B2335" s="171">
        <v>-1543.176248497673</v>
      </c>
    </row>
    <row r="2336" spans="2:2" ht="15.6">
      <c r="B2336" s="171">
        <v>-1448.2438786827965</v>
      </c>
    </row>
    <row r="2337" spans="2:2" ht="15.6">
      <c r="B2337" s="171">
        <v>-1591.9311415837622</v>
      </c>
    </row>
    <row r="2338" spans="2:2" ht="15.6">
      <c r="B2338" s="171">
        <v>-1507.6626945244534</v>
      </c>
    </row>
    <row r="2339" spans="2:2" ht="15.6">
      <c r="B2339" s="171">
        <v>-1664.5222574705317</v>
      </c>
    </row>
    <row r="2340" spans="2:2" ht="15.6">
      <c r="B2340" s="171">
        <v>-1501.5842251884276</v>
      </c>
    </row>
    <row r="2341" spans="2:2" ht="15.6">
      <c r="B2341" s="171">
        <v>-1874.5505160998791</v>
      </c>
    </row>
    <row r="2342" spans="2:2" ht="15.6">
      <c r="B2342" s="171">
        <v>-1479.4341647077861</v>
      </c>
    </row>
    <row r="2343" spans="2:2" ht="15.6">
      <c r="B2343" s="171">
        <v>-1428.8472821529792</v>
      </c>
    </row>
    <row r="2344" spans="2:2" ht="15.6">
      <c r="B2344" s="171">
        <v>-1588.8586878911703</v>
      </c>
    </row>
    <row r="2345" spans="2:2" ht="15.6">
      <c r="B2345" s="171">
        <v>-1864.9593707947915</v>
      </c>
    </row>
    <row r="2346" spans="2:2" ht="15.6">
      <c r="B2346" s="171">
        <v>-1470.2027627771811</v>
      </c>
    </row>
    <row r="2347" spans="2:2" ht="15.6">
      <c r="B2347" s="171">
        <v>-2336.9032622189134</v>
      </c>
    </row>
    <row r="2348" spans="2:2" ht="15.6">
      <c r="B2348" s="171">
        <v>-1623.2611917777003</v>
      </c>
    </row>
    <row r="2349" spans="2:2" ht="15.6">
      <c r="B2349" s="171">
        <v>-1674.7393522810744</v>
      </c>
    </row>
    <row r="2350" spans="2:2" ht="15.6">
      <c r="B2350" s="171">
        <v>-2037.4089861151604</v>
      </c>
    </row>
    <row r="2351" spans="2:2" ht="15.6">
      <c r="B2351" s="171">
        <v>-1691.9207502024046</v>
      </c>
    </row>
    <row r="2352" spans="2:2" ht="15.6">
      <c r="B2352" s="171">
        <v>-1302.806172454488</v>
      </c>
    </row>
    <row r="2353" spans="2:2" ht="15.6">
      <c r="B2353" s="171">
        <v>-1704.9556716169147</v>
      </c>
    </row>
    <row r="2354" spans="2:2" ht="15.6">
      <c r="B2354" s="171">
        <v>-2138.7422596008714</v>
      </c>
    </row>
    <row r="2355" spans="2:2" ht="15.6">
      <c r="B2355" s="171">
        <v>-1696.8544650301139</v>
      </c>
    </row>
    <row r="2356" spans="2:2" ht="15.6">
      <c r="B2356" s="171">
        <v>-1645.853218228589</v>
      </c>
    </row>
    <row r="2357" spans="2:2" ht="15.6">
      <c r="B2357" s="171">
        <v>-1792.8526311454521</v>
      </c>
    </row>
    <row r="2358" spans="2:2" ht="15.6">
      <c r="B2358" s="171">
        <v>-1735.1030740724516</v>
      </c>
    </row>
    <row r="2359" spans="2:2" ht="15.6">
      <c r="B2359" s="171">
        <v>-2584.7832028008152</v>
      </c>
    </row>
    <row r="2360" spans="2:2" ht="15.6">
      <c r="B2360" s="171">
        <v>-2172.5610437280388</v>
      </c>
    </row>
    <row r="2361" spans="2:2" ht="15.6">
      <c r="B2361" s="171">
        <v>-1356.132233984034</v>
      </c>
    </row>
    <row r="2362" spans="2:2" ht="15.6">
      <c r="B2362" s="171">
        <v>-1401.713909066551</v>
      </c>
    </row>
    <row r="2363" spans="2:2" ht="15.6">
      <c r="B2363" s="171">
        <v>-1226.8491066572112</v>
      </c>
    </row>
    <row r="2364" spans="2:2" ht="15.6">
      <c r="B2364" s="171">
        <v>-1635.1299776221638</v>
      </c>
    </row>
    <row r="2365" spans="2:2" ht="15.6">
      <c r="B2365" s="171">
        <v>-1772.9402893100064</v>
      </c>
    </row>
    <row r="2366" spans="2:2" ht="15.6">
      <c r="B2366" s="171">
        <v>-1060.7871378283978</v>
      </c>
    </row>
    <row r="2367" spans="2:2" ht="15.6">
      <c r="B2367" s="171">
        <v>-1493.8052548411895</v>
      </c>
    </row>
    <row r="2368" spans="2:2" ht="15.6">
      <c r="B2368" s="171">
        <v>-1594.5664197201577</v>
      </c>
    </row>
    <row r="2369" spans="2:2" ht="15.6">
      <c r="B2369" s="171">
        <v>-1267.0467197162973</v>
      </c>
    </row>
    <row r="2370" spans="2:2" ht="15.6">
      <c r="B2370" s="171">
        <v>-1815.6864961870704</v>
      </c>
    </row>
    <row r="2371" spans="2:2" ht="15.6">
      <c r="B2371" s="171">
        <v>-1298.8913632935198</v>
      </c>
    </row>
    <row r="2372" spans="2:2" ht="15.6">
      <c r="B2372" s="171">
        <v>-2001.4492269255284</v>
      </c>
    </row>
    <row r="2373" spans="2:2" ht="15.6">
      <c r="B2373" s="171">
        <v>-1298.4894454411874</v>
      </c>
    </row>
    <row r="2374" spans="2:2" ht="15.6">
      <c r="B2374" s="171">
        <v>-1603.3946075596616</v>
      </c>
    </row>
    <row r="2375" spans="2:2" ht="15.6">
      <c r="B2375" s="171">
        <v>-1149.4183589974311</v>
      </c>
    </row>
    <row r="2376" spans="2:2" ht="15.6">
      <c r="B2376" s="171">
        <v>-2332.8472674349996</v>
      </c>
    </row>
    <row r="2377" spans="2:2" ht="15.6">
      <c r="B2377" s="171">
        <v>-2052.6108597727302</v>
      </c>
    </row>
    <row r="2378" spans="2:2" ht="15.6">
      <c r="B2378" s="171">
        <v>-1419.3054058823327</v>
      </c>
    </row>
    <row r="2379" spans="2:2" ht="15.6">
      <c r="B2379" s="171">
        <v>-1552.6737491619488</v>
      </c>
    </row>
    <row r="2380" spans="2:2" ht="15.6">
      <c r="B2380" s="171">
        <v>-1411.4867725383001</v>
      </c>
    </row>
    <row r="2381" spans="2:2" ht="15.6">
      <c r="B2381" s="171">
        <v>-1467.8887774031593</v>
      </c>
    </row>
    <row r="2382" spans="2:2" ht="15.6">
      <c r="B2382" s="171">
        <v>-1982.6569949977186</v>
      </c>
    </row>
    <row r="2383" spans="2:2" ht="15.6">
      <c r="B2383" s="171">
        <v>-1673.5394648891936</v>
      </c>
    </row>
    <row r="2384" spans="2:2" ht="15.6">
      <c r="B2384" s="171">
        <v>-1043.992661096019</v>
      </c>
    </row>
    <row r="2385" spans="2:2" ht="15.6">
      <c r="B2385" s="171">
        <v>-3360.608785211256</v>
      </c>
    </row>
    <row r="2386" spans="2:2" ht="15.6">
      <c r="B2386" s="171">
        <v>-1595.7712764877351</v>
      </c>
    </row>
    <row r="2387" spans="2:2" ht="15.6">
      <c r="B2387" s="171">
        <v>-1158.3774383410173</v>
      </c>
    </row>
    <row r="2388" spans="2:2" ht="15.6">
      <c r="B2388" s="171">
        <v>-1390.775776889667</v>
      </c>
    </row>
    <row r="2389" spans="2:2" ht="15.6">
      <c r="B2389" s="171">
        <v>-1059.5174128932704</v>
      </c>
    </row>
    <row r="2390" spans="2:2" ht="15.6">
      <c r="B2390" s="171">
        <v>-1797.2067549637663</v>
      </c>
    </row>
    <row r="2391" spans="2:2" ht="15.6">
      <c r="B2391" s="171">
        <v>-1873.4993631386155</v>
      </c>
    </row>
    <row r="2392" spans="2:2" ht="15.6">
      <c r="B2392" s="171">
        <v>-1609.1689491865059</v>
      </c>
    </row>
    <row r="2393" spans="2:2" ht="15.6">
      <c r="B2393" s="171">
        <v>-1797.1272452461362</v>
      </c>
    </row>
    <row r="2394" spans="2:2" ht="15.6">
      <c r="B2394" s="171">
        <v>-1512.3340317894176</v>
      </c>
    </row>
    <row r="2395" spans="2:2" ht="15.6">
      <c r="B2395" s="171">
        <v>-1739.8527428423108</v>
      </c>
    </row>
    <row r="2396" spans="2:2" ht="15.6">
      <c r="B2396" s="171">
        <v>-1188.921940626987</v>
      </c>
    </row>
    <row r="2397" spans="2:2" ht="15.6">
      <c r="B2397" s="171">
        <v>-1852.8653724346257</v>
      </c>
    </row>
    <row r="2398" spans="2:2" ht="15.6">
      <c r="B2398" s="171">
        <v>-2074.6691998231759</v>
      </c>
    </row>
    <row r="2399" spans="2:2" ht="15.6">
      <c r="B2399" s="171">
        <v>-2043.8528164133518</v>
      </c>
    </row>
    <row r="2400" spans="2:2" ht="15.6">
      <c r="B2400" s="171">
        <v>-1505.0091011120976</v>
      </c>
    </row>
    <row r="2401" spans="2:2" ht="15.6">
      <c r="B2401" s="171">
        <v>-1778.5168000559929</v>
      </c>
    </row>
    <row r="2402" spans="2:2" ht="15.6">
      <c r="B2402" s="171">
        <v>-964.87280678023035</v>
      </c>
    </row>
    <row r="2403" spans="2:2" ht="15.6">
      <c r="B2403" s="171">
        <v>-1789.6560264970435</v>
      </c>
    </row>
    <row r="2404" spans="2:2" ht="15.6">
      <c r="B2404" s="171">
        <v>-1510.3415297419217</v>
      </c>
    </row>
    <row r="2405" spans="2:2" ht="15.6">
      <c r="B2405" s="171">
        <v>-1954.5888661075155</v>
      </c>
    </row>
    <row r="2406" spans="2:2" ht="15.6">
      <c r="B2406" s="171">
        <v>-1767.5401699617687</v>
      </c>
    </row>
    <row r="2407" spans="2:2" ht="15.6">
      <c r="B2407" s="171">
        <v>-1818.655531059434</v>
      </c>
    </row>
    <row r="2408" spans="2:2" ht="15.6">
      <c r="B2408" s="171">
        <v>-1380.5763082830608</v>
      </c>
    </row>
    <row r="2409" spans="2:2" ht="15.6">
      <c r="B2409" s="171">
        <v>-1302.2576351027474</v>
      </c>
    </row>
    <row r="2410" spans="2:2" ht="15.6">
      <c r="B2410" s="171">
        <v>-1358.8313296556155</v>
      </c>
    </row>
    <row r="2411" spans="2:2" ht="15.6">
      <c r="B2411" s="171">
        <v>-977.80409478315187</v>
      </c>
    </row>
    <row r="2412" spans="2:2" ht="15.6">
      <c r="B2412" s="171">
        <v>-1482.9076699186464</v>
      </c>
    </row>
    <row r="2413" spans="2:2" ht="15.6">
      <c r="B2413" s="171">
        <v>-1351.1483547510052</v>
      </c>
    </row>
    <row r="2414" spans="2:2" ht="15.6">
      <c r="B2414" s="171">
        <v>-1353.2906976930392</v>
      </c>
    </row>
    <row r="2415" spans="2:2" ht="15.6">
      <c r="B2415" s="171">
        <v>-1638.9872203518253</v>
      </c>
    </row>
    <row r="2416" spans="2:2" ht="15.6">
      <c r="B2416" s="171">
        <v>-1399.3738255254739</v>
      </c>
    </row>
    <row r="2417" spans="2:2" ht="15.6">
      <c r="B2417" s="171">
        <v>-1557.3018235503728</v>
      </c>
    </row>
    <row r="2418" spans="2:2" ht="15.6">
      <c r="B2418" s="171">
        <v>-1769.5850739308039</v>
      </c>
    </row>
    <row r="2419" spans="2:2" ht="15.6">
      <c r="B2419" s="171">
        <v>-1682.9390629453114</v>
      </c>
    </row>
    <row r="2420" spans="2:2" ht="15.6">
      <c r="B2420" s="171">
        <v>-1696.9777224424229</v>
      </c>
    </row>
    <row r="2421" spans="2:2" ht="15.6">
      <c r="B2421" s="171">
        <v>-1452.1073675769183</v>
      </c>
    </row>
    <row r="2422" spans="2:2" ht="15.6">
      <c r="B2422" s="171">
        <v>-1633.9355356964415</v>
      </c>
    </row>
    <row r="2423" spans="2:2" ht="15.6">
      <c r="B2423" s="171">
        <v>-2015.0666159334714</v>
      </c>
    </row>
    <row r="2424" spans="2:2" ht="15.6">
      <c r="B2424" s="171">
        <v>-1508.3547635821456</v>
      </c>
    </row>
    <row r="2425" spans="2:2" ht="15.6">
      <c r="B2425" s="171">
        <v>-1935.4897647415237</v>
      </c>
    </row>
    <row r="2426" spans="2:2" ht="15.6">
      <c r="B2426" s="171">
        <v>-2422.393798634213</v>
      </c>
    </row>
    <row r="2427" spans="2:2" ht="15.6">
      <c r="B2427" s="171">
        <v>-1149.1122193666574</v>
      </c>
    </row>
    <row r="2428" spans="2:2" ht="15.6">
      <c r="B2428" s="171">
        <v>-1157.6348011862417</v>
      </c>
    </row>
    <row r="2429" spans="2:2" ht="15.6">
      <c r="B2429" s="171">
        <v>-901.57370826823842</v>
      </c>
    </row>
    <row r="2430" spans="2:2" ht="15.6">
      <c r="B2430" s="171">
        <v>-1598.5933784130152</v>
      </c>
    </row>
    <row r="2431" spans="2:2" ht="15.6">
      <c r="B2431" s="171">
        <v>-1300.6970355530434</v>
      </c>
    </row>
    <row r="2432" spans="2:2" ht="15.6">
      <c r="B2432" s="171">
        <v>-1522.6368238292234</v>
      </c>
    </row>
    <row r="2433" spans="2:2" ht="15.6">
      <c r="B2433" s="171">
        <v>-1147.40566244109</v>
      </c>
    </row>
    <row r="2434" spans="2:2" ht="15.6">
      <c r="B2434" s="171">
        <v>-2119.4573598576399</v>
      </c>
    </row>
    <row r="2435" spans="2:2" ht="15.6">
      <c r="B2435" s="171">
        <v>-1688.3365066568122</v>
      </c>
    </row>
    <row r="2436" spans="2:2" ht="15.6">
      <c r="B2436" s="171">
        <v>-1286.1241378077807</v>
      </c>
    </row>
    <row r="2437" spans="2:2" ht="15.6">
      <c r="B2437" s="171">
        <v>-1407.5297197086686</v>
      </c>
    </row>
    <row r="2438" spans="2:2" ht="15.6">
      <c r="B2438" s="171">
        <v>-1514.320404689528</v>
      </c>
    </row>
    <row r="2439" spans="2:2" ht="15.6">
      <c r="B2439" s="171">
        <v>-1778.2210676402942</v>
      </c>
    </row>
    <row r="2440" spans="2:2" ht="15.6">
      <c r="B2440" s="171">
        <v>-1289.5194489654093</v>
      </c>
    </row>
    <row r="2441" spans="2:2" ht="15.6">
      <c r="B2441" s="171">
        <v>-1185.466537383666</v>
      </c>
    </row>
    <row r="2442" spans="2:2" ht="15.6">
      <c r="B2442" s="171">
        <v>-1883.9640860781731</v>
      </c>
    </row>
    <row r="2443" spans="2:2" ht="15.6">
      <c r="B2443" s="171">
        <v>-2253.0185692934538</v>
      </c>
    </row>
    <row r="2444" spans="2:2" ht="15.6">
      <c r="B2444" s="171">
        <v>-1496.582307146346</v>
      </c>
    </row>
    <row r="2445" spans="2:2" ht="15.6">
      <c r="B2445" s="171">
        <v>-1254.8606131874569</v>
      </c>
    </row>
    <row r="2446" spans="2:2" ht="15.6">
      <c r="B2446" s="171">
        <v>-2032.7749172258691</v>
      </c>
    </row>
    <row r="2447" spans="2:2" ht="15.6">
      <c r="B2447" s="171">
        <v>-1736.1941308409559</v>
      </c>
    </row>
    <row r="2448" spans="2:2" ht="15.6">
      <c r="B2448" s="171">
        <v>-1621.8252572339609</v>
      </c>
    </row>
    <row r="2449" spans="2:2" ht="15.6">
      <c r="B2449" s="171">
        <v>-2017.3658709405652</v>
      </c>
    </row>
    <row r="2450" spans="2:2" ht="15.6">
      <c r="B2450" s="171">
        <v>-1530.0660289067077</v>
      </c>
    </row>
    <row r="2451" spans="2:2" ht="15.6">
      <c r="B2451" s="171">
        <v>-1340.6269174294271</v>
      </c>
    </row>
    <row r="2452" spans="2:2" ht="15.6">
      <c r="B2452" s="171">
        <v>-358.80682139231521</v>
      </c>
    </row>
    <row r="2453" spans="2:2" ht="15.6">
      <c r="B2453" s="171">
        <v>-858.39623062438034</v>
      </c>
    </row>
    <row r="2454" spans="2:2" ht="15.6">
      <c r="B2454" s="171">
        <v>-1365.911223289472</v>
      </c>
    </row>
    <row r="2455" spans="2:2" ht="15.6">
      <c r="B2455" s="171">
        <v>-1266.2845942227343</v>
      </c>
    </row>
    <row r="2456" spans="2:2" ht="15.6">
      <c r="B2456" s="171">
        <v>-1845.3468841070667</v>
      </c>
    </row>
    <row r="2457" spans="2:2" ht="15.6">
      <c r="B2457" s="171">
        <v>-1869.5870068929999</v>
      </c>
    </row>
    <row r="2458" spans="2:2" ht="15.6">
      <c r="B2458" s="171">
        <v>-1317.5074547642364</v>
      </c>
    </row>
    <row r="2459" spans="2:2" ht="15.6">
      <c r="B2459" s="171">
        <v>-2214.4701270572336</v>
      </c>
    </row>
    <row r="2460" spans="2:2" ht="15.6">
      <c r="B2460" s="171">
        <v>-1998.8056727719136</v>
      </c>
    </row>
    <row r="2461" spans="2:2" ht="15.6">
      <c r="B2461" s="171">
        <v>-1641.342322537153</v>
      </c>
    </row>
    <row r="2462" spans="2:2" ht="15.6">
      <c r="B2462" s="171">
        <v>-1636.0101385740127</v>
      </c>
    </row>
    <row r="2463" spans="2:2" ht="15.6">
      <c r="B2463" s="171">
        <v>-1108.1799589614022</v>
      </c>
    </row>
    <row r="2464" spans="2:2" ht="15.6">
      <c r="B2464" s="171">
        <v>-1601.8649946254084</v>
      </c>
    </row>
    <row r="2465" spans="2:2" ht="15.6">
      <c r="B2465" s="171">
        <v>-1535.6710353867111</v>
      </c>
    </row>
    <row r="2466" spans="2:2" ht="15.6">
      <c r="B2466" s="171">
        <v>-1136.3173906875936</v>
      </c>
    </row>
    <row r="2467" spans="2:2" ht="15.6">
      <c r="B2467" s="171">
        <v>-1460.2102174532597</v>
      </c>
    </row>
    <row r="2468" spans="2:2" ht="15.6">
      <c r="B2468" s="171">
        <v>-1663.3843218124339</v>
      </c>
    </row>
    <row r="2469" spans="2:2" ht="15.6">
      <c r="B2469" s="171">
        <v>-1444.1445507924848</v>
      </c>
    </row>
    <row r="2470" spans="2:2" ht="15.6">
      <c r="B2470" s="171">
        <v>-1892.0612200699775</v>
      </c>
    </row>
    <row r="2471" spans="2:2" ht="15.6">
      <c r="B2471" s="171">
        <v>-1451.0908999391786</v>
      </c>
    </row>
    <row r="2472" spans="2:2" ht="15.6">
      <c r="B2472" s="171">
        <v>-1774.5033468540175</v>
      </c>
    </row>
    <row r="2473" spans="2:2" ht="15.6">
      <c r="B2473" s="171">
        <v>-1461.6973357112433</v>
      </c>
    </row>
    <row r="2474" spans="2:2" ht="15.6">
      <c r="B2474" s="171">
        <v>-1413.4890611759256</v>
      </c>
    </row>
    <row r="2475" spans="2:2" ht="15.6">
      <c r="B2475" s="171">
        <v>-643.75894685417381</v>
      </c>
    </row>
    <row r="2476" spans="2:2" ht="15.6">
      <c r="B2476" s="171">
        <v>-985.96311623100019</v>
      </c>
    </row>
    <row r="2477" spans="2:2" ht="15.6">
      <c r="B2477" s="171">
        <v>-1897.5273496037146</v>
      </c>
    </row>
    <row r="2478" spans="2:2" ht="15.6">
      <c r="B2478" s="171">
        <v>-1599.6905971628087</v>
      </c>
    </row>
    <row r="2479" spans="2:2" ht="15.6">
      <c r="B2479" s="171">
        <v>-1706.2808032253647</v>
      </c>
    </row>
    <row r="2480" spans="2:2" ht="15.6">
      <c r="B2480" s="171">
        <v>-2170.7175363148672</v>
      </c>
    </row>
    <row r="2481" spans="2:2" ht="15.6">
      <c r="B2481" s="171">
        <v>-946.9536775217166</v>
      </c>
    </row>
    <row r="2482" spans="2:2" ht="15.6">
      <c r="B2482" s="171">
        <v>-2659.2309255104574</v>
      </c>
    </row>
    <row r="2483" spans="2:2" ht="15.6">
      <c r="B2483" s="171">
        <v>-1709.5673856624373</v>
      </c>
    </row>
    <row r="2484" spans="2:2" ht="15.6">
      <c r="B2484" s="171">
        <v>-1138.892838555068</v>
      </c>
    </row>
    <row r="2485" spans="2:2" ht="15.6">
      <c r="B2485" s="171">
        <v>-1752.5133325003335</v>
      </c>
    </row>
    <row r="2486" spans="2:2" ht="15.6">
      <c r="B2486" s="171">
        <v>-1169.087137743373</v>
      </c>
    </row>
    <row r="2487" spans="2:2" ht="15.6">
      <c r="B2487" s="171">
        <v>-2296.9812335812599</v>
      </c>
    </row>
    <row r="2488" spans="2:2" ht="15.6">
      <c r="B2488" s="171">
        <v>-2083.5413825479554</v>
      </c>
    </row>
    <row r="2489" spans="2:2" ht="15.6">
      <c r="B2489" s="171">
        <v>-1881.8123549605373</v>
      </c>
    </row>
    <row r="2490" spans="2:2" ht="15.6">
      <c r="B2490" s="171">
        <v>-1212.1073534281268</v>
      </c>
    </row>
    <row r="2491" spans="2:2" ht="15.6">
      <c r="B2491" s="171">
        <v>-1828.9321255061875</v>
      </c>
    </row>
    <row r="2492" spans="2:2" ht="15.6">
      <c r="B2492" s="171">
        <v>-1809.9264132535504</v>
      </c>
    </row>
    <row r="2493" spans="2:2" ht="15.6">
      <c r="B2493" s="171">
        <v>-1917.5797807241902</v>
      </c>
    </row>
    <row r="2494" spans="2:2" ht="15.6">
      <c r="B2494" s="171">
        <v>-1435.6763721590305</v>
      </c>
    </row>
    <row r="2495" spans="2:2" ht="15.6">
      <c r="B2495" s="171">
        <v>-2342.9857666935882</v>
      </c>
    </row>
    <row r="2496" spans="2:2" ht="15.6">
      <c r="B2496" s="171">
        <v>-1652.4201549404727</v>
      </c>
    </row>
    <row r="2497" spans="2:2" ht="15.6">
      <c r="B2497" s="171">
        <v>-1453.4613252959609</v>
      </c>
    </row>
    <row r="2498" spans="2:2" ht="15.6">
      <c r="B2498" s="171">
        <v>-1997.3709052356289</v>
      </c>
    </row>
    <row r="2499" spans="2:2" ht="15.6">
      <c r="B2499" s="171">
        <v>-1629.9294814548539</v>
      </c>
    </row>
    <row r="2500" spans="2:2" ht="15.6">
      <c r="B2500" s="171">
        <v>-1302.967241407049</v>
      </c>
    </row>
    <row r="2501" spans="2:2" ht="15.6">
      <c r="B2501" s="171">
        <v>-1294.4477551625976</v>
      </c>
    </row>
    <row r="2502" spans="2:2" ht="15.6">
      <c r="B2502" s="171">
        <v>-1133.0320491870532</v>
      </c>
    </row>
    <row r="2503" spans="2:2" ht="15.6">
      <c r="B2503" s="171">
        <v>-925.21599057213496</v>
      </c>
    </row>
    <row r="2504" spans="2:2" ht="15.6">
      <c r="B2504" s="171">
        <v>-1907.6528467776766</v>
      </c>
    </row>
    <row r="2505" spans="2:2" ht="15.6">
      <c r="B2505" s="171">
        <v>-1426.8181151631854</v>
      </c>
    </row>
    <row r="2506" spans="2:2" ht="15.6">
      <c r="B2506" s="171">
        <v>-1464.5435828448908</v>
      </c>
    </row>
    <row r="2507" spans="2:2" ht="15.6">
      <c r="B2507" s="171">
        <v>-1268.2943311096267</v>
      </c>
    </row>
    <row r="2508" spans="2:2" ht="15.6">
      <c r="B2508" s="171">
        <v>-1153.0457219665532</v>
      </c>
    </row>
    <row r="2509" spans="2:2" ht="15.6">
      <c r="B2509" s="171">
        <v>-1374.0119952722266</v>
      </c>
    </row>
    <row r="2510" spans="2:2" ht="15.6">
      <c r="B2510" s="171">
        <v>-1413.9900346009031</v>
      </c>
    </row>
    <row r="2511" spans="2:2" ht="15.6">
      <c r="B2511" s="171">
        <v>-1024.0322187121835</v>
      </c>
    </row>
    <row r="2512" spans="2:2" ht="15.6">
      <c r="B2512" s="171">
        <v>-2181.3589287491463</v>
      </c>
    </row>
    <row r="2513" spans="2:2" ht="15.6">
      <c r="B2513" s="171">
        <v>-1912.3998118402751</v>
      </c>
    </row>
    <row r="2514" spans="2:2" ht="15.6">
      <c r="B2514" s="171">
        <v>-1625.8167439906706</v>
      </c>
    </row>
    <row r="2515" spans="2:2" ht="15.6">
      <c r="B2515" s="171">
        <v>-1658.1599670380051</v>
      </c>
    </row>
    <row r="2516" spans="2:2" ht="15.6">
      <c r="B2516" s="171">
        <v>-1802.437506826813</v>
      </c>
    </row>
    <row r="2517" spans="2:2" ht="15.6">
      <c r="B2517" s="171">
        <v>-1860.0459111342641</v>
      </c>
    </row>
    <row r="2518" spans="2:2" ht="15.6">
      <c r="B2518" s="171">
        <v>-1195.1053571343109</v>
      </c>
    </row>
    <row r="2519" spans="2:2" ht="15.6">
      <c r="B2519" s="171">
        <v>-1767.5941621238803</v>
      </c>
    </row>
    <row r="2520" spans="2:2" ht="15.6">
      <c r="B2520" s="171">
        <v>-2354.539940683886</v>
      </c>
    </row>
    <row r="2521" spans="2:2" ht="15.6">
      <c r="B2521" s="171">
        <v>-1957.1471131069425</v>
      </c>
    </row>
    <row r="2522" spans="2:2" ht="15.6">
      <c r="B2522" s="171">
        <v>-1665.0935193184982</v>
      </c>
    </row>
    <row r="2523" spans="2:2" ht="15.6">
      <c r="B2523" s="171">
        <v>-1638.8508900011825</v>
      </c>
    </row>
    <row r="2524" spans="2:2" ht="15.6">
      <c r="B2524" s="171">
        <v>-1565.6839474021481</v>
      </c>
    </row>
    <row r="2525" spans="2:2" ht="15.6">
      <c r="B2525" s="171">
        <v>-1732.5082706754642</v>
      </c>
    </row>
    <row r="2526" spans="2:2" ht="15.6">
      <c r="B2526" s="171">
        <v>-2333.1408225881623</v>
      </c>
    </row>
    <row r="2527" spans="2:2" ht="15.6">
      <c r="B2527" s="171">
        <v>-1306.0614441052614</v>
      </c>
    </row>
    <row r="2528" spans="2:2" ht="15.6">
      <c r="B2528" s="171">
        <v>-1446.8159494325114</v>
      </c>
    </row>
    <row r="2529" spans="2:2" ht="15.6">
      <c r="B2529" s="171">
        <v>-1294.3964056969285</v>
      </c>
    </row>
    <row r="2530" spans="2:2" ht="15.6">
      <c r="B2530" s="171">
        <v>-1406.382560586464</v>
      </c>
    </row>
    <row r="2531" spans="2:2" ht="15.6">
      <c r="B2531" s="171">
        <v>-2583.5595652682896</v>
      </c>
    </row>
    <row r="2532" spans="2:2" ht="15.6">
      <c r="B2532" s="171">
        <v>-1601.7029956170913</v>
      </c>
    </row>
    <row r="2533" spans="2:2" ht="15.6">
      <c r="B2533" s="171">
        <v>-1917.291625719407</v>
      </c>
    </row>
    <row r="2534" spans="2:2" ht="15.6">
      <c r="B2534" s="171">
        <v>-1025.0314952971598</v>
      </c>
    </row>
    <row r="2535" spans="2:2" ht="15.6">
      <c r="B2535" s="171">
        <v>-1440.6242629708927</v>
      </c>
    </row>
    <row r="2536" spans="2:2" ht="15.6">
      <c r="B2536" s="171">
        <v>-1598.7914603033485</v>
      </c>
    </row>
    <row r="2537" spans="2:2" ht="15.6">
      <c r="B2537" s="171">
        <v>-1849.5539405107268</v>
      </c>
    </row>
    <row r="2538" spans="2:2" ht="15.6">
      <c r="B2538" s="171">
        <v>-868.44219552791174</v>
      </c>
    </row>
    <row r="2539" spans="2:2" ht="15.6">
      <c r="B2539" s="171">
        <v>-1157.390294768461</v>
      </c>
    </row>
    <row r="2540" spans="2:2" ht="15.6">
      <c r="B2540" s="171">
        <v>-2311.9229331390497</v>
      </c>
    </row>
    <row r="2541" spans="2:2" ht="15.6">
      <c r="B2541" s="171">
        <v>-1531.875975121053</v>
      </c>
    </row>
    <row r="2542" spans="2:2" ht="15.6">
      <c r="B2542" s="171">
        <v>-1311.0539775606883</v>
      </c>
    </row>
    <row r="2543" spans="2:2" ht="15.6">
      <c r="B2543" s="171">
        <v>-1424.1837050204319</v>
      </c>
    </row>
    <row r="2544" spans="2:2" ht="15.6">
      <c r="B2544" s="171">
        <v>-1791.6945241390149</v>
      </c>
    </row>
    <row r="2545" spans="2:2" ht="15.6">
      <c r="B2545" s="171">
        <v>-1488.3569079222757</v>
      </c>
    </row>
    <row r="2546" spans="2:2" ht="15.6">
      <c r="B2546" s="171">
        <v>-1048.267239012401</v>
      </c>
    </row>
    <row r="2547" spans="2:2" ht="15.6">
      <c r="B2547" s="171">
        <v>-2081.687010056964</v>
      </c>
    </row>
    <row r="2548" spans="2:2" ht="15.6">
      <c r="B2548" s="171">
        <v>-1840.5135529546465</v>
      </c>
    </row>
    <row r="2549" spans="2:2" ht="15.6">
      <c r="B2549" s="171">
        <v>-1782.5980521676186</v>
      </c>
    </row>
    <row r="2550" spans="2:2" ht="15.6">
      <c r="B2550" s="171">
        <v>-1047.7273616779073</v>
      </c>
    </row>
    <row r="2551" spans="2:2" ht="15.6">
      <c r="B2551" s="171">
        <v>-1358.001768428725</v>
      </c>
    </row>
    <row r="2552" spans="2:2" ht="15.6">
      <c r="B2552" s="171">
        <v>-1593.8569538419504</v>
      </c>
    </row>
    <row r="2553" spans="2:2" ht="15.6">
      <c r="B2553" s="171">
        <v>-2076.3210534114819</v>
      </c>
    </row>
    <row r="2554" spans="2:2" ht="15.6">
      <c r="B2554" s="171">
        <v>-2173.5584149609367</v>
      </c>
    </row>
    <row r="2555" spans="2:2" ht="15.6">
      <c r="B2555" s="171">
        <v>-1601.5620588499783</v>
      </c>
    </row>
    <row r="2556" spans="2:2" ht="15.6">
      <c r="B2556" s="171">
        <v>-1254.6781312294254</v>
      </c>
    </row>
    <row r="2557" spans="2:2" ht="15.6">
      <c r="B2557" s="171">
        <v>-1403.4530689203777</v>
      </c>
    </row>
    <row r="2558" spans="2:2" ht="15.6">
      <c r="B2558" s="171">
        <v>-1263.5559745689536</v>
      </c>
    </row>
    <row r="2559" spans="2:2" ht="15.6">
      <c r="B2559" s="171">
        <v>-1304.134539639856</v>
      </c>
    </row>
    <row r="2560" spans="2:2" ht="15.6">
      <c r="B2560" s="171">
        <v>-2116.2823463875884</v>
      </c>
    </row>
    <row r="2561" spans="2:2" ht="15.6">
      <c r="B2561" s="171">
        <v>-2046.0215985853679</v>
      </c>
    </row>
    <row r="2562" spans="2:2" ht="15.6">
      <c r="B2562" s="171">
        <v>-1197.8128558618753</v>
      </c>
    </row>
    <row r="2563" spans="2:2" ht="15.6">
      <c r="B2563" s="171">
        <v>-1404.1199915487641</v>
      </c>
    </row>
    <row r="2564" spans="2:2" ht="15.6">
      <c r="B2564" s="171">
        <v>-2077.3661022872038</v>
      </c>
    </row>
    <row r="2565" spans="2:2" ht="15.6">
      <c r="B2565" s="171">
        <v>-1742.9660143370274</v>
      </c>
    </row>
    <row r="2566" spans="2:2" ht="15.6">
      <c r="B2566" s="171">
        <v>-1260.398699629473</v>
      </c>
    </row>
    <row r="2567" spans="2:2" ht="15.6">
      <c r="B2567" s="171">
        <v>-1818.7690885263062</v>
      </c>
    </row>
    <row r="2568" spans="2:2" ht="15.6">
      <c r="B2568" s="171">
        <v>-2913.8216651209277</v>
      </c>
    </row>
    <row r="2569" spans="2:2" ht="15.6">
      <c r="B2569" s="171">
        <v>-1728.1032256102555</v>
      </c>
    </row>
    <row r="2570" spans="2:2" ht="15.6">
      <c r="B2570" s="171">
        <v>-1871.1381957280919</v>
      </c>
    </row>
    <row r="2571" spans="2:2" ht="15.6">
      <c r="B2571" s="171">
        <v>-1755.2510352174638</v>
      </c>
    </row>
    <row r="2572" spans="2:2" ht="15.6">
      <c r="B2572" s="171">
        <v>-1034.4313285310602</v>
      </c>
    </row>
    <row r="2573" spans="2:2" ht="15.6">
      <c r="B2573" s="171">
        <v>-1113.6618527229361</v>
      </c>
    </row>
    <row r="2574" spans="2:2" ht="15.6">
      <c r="B2574" s="171">
        <v>-1403.4223518715194</v>
      </c>
    </row>
    <row r="2575" spans="2:2" ht="15.6">
      <c r="B2575" s="171">
        <v>-1503.9612698072237</v>
      </c>
    </row>
    <row r="2576" spans="2:2" ht="15.6">
      <c r="B2576" s="171">
        <v>-1748.3945953068057</v>
      </c>
    </row>
    <row r="2577" spans="2:2" ht="15.6">
      <c r="B2577" s="171">
        <v>-1349.3583411578909</v>
      </c>
    </row>
    <row r="2578" spans="2:2" ht="15.6">
      <c r="B2578" s="171">
        <v>-1983.7181454022557</v>
      </c>
    </row>
    <row r="2579" spans="2:2" ht="15.6">
      <c r="B2579" s="171">
        <v>-1567.0493894693088</v>
      </c>
    </row>
    <row r="2580" spans="2:2" ht="15.6">
      <c r="B2580" s="171">
        <v>-1556.5389488368746</v>
      </c>
    </row>
    <row r="2581" spans="2:2" ht="15.6">
      <c r="B2581" s="171">
        <v>-948.45070362195611</v>
      </c>
    </row>
    <row r="2582" spans="2:2" ht="15.6">
      <c r="B2582" s="171">
        <v>-960.62192121134717</v>
      </c>
    </row>
    <row r="2583" spans="2:2" ht="15.6">
      <c r="B2583" s="171">
        <v>-1580.4601578951119</v>
      </c>
    </row>
    <row r="2584" spans="2:2" ht="15.6">
      <c r="B2584" s="171">
        <v>-1965.3473561225192</v>
      </c>
    </row>
    <row r="2585" spans="2:2" ht="15.6">
      <c r="B2585" s="171">
        <v>-1629.5664439643765</v>
      </c>
    </row>
    <row r="2586" spans="2:2" ht="15.6">
      <c r="B2586" s="171">
        <v>-1156.0424609997824</v>
      </c>
    </row>
    <row r="2587" spans="2:2" ht="15.6">
      <c r="B2587" s="171">
        <v>-2461.0746677623829</v>
      </c>
    </row>
    <row r="2588" spans="2:2" ht="15.6">
      <c r="B2588" s="171">
        <v>-1998.7380325911593</v>
      </c>
    </row>
    <row r="2589" spans="2:2" ht="15.6">
      <c r="B2589" s="171">
        <v>-1335.526614151996</v>
      </c>
    </row>
    <row r="2590" spans="2:2" ht="15.6">
      <c r="B2590" s="171">
        <v>-1197.1167799788354</v>
      </c>
    </row>
    <row r="2591" spans="2:2" ht="15.6">
      <c r="B2591" s="171">
        <v>-1286.4889370306209</v>
      </c>
    </row>
    <row r="2592" spans="2:2" ht="15.6">
      <c r="B2592" s="171">
        <v>-1218.6361338716681</v>
      </c>
    </row>
    <row r="2593" spans="2:2" ht="15.6">
      <c r="B2593" s="171">
        <v>-2142.9139000296973</v>
      </c>
    </row>
    <row r="2594" spans="2:2" ht="15.6">
      <c r="B2594" s="171">
        <v>-1463.1593303154698</v>
      </c>
    </row>
    <row r="2595" spans="2:2" ht="15.6">
      <c r="B2595" s="171">
        <v>-1624.1577167051371</v>
      </c>
    </row>
    <row r="2596" spans="2:2" ht="15.6">
      <c r="B2596" s="171">
        <v>-1557.6323991247568</v>
      </c>
    </row>
    <row r="2597" spans="2:2" ht="15.6">
      <c r="B2597" s="171">
        <v>-1540.5491239622688</v>
      </c>
    </row>
    <row r="2598" spans="2:2" ht="15.6">
      <c r="B2598" s="171">
        <v>-1815.8452301145335</v>
      </c>
    </row>
    <row r="2599" spans="2:2" ht="15.6">
      <c r="B2599" s="171">
        <v>-1768.3528825288308</v>
      </c>
    </row>
    <row r="2600" spans="2:2" ht="15.6">
      <c r="B2600" s="171">
        <v>-1845.4705999106206</v>
      </c>
    </row>
    <row r="2601" spans="2:2" ht="15.6">
      <c r="B2601" s="171">
        <v>-2288.5904226838707</v>
      </c>
    </row>
    <row r="2602" spans="2:2" ht="15.6">
      <c r="B2602" s="171">
        <v>-1217.9425712049938</v>
      </c>
    </row>
    <row r="2603" spans="2:2" ht="15.6">
      <c r="B2603" s="171">
        <v>-1359.6247741300858</v>
      </c>
    </row>
    <row r="2604" spans="2:2" ht="15.6">
      <c r="B2604" s="171">
        <v>-1846.2653387571745</v>
      </c>
    </row>
    <row r="2605" spans="2:2" ht="15.6">
      <c r="B2605" s="171">
        <v>-1795.0951556318446</v>
      </c>
    </row>
    <row r="2606" spans="2:2" ht="15.6">
      <c r="B2606" s="171">
        <v>-2283.3425874018162</v>
      </c>
    </row>
    <row r="2607" spans="2:2" ht="15.6">
      <c r="B2607" s="171">
        <v>-1294.3321219556856</v>
      </c>
    </row>
    <row r="2608" spans="2:2" ht="15.6">
      <c r="B2608" s="171">
        <v>-1455.9162144951315</v>
      </c>
    </row>
    <row r="2609" spans="2:2" ht="15.6">
      <c r="B2609" s="171">
        <v>-2143.0558743760871</v>
      </c>
    </row>
    <row r="2610" spans="2:2" ht="15.6">
      <c r="B2610" s="171">
        <v>-2275.9428698774846</v>
      </c>
    </row>
    <row r="2611" spans="2:2" ht="15.6">
      <c r="B2611" s="171">
        <v>-1968.9550388048788</v>
      </c>
    </row>
    <row r="2612" spans="2:2" ht="15.6">
      <c r="B2612" s="171">
        <v>-1330.5703992468839</v>
      </c>
    </row>
    <row r="2613" spans="2:2" ht="15.6">
      <c r="B2613" s="171">
        <v>-2082.3780938147111</v>
      </c>
    </row>
    <row r="2614" spans="2:2" ht="15.6">
      <c r="B2614" s="171">
        <v>-1628.586015496034</v>
      </c>
    </row>
    <row r="2615" spans="2:2" ht="15.6">
      <c r="B2615" s="171">
        <v>-2661.4510191279696</v>
      </c>
    </row>
    <row r="2616" spans="2:2" ht="15.6">
      <c r="B2616" s="171">
        <v>-2661.9064154879002</v>
      </c>
    </row>
    <row r="2617" spans="2:2" ht="15.6">
      <c r="B2617" s="171">
        <v>-1726.7301637144587</v>
      </c>
    </row>
    <row r="2618" spans="2:2" ht="15.6">
      <c r="B2618" s="171">
        <v>-1236.7572631112357</v>
      </c>
    </row>
    <row r="2619" spans="2:2" ht="15.6">
      <c r="B2619" s="171">
        <v>-1378.1851912059933</v>
      </c>
    </row>
    <row r="2620" spans="2:2" ht="15.6">
      <c r="B2620" s="171">
        <v>-1797.8899688216675</v>
      </c>
    </row>
    <row r="2621" spans="2:2" ht="15.6">
      <c r="B2621" s="171">
        <v>-1742.8229850985788</v>
      </c>
    </row>
    <row r="2622" spans="2:2" ht="15.6">
      <c r="B2622" s="171">
        <v>-2613.2654423629297</v>
      </c>
    </row>
    <row r="2623" spans="2:2" ht="15.6">
      <c r="B2623" s="171">
        <v>-799.65639892801642</v>
      </c>
    </row>
    <row r="2624" spans="2:2" ht="15.6">
      <c r="B2624" s="171">
        <v>-2079.0232415278697</v>
      </c>
    </row>
    <row r="2625" spans="2:2" ht="15.6">
      <c r="B2625" s="171">
        <v>-1063.7379212285048</v>
      </c>
    </row>
    <row r="2626" spans="2:2" ht="15.6">
      <c r="B2626" s="171">
        <v>-2074.3684808076064</v>
      </c>
    </row>
    <row r="2627" spans="2:2" ht="15.6">
      <c r="B2627" s="171">
        <v>-1856.3579490409484</v>
      </c>
    </row>
    <row r="2628" spans="2:2" ht="15.6">
      <c r="B2628" s="171">
        <v>-2432.5584889542065</v>
      </c>
    </row>
    <row r="2629" spans="2:2" ht="15.6">
      <c r="B2629" s="171">
        <v>-1439.1850386203769</v>
      </c>
    </row>
    <row r="2630" spans="2:2" ht="15.6">
      <c r="B2630" s="171">
        <v>-1936.4616153893412</v>
      </c>
    </row>
    <row r="2631" spans="2:2" ht="15.6">
      <c r="B2631" s="171">
        <v>-1801.6427487332396</v>
      </c>
    </row>
    <row r="2632" spans="2:2" ht="15.6">
      <c r="B2632" s="171">
        <v>-1377.8664609877319</v>
      </c>
    </row>
    <row r="2633" spans="2:2" ht="15.6">
      <c r="B2633" s="171">
        <v>-1420.841131652041</v>
      </c>
    </row>
    <row r="2634" spans="2:2" ht="15.6">
      <c r="B2634" s="171">
        <v>-1233.7259741885273</v>
      </c>
    </row>
    <row r="2635" spans="2:2" ht="15.6">
      <c r="B2635" s="171">
        <v>-1415.6950262806424</v>
      </c>
    </row>
    <row r="2636" spans="2:2" ht="15.6">
      <c r="B2636" s="171">
        <v>-1134.0151058123083</v>
      </c>
    </row>
    <row r="2637" spans="2:2" ht="15.6">
      <c r="B2637" s="171">
        <v>-1374.0627672861865</v>
      </c>
    </row>
    <row r="2638" spans="2:2" ht="15.6">
      <c r="B2638" s="171">
        <v>-1558.7531127657705</v>
      </c>
    </row>
    <row r="2639" spans="2:2" ht="15.6">
      <c r="B2639" s="171">
        <v>-718.75629518370272</v>
      </c>
    </row>
    <row r="2640" spans="2:2" ht="15.6">
      <c r="B2640" s="171">
        <v>-1244.8537007298862</v>
      </c>
    </row>
    <row r="2641" spans="2:2" ht="15.6">
      <c r="B2641" s="171">
        <v>-1622.2241726206369</v>
      </c>
    </row>
    <row r="2642" spans="2:2" ht="15.6">
      <c r="B2642" s="171">
        <v>-1497.5980428248301</v>
      </c>
    </row>
    <row r="2643" spans="2:2" ht="15.6">
      <c r="B2643" s="171">
        <v>-1730.1654881307829</v>
      </c>
    </row>
    <row r="2644" spans="2:2" ht="15.6">
      <c r="B2644" s="171">
        <v>-1374.6047078663441</v>
      </c>
    </row>
    <row r="2645" spans="2:2" ht="15.6">
      <c r="B2645" s="171">
        <v>-1521.7837032106486</v>
      </c>
    </row>
    <row r="2646" spans="2:2" ht="15.6">
      <c r="B2646" s="171">
        <v>-1466.5014086931958</v>
      </c>
    </row>
    <row r="2647" spans="2:2" ht="15.6">
      <c r="B2647" s="171">
        <v>-1181.3163436590503</v>
      </c>
    </row>
    <row r="2648" spans="2:2" ht="15.6">
      <c r="B2648" s="171">
        <v>-1885.1416690691544</v>
      </c>
    </row>
    <row r="2649" spans="2:2" ht="15.6">
      <c r="B2649" s="171">
        <v>-1514.2437801740837</v>
      </c>
    </row>
    <row r="2650" spans="2:2" ht="15.6">
      <c r="B2650" s="171">
        <v>-1988.82055053557</v>
      </c>
    </row>
    <row r="2651" spans="2:2" ht="15.6">
      <c r="B2651" s="171">
        <v>-1314.7417988369525</v>
      </c>
    </row>
    <row r="2652" spans="2:2" ht="15.6">
      <c r="B2652" s="171">
        <v>-2502.7058293936125</v>
      </c>
    </row>
    <row r="2653" spans="2:2" ht="15.6">
      <c r="B2653" s="171">
        <v>-1677.3599455606172</v>
      </c>
    </row>
    <row r="2654" spans="2:2" ht="15.6">
      <c r="B2654" s="171">
        <v>-1274.0973227949783</v>
      </c>
    </row>
    <row r="2655" spans="2:2" ht="15.6">
      <c r="B2655" s="171">
        <v>-1852.0264177123709</v>
      </c>
    </row>
    <row r="2656" spans="2:2" ht="15.6">
      <c r="B2656" s="171">
        <v>-1157.5218517879723</v>
      </c>
    </row>
    <row r="2657" spans="2:2" ht="15.6">
      <c r="B2657" s="171">
        <v>-1453.9958292467263</v>
      </c>
    </row>
    <row r="2658" spans="2:2" ht="15.6">
      <c r="B2658" s="171">
        <v>-1482.7434406121297</v>
      </c>
    </row>
    <row r="2659" spans="2:2" ht="15.6">
      <c r="B2659" s="171">
        <v>-2088.7640523902205</v>
      </c>
    </row>
    <row r="2660" spans="2:2" ht="15.6">
      <c r="B2660" s="171">
        <v>-2109.7108892078363</v>
      </c>
    </row>
    <row r="2661" spans="2:2" ht="15.6">
      <c r="B2661" s="171">
        <v>-1621.3070614662217</v>
      </c>
    </row>
    <row r="2662" spans="2:2" ht="15.6">
      <c r="B2662" s="171">
        <v>-2575.0625457625465</v>
      </c>
    </row>
    <row r="2663" spans="2:2" ht="15.6">
      <c r="B2663" s="171">
        <v>-2239.1213516689959</v>
      </c>
    </row>
    <row r="2664" spans="2:2" ht="15.6">
      <c r="B2664" s="171">
        <v>-1192.7930958568134</v>
      </c>
    </row>
    <row r="2665" spans="2:2" ht="15.6">
      <c r="B2665" s="171">
        <v>-1398.4883005524475</v>
      </c>
    </row>
    <row r="2666" spans="2:2" ht="15.6">
      <c r="B2666" s="171">
        <v>-1432.8760001565001</v>
      </c>
    </row>
    <row r="2667" spans="2:2" ht="15.6">
      <c r="B2667" s="171">
        <v>-2021.0203517165928</v>
      </c>
    </row>
    <row r="2668" spans="2:2" ht="15.6">
      <c r="B2668" s="171">
        <v>-974.56865699114883</v>
      </c>
    </row>
    <row r="2669" spans="2:2" ht="15.6">
      <c r="B2669" s="171">
        <v>-1335.7120943919429</v>
      </c>
    </row>
    <row r="2670" spans="2:2" ht="15.6">
      <c r="B2670" s="171">
        <v>-1278.7309418524096</v>
      </c>
    </row>
    <row r="2671" spans="2:2" ht="15.6">
      <c r="B2671" s="171">
        <v>-1251.3585216468716</v>
      </c>
    </row>
    <row r="2672" spans="2:2" ht="15.6">
      <c r="B2672" s="171">
        <v>-1508.7695071501917</v>
      </c>
    </row>
    <row r="2673" spans="2:2" ht="15.6">
      <c r="B2673" s="171">
        <v>-2119.390381523785</v>
      </c>
    </row>
    <row r="2674" spans="2:2" ht="15.6">
      <c r="B2674" s="171">
        <v>-2057.2345667744898</v>
      </c>
    </row>
    <row r="2675" spans="2:2" ht="15.6">
      <c r="B2675" s="171">
        <v>-1361.1373854150515</v>
      </c>
    </row>
    <row r="2676" spans="2:2" ht="15.6">
      <c r="B2676" s="171">
        <v>-907.33579013211943</v>
      </c>
    </row>
    <row r="2677" spans="2:2" ht="15.6">
      <c r="B2677" s="171">
        <v>-1720.2375303536878</v>
      </c>
    </row>
    <row r="2678" spans="2:2" ht="15.6">
      <c r="B2678" s="171">
        <v>-1578.1478316780676</v>
      </c>
    </row>
    <row r="2679" spans="2:2" ht="15.6">
      <c r="B2679" s="171">
        <v>-1819.4539103426221</v>
      </c>
    </row>
    <row r="2680" spans="2:2" ht="15.6">
      <c r="B2680" s="171">
        <v>-2156.7460821729082</v>
      </c>
    </row>
    <row r="2681" spans="2:2" ht="15.6">
      <c r="B2681" s="171">
        <v>-1634.6459904719927</v>
      </c>
    </row>
    <row r="2682" spans="2:2" ht="15.6">
      <c r="B2682" s="171">
        <v>-1343.393252399529</v>
      </c>
    </row>
    <row r="2683" spans="2:2" ht="15.6">
      <c r="B2683" s="171">
        <v>-1557.9598809232853</v>
      </c>
    </row>
    <row r="2684" spans="2:2" ht="15.6">
      <c r="B2684" s="171">
        <v>-1216.2024295189021</v>
      </c>
    </row>
    <row r="2685" spans="2:2" ht="15.6">
      <c r="B2685" s="171">
        <v>-2164.3719619961248</v>
      </c>
    </row>
    <row r="2686" spans="2:2" ht="15.6">
      <c r="B2686" s="171">
        <v>-1779.5636079702808</v>
      </c>
    </row>
    <row r="2687" spans="2:2" ht="15.6">
      <c r="B2687" s="171">
        <v>-1615.1507360411952</v>
      </c>
    </row>
    <row r="2688" spans="2:2" ht="15.6">
      <c r="B2688" s="171">
        <v>-596.69258723416692</v>
      </c>
    </row>
    <row r="2689" spans="2:2" ht="15.6">
      <c r="B2689" s="171">
        <v>-1731.6215824609019</v>
      </c>
    </row>
    <row r="2690" spans="2:2" ht="15.6">
      <c r="B2690" s="171">
        <v>-1436.9543580235631</v>
      </c>
    </row>
    <row r="2691" spans="2:2" ht="15.6">
      <c r="B2691" s="171">
        <v>-1888.484423230791</v>
      </c>
    </row>
    <row r="2692" spans="2:2" ht="15.6">
      <c r="B2692" s="171">
        <v>-1032.6649889323355</v>
      </c>
    </row>
    <row r="2693" spans="2:2" ht="15.6">
      <c r="B2693" s="171">
        <v>-1089.0325980744838</v>
      </c>
    </row>
    <row r="2694" spans="2:2" ht="15.6">
      <c r="B2694" s="171">
        <v>-1460.5011517709986</v>
      </c>
    </row>
    <row r="2695" spans="2:2" ht="15.6">
      <c r="B2695" s="171">
        <v>-1324.4078249040731</v>
      </c>
    </row>
    <row r="2696" spans="2:2" ht="15.6">
      <c r="B2696" s="171">
        <v>-1471.5119493453667</v>
      </c>
    </row>
    <row r="2697" spans="2:2" ht="15.6">
      <c r="B2697" s="171">
        <v>-1317.1880659133571</v>
      </c>
    </row>
    <row r="2698" spans="2:2" ht="15.6">
      <c r="B2698" s="171">
        <v>-1967.9720493554232</v>
      </c>
    </row>
    <row r="2699" spans="2:2" ht="15.6">
      <c r="B2699" s="171">
        <v>-1326.8634874710724</v>
      </c>
    </row>
    <row r="2700" spans="2:2" ht="15.6">
      <c r="B2700" s="171">
        <v>-1496.3969139316982</v>
      </c>
    </row>
    <row r="2701" spans="2:2" ht="15.6">
      <c r="B2701" s="171">
        <v>-1578.3398303467716</v>
      </c>
    </row>
    <row r="2702" spans="2:2" ht="15.6">
      <c r="B2702" s="171">
        <v>-1424.4487342944744</v>
      </c>
    </row>
    <row r="2703" spans="2:2" ht="15.6">
      <c r="B2703" s="171">
        <v>-1640.5904917622247</v>
      </c>
    </row>
    <row r="2704" spans="2:2" ht="15.6">
      <c r="B2704" s="171">
        <v>-2169.48916770913</v>
      </c>
    </row>
    <row r="2705" spans="2:2" ht="15.6">
      <c r="B2705" s="171">
        <v>-1180.0012698007292</v>
      </c>
    </row>
    <row r="2706" spans="2:2" ht="15.6">
      <c r="B2706" s="171">
        <v>-1931.468718413676</v>
      </c>
    </row>
    <row r="2707" spans="2:2" ht="15.6">
      <c r="B2707" s="171">
        <v>-1150.2335835298993</v>
      </c>
    </row>
    <row r="2708" spans="2:2" ht="15.6">
      <c r="B2708" s="171">
        <v>-1382.2157834010961</v>
      </c>
    </row>
    <row r="2709" spans="2:2" ht="15.6">
      <c r="B2709" s="171">
        <v>-1836.3571895435584</v>
      </c>
    </row>
    <row r="2710" spans="2:2" ht="15.6">
      <c r="B2710" s="171">
        <v>-1796.3402074597707</v>
      </c>
    </row>
    <row r="2711" spans="2:2" ht="15.6">
      <c r="B2711" s="171">
        <v>-903.85621626861462</v>
      </c>
    </row>
    <row r="2712" spans="2:2" ht="15.6">
      <c r="B2712" s="171">
        <v>-2525.3821885448224</v>
      </c>
    </row>
    <row r="2713" spans="2:2" ht="15.6">
      <c r="B2713" s="171">
        <v>-2101.5132490236574</v>
      </c>
    </row>
    <row r="2714" spans="2:2" ht="15.6">
      <c r="B2714" s="171">
        <v>-2090.6103581985799</v>
      </c>
    </row>
    <row r="2715" spans="2:2" ht="15.6">
      <c r="B2715" s="171">
        <v>-1894.2423203347544</v>
      </c>
    </row>
    <row r="2716" spans="2:2" ht="15.6">
      <c r="B2716" s="171">
        <v>-1893.9072563936454</v>
      </c>
    </row>
    <row r="2717" spans="2:2" ht="15.6">
      <c r="B2717" s="171">
        <v>-2257.6062630600513</v>
      </c>
    </row>
    <row r="2718" spans="2:2" ht="15.6">
      <c r="B2718" s="171">
        <v>-1554.2840431231821</v>
      </c>
    </row>
    <row r="2719" spans="2:2" ht="15.6">
      <c r="B2719" s="171">
        <v>-1743.0238952734712</v>
      </c>
    </row>
    <row r="2720" spans="2:2" ht="15.6">
      <c r="B2720" s="171">
        <v>-1150.71064621151</v>
      </c>
    </row>
    <row r="2721" spans="2:2" ht="15.6">
      <c r="B2721" s="171">
        <v>-1164.0187547914288</v>
      </c>
    </row>
    <row r="2722" spans="2:2" ht="15.6">
      <c r="B2722" s="171">
        <v>-1455.2557888416459</v>
      </c>
    </row>
    <row r="2723" spans="2:2" ht="15.6">
      <c r="B2723" s="171">
        <v>-1314.9124789080215</v>
      </c>
    </row>
    <row r="2724" spans="2:2" ht="15.6">
      <c r="B2724" s="171">
        <v>-2007.5772548876162</v>
      </c>
    </row>
    <row r="2725" spans="2:2" ht="15.6">
      <c r="B2725" s="171">
        <v>-1866.3932595374808</v>
      </c>
    </row>
    <row r="2726" spans="2:2" ht="15.6">
      <c r="B2726" s="171">
        <v>-2155.1617600148215</v>
      </c>
    </row>
    <row r="2727" spans="2:2" ht="15.6">
      <c r="B2727" s="171">
        <v>-1628.7081592317877</v>
      </c>
    </row>
    <row r="2728" spans="2:2" ht="15.6">
      <c r="B2728" s="171">
        <v>-1507.4410826832827</v>
      </c>
    </row>
    <row r="2729" spans="2:2" ht="15.6">
      <c r="B2729" s="171">
        <v>-1231.2781584176967</v>
      </c>
    </row>
    <row r="2730" spans="2:2" ht="15.6">
      <c r="B2730" s="171">
        <v>-1313.5517910083136</v>
      </c>
    </row>
    <row r="2731" spans="2:2" ht="15.6">
      <c r="B2731" s="171">
        <v>-1327.7911782178167</v>
      </c>
    </row>
    <row r="2732" spans="2:2" ht="15.6">
      <c r="B2732" s="171">
        <v>-1734.0203362623281</v>
      </c>
    </row>
    <row r="2733" spans="2:2" ht="15.6">
      <c r="B2733" s="171">
        <v>-1330.8342180145808</v>
      </c>
    </row>
    <row r="2734" spans="2:2" ht="15.6">
      <c r="B2734" s="171">
        <v>-2440.0520721750754</v>
      </c>
    </row>
    <row r="2735" spans="2:2" ht="15.6">
      <c r="B2735" s="171">
        <v>-1738.0947032854986</v>
      </c>
    </row>
    <row r="2736" spans="2:2" ht="15.6">
      <c r="B2736" s="171">
        <v>-1538.4201860476142</v>
      </c>
    </row>
    <row r="2737" spans="2:2" ht="15.6">
      <c r="B2737" s="171">
        <v>-2145.5765866334395</v>
      </c>
    </row>
    <row r="2738" spans="2:2" ht="15.6">
      <c r="B2738" s="171">
        <v>-1498.8260214208308</v>
      </c>
    </row>
    <row r="2739" spans="2:2" ht="15.6">
      <c r="B2739" s="171">
        <v>-970.95777499653332</v>
      </c>
    </row>
    <row r="2740" spans="2:2" ht="15.6">
      <c r="B2740" s="171">
        <v>-1634.7664673663462</v>
      </c>
    </row>
    <row r="2741" spans="2:2" ht="15.6">
      <c r="B2741" s="171">
        <v>-1478.5867354138886</v>
      </c>
    </row>
    <row r="2742" spans="2:2" ht="15.6">
      <c r="B2742" s="171">
        <v>-893.27646311696697</v>
      </c>
    </row>
    <row r="2743" spans="2:2" ht="15.6">
      <c r="B2743" s="171">
        <v>-1443.4481633881812</v>
      </c>
    </row>
    <row r="2744" spans="2:2" ht="15.6">
      <c r="B2744" s="171">
        <v>-1407.2440884452078</v>
      </c>
    </row>
    <row r="2745" spans="2:2" ht="15.6">
      <c r="B2745" s="171">
        <v>-1743.4443003095616</v>
      </c>
    </row>
    <row r="2746" spans="2:2" ht="15.6">
      <c r="B2746" s="171">
        <v>-1488.4433185219625</v>
      </c>
    </row>
    <row r="2747" spans="2:2" ht="15.6">
      <c r="B2747" s="171">
        <v>-1187.8426820644527</v>
      </c>
    </row>
    <row r="2748" spans="2:2" ht="15.6">
      <c r="B2748" s="171">
        <v>-2433.527185500182</v>
      </c>
    </row>
    <row r="2749" spans="2:2" ht="15.6">
      <c r="B2749" s="171">
        <v>-1588.9082397620896</v>
      </c>
    </row>
    <row r="2750" spans="2:2" ht="15.6">
      <c r="B2750" s="171">
        <v>-2161.6308806588149</v>
      </c>
    </row>
    <row r="2751" spans="2:2" ht="15.6">
      <c r="B2751" s="171">
        <v>-1622.2366272217851</v>
      </c>
    </row>
    <row r="2752" spans="2:2" ht="15.6">
      <c r="B2752" s="171">
        <v>-1681.9850944169091</v>
      </c>
    </row>
    <row r="2753" spans="2:2" ht="15.6">
      <c r="B2753" s="171">
        <v>-1161.6779868019546</v>
      </c>
    </row>
    <row r="2754" spans="2:2" ht="15.6">
      <c r="B2754" s="171">
        <v>-2341.0376766600502</v>
      </c>
    </row>
    <row r="2755" spans="2:2" ht="15.6">
      <c r="B2755" s="171">
        <v>-1494.2171380003049</v>
      </c>
    </row>
    <row r="2756" spans="2:2" ht="15.6">
      <c r="B2756" s="171">
        <v>-1163.8287826495707</v>
      </c>
    </row>
    <row r="2757" spans="2:2" ht="15.6">
      <c r="B2757" s="171">
        <v>-1523.6199407726076</v>
      </c>
    </row>
    <row r="2758" spans="2:2" ht="15.6">
      <c r="B2758" s="171">
        <v>-1663.1782883661501</v>
      </c>
    </row>
    <row r="2759" spans="2:2" ht="15.6">
      <c r="B2759" s="171">
        <v>-1462.0818840202492</v>
      </c>
    </row>
    <row r="2760" spans="2:2" ht="15.6">
      <c r="B2760" s="171">
        <v>-1916.0546651115592</v>
      </c>
    </row>
    <row r="2761" spans="2:2" ht="15.6">
      <c r="B2761" s="171">
        <v>-1795.7727215923362</v>
      </c>
    </row>
    <row r="2762" spans="2:2" ht="15.6">
      <c r="B2762" s="171">
        <v>-1790.6955013571219</v>
      </c>
    </row>
    <row r="2763" spans="2:2" ht="15.6">
      <c r="B2763" s="171">
        <v>-1686.984124791667</v>
      </c>
    </row>
    <row r="2764" spans="2:2" ht="15.6">
      <c r="B2764" s="171">
        <v>-1172.1010056946689</v>
      </c>
    </row>
    <row r="2765" spans="2:2" ht="15.6">
      <c r="B2765" s="171">
        <v>-1788.9127906733472</v>
      </c>
    </row>
    <row r="2766" spans="2:2" ht="15.6">
      <c r="B2766" s="171">
        <v>-1802.3403420065881</v>
      </c>
    </row>
    <row r="2767" spans="2:2" ht="15.6">
      <c r="B2767" s="171">
        <v>-2207.7520285071332</v>
      </c>
    </row>
    <row r="2768" spans="2:2" ht="15.6">
      <c r="B2768" s="171">
        <v>-1794.0960421653006</v>
      </c>
    </row>
    <row r="2769" spans="2:2" ht="15.6">
      <c r="B2769" s="171">
        <v>-2078.4076199966989</v>
      </c>
    </row>
    <row r="2770" spans="2:2" ht="15.6">
      <c r="B2770" s="171">
        <v>-1385.5123431284317</v>
      </c>
    </row>
    <row r="2771" spans="2:2" ht="15.6">
      <c r="B2771" s="171">
        <v>-1169.4977534606219</v>
      </c>
    </row>
    <row r="2772" spans="2:2" ht="15.6">
      <c r="B2772" s="171">
        <v>-2352.3343781245312</v>
      </c>
    </row>
    <row r="2773" spans="2:2" ht="15.6">
      <c r="B2773" s="171">
        <v>-1946.6084030758179</v>
      </c>
    </row>
    <row r="2774" spans="2:2" ht="15.6">
      <c r="B2774" s="171">
        <v>-1515.5236808537816</v>
      </c>
    </row>
    <row r="2775" spans="2:2" ht="15.6">
      <c r="B2775" s="171">
        <v>-1773.4780669441186</v>
      </c>
    </row>
    <row r="2776" spans="2:2" ht="15.6">
      <c r="B2776" s="171">
        <v>-1188.8328724522355</v>
      </c>
    </row>
    <row r="2777" spans="2:2" ht="15.6">
      <c r="B2777" s="171">
        <v>-1164.6554554082784</v>
      </c>
    </row>
    <row r="2778" spans="2:2" ht="15.6">
      <c r="B2778" s="171">
        <v>-1425.7767959291391</v>
      </c>
    </row>
    <row r="2779" spans="2:2" ht="15.6">
      <c r="B2779" s="171">
        <v>-1717.364310558602</v>
      </c>
    </row>
    <row r="2780" spans="2:2" ht="15.6">
      <c r="B2780" s="171">
        <v>-1894.4242843799227</v>
      </c>
    </row>
    <row r="2781" spans="2:2" ht="15.6">
      <c r="B2781" s="171">
        <v>-1719.0788774255332</v>
      </c>
    </row>
    <row r="2782" spans="2:2" ht="15.6">
      <c r="B2782" s="171">
        <v>-1399.4736945281893</v>
      </c>
    </row>
    <row r="2783" spans="2:2" ht="15.6">
      <c r="B2783" s="171">
        <v>-1657.3014106132612</v>
      </c>
    </row>
    <row r="2784" spans="2:2" ht="15.6">
      <c r="B2784" s="171">
        <v>-756.06552702262957</v>
      </c>
    </row>
    <row r="2785" spans="2:2" ht="15.6">
      <c r="B2785" s="171">
        <v>-2183.8762233333855</v>
      </c>
    </row>
    <row r="2786" spans="2:2" ht="15.6">
      <c r="B2786" s="171">
        <v>-2813.1464107608417</v>
      </c>
    </row>
    <row r="2787" spans="2:2" ht="15.6">
      <c r="B2787" s="171">
        <v>-2542.3224507028553</v>
      </c>
    </row>
    <row r="2788" spans="2:2" ht="15.6">
      <c r="B2788" s="171">
        <v>-1550.9165199099032</v>
      </c>
    </row>
    <row r="2789" spans="2:2" ht="15.6">
      <c r="B2789" s="171">
        <v>-2202.9062956383959</v>
      </c>
    </row>
    <row r="2790" spans="2:2" ht="15.6">
      <c r="B2790" s="171">
        <v>-2311.1502451734059</v>
      </c>
    </row>
    <row r="2791" spans="2:2" ht="15.6">
      <c r="B2791" s="171">
        <v>-1950.6049590905363</v>
      </c>
    </row>
    <row r="2792" spans="2:2" ht="15.6">
      <c r="B2792" s="171">
        <v>-1190.4893410755919</v>
      </c>
    </row>
    <row r="2793" spans="2:2" ht="15.6">
      <c r="B2793" s="171">
        <v>-1747.6656027249305</v>
      </c>
    </row>
    <row r="2794" spans="2:2" ht="15.6">
      <c r="B2794" s="171">
        <v>-1532.3997667825224</v>
      </c>
    </row>
    <row r="2795" spans="2:2" ht="15.6">
      <c r="B2795" s="171">
        <v>-1402.685142344583</v>
      </c>
    </row>
    <row r="2796" spans="2:2" ht="15.6">
      <c r="B2796" s="171">
        <v>-1659.7749966439092</v>
      </c>
    </row>
    <row r="2797" spans="2:2" ht="15.6">
      <c r="B2797" s="171">
        <v>-1215.3894477743659</v>
      </c>
    </row>
    <row r="2798" spans="2:2" ht="15.6">
      <c r="B2798" s="171">
        <v>-1323.7530733186063</v>
      </c>
    </row>
    <row r="2799" spans="2:2" ht="15.6">
      <c r="B2799" s="171">
        <v>-2333.2145316638057</v>
      </c>
    </row>
    <row r="2800" spans="2:2" ht="15.6">
      <c r="B2800" s="171">
        <v>-2152.7879813055156</v>
      </c>
    </row>
    <row r="2801" spans="2:2" ht="15.6">
      <c r="B2801" s="171">
        <v>-2165.111770292418</v>
      </c>
    </row>
    <row r="2802" spans="2:2" ht="15.6">
      <c r="B2802" s="171">
        <v>-2406.3455788167089</v>
      </c>
    </row>
    <row r="2803" spans="2:2" ht="15.6">
      <c r="B2803" s="171">
        <v>-733.09442823194161</v>
      </c>
    </row>
    <row r="2804" spans="2:2" ht="15.6">
      <c r="B2804" s="171">
        <v>-2064.5866538649475</v>
      </c>
    </row>
    <row r="2805" spans="2:2" ht="15.6">
      <c r="B2805" s="171">
        <v>-1988.3155504153508</v>
      </c>
    </row>
    <row r="2806" spans="2:2" ht="15.6">
      <c r="B2806" s="171">
        <v>-1622.1778220459892</v>
      </c>
    </row>
    <row r="2807" spans="2:2" ht="15.6">
      <c r="B2807" s="171">
        <v>-1746.4391123981081</v>
      </c>
    </row>
    <row r="2808" spans="2:2" ht="15.6">
      <c r="B2808" s="171">
        <v>-1810.1046009313523</v>
      </c>
    </row>
    <row r="2809" spans="2:2" ht="15.6">
      <c r="B2809" s="171">
        <v>-1434.5102840982772</v>
      </c>
    </row>
    <row r="2810" spans="2:2" ht="15.6">
      <c r="B2810" s="171">
        <v>-2108.3782957242574</v>
      </c>
    </row>
    <row r="2811" spans="2:2" ht="15.6">
      <c r="B2811" s="171">
        <v>-1161.0255115142597</v>
      </c>
    </row>
    <row r="2812" spans="2:2" ht="15.6">
      <c r="B2812" s="171">
        <v>-1506.6191805554847</v>
      </c>
    </row>
    <row r="2813" spans="2:2" ht="15.6">
      <c r="B2813" s="171">
        <v>-1324.4801382683734</v>
      </c>
    </row>
    <row r="2814" spans="2:2" ht="15.6">
      <c r="B2814" s="171">
        <v>-1486.4280018040511</v>
      </c>
    </row>
    <row r="2815" spans="2:2" ht="15.6">
      <c r="B2815" s="171">
        <v>-1516.9735281492117</v>
      </c>
    </row>
    <row r="2816" spans="2:2" ht="15.6">
      <c r="B2816" s="171">
        <v>-1863.3572915555014</v>
      </c>
    </row>
    <row r="2817" spans="2:2" ht="15.6">
      <c r="B2817" s="171">
        <v>-1169.4359549955745</v>
      </c>
    </row>
    <row r="2818" spans="2:2" ht="15.6">
      <c r="B2818" s="171">
        <v>-1461.9066765068853</v>
      </c>
    </row>
    <row r="2819" spans="2:2" ht="15.6">
      <c r="B2819" s="171">
        <v>-1057.6288260806809</v>
      </c>
    </row>
    <row r="2820" spans="2:2" ht="15.6">
      <c r="B2820" s="171">
        <v>-1280.307911729989</v>
      </c>
    </row>
    <row r="2821" spans="2:2" ht="15.6">
      <c r="B2821" s="171">
        <v>-2094.8540958603367</v>
      </c>
    </row>
    <row r="2822" spans="2:2" ht="15.6">
      <c r="B2822" s="171">
        <v>-1506.7940509255388</v>
      </c>
    </row>
    <row r="2823" spans="2:2" ht="15.6">
      <c r="B2823" s="171">
        <v>-988.35528815369571</v>
      </c>
    </row>
    <row r="2824" spans="2:2" ht="15.6">
      <c r="B2824" s="171">
        <v>-1572.9122846206571</v>
      </c>
    </row>
    <row r="2825" spans="2:2" ht="15.6">
      <c r="B2825" s="171">
        <v>-1458.7372937661823</v>
      </c>
    </row>
    <row r="2826" spans="2:2" ht="15.6">
      <c r="B2826" s="171">
        <v>-1985.4732455130679</v>
      </c>
    </row>
    <row r="2827" spans="2:2" ht="15.6">
      <c r="B2827" s="171">
        <v>-1126.5316771337814</v>
      </c>
    </row>
    <row r="2828" spans="2:2" ht="15.6">
      <c r="B2828" s="171">
        <v>-1657.2923288742063</v>
      </c>
    </row>
    <row r="2829" spans="2:2" ht="15.6">
      <c r="B2829" s="171">
        <v>-1826.9875060975128</v>
      </c>
    </row>
    <row r="2830" spans="2:2" ht="15.6">
      <c r="B2830" s="171">
        <v>-1669.9886014438948</v>
      </c>
    </row>
    <row r="2831" spans="2:2" ht="15.6">
      <c r="B2831" s="171">
        <v>-1377.0336504791526</v>
      </c>
    </row>
    <row r="2832" spans="2:2" ht="15.6">
      <c r="B2832" s="171">
        <v>-1242.8933670229599</v>
      </c>
    </row>
    <row r="2833" spans="2:2" ht="15.6">
      <c r="B2833" s="171">
        <v>-1368.1250906638306</v>
      </c>
    </row>
    <row r="2834" spans="2:2" ht="15.6">
      <c r="B2834" s="171">
        <v>-1345.4895149672154</v>
      </c>
    </row>
    <row r="2835" spans="2:2" ht="15.6">
      <c r="B2835" s="171">
        <v>-2217.7390721084294</v>
      </c>
    </row>
    <row r="2836" spans="2:2" ht="15.6">
      <c r="B2836" s="171">
        <v>-1507.8283810845874</v>
      </c>
    </row>
    <row r="2837" spans="2:2" ht="15.6">
      <c r="B2837" s="171">
        <v>-1967.4368765789616</v>
      </c>
    </row>
    <row r="2838" spans="2:2" ht="15.6">
      <c r="B2838" s="171">
        <v>-1364.3632476840899</v>
      </c>
    </row>
    <row r="2839" spans="2:2" ht="15.6">
      <c r="B2839" s="171">
        <v>-1921.9113088016402</v>
      </c>
    </row>
    <row r="2840" spans="2:2" ht="15.6">
      <c r="B2840" s="171">
        <v>-972.9402569611085</v>
      </c>
    </row>
    <row r="2841" spans="2:2" ht="15.6">
      <c r="B2841" s="171">
        <v>-2199.5171400002173</v>
      </c>
    </row>
    <row r="2842" spans="2:2" ht="15.6">
      <c r="B2842" s="171">
        <v>-1690.1137948579617</v>
      </c>
    </row>
    <row r="2843" spans="2:2" ht="15.6">
      <c r="B2843" s="171">
        <v>-2191.4526433058322</v>
      </c>
    </row>
    <row r="2844" spans="2:2" ht="15.6">
      <c r="B2844" s="171">
        <v>-2140.9723619539413</v>
      </c>
    </row>
    <row r="2845" spans="2:2" ht="15.6">
      <c r="B2845" s="171">
        <v>-1691.9043001331318</v>
      </c>
    </row>
    <row r="2846" spans="2:2" ht="15.6">
      <c r="B2846" s="171">
        <v>-1451.1483004416884</v>
      </c>
    </row>
    <row r="2847" spans="2:2" ht="15.6">
      <c r="B2847" s="171">
        <v>-1496.4190121969732</v>
      </c>
    </row>
    <row r="2848" spans="2:2" ht="15.6">
      <c r="B2848" s="171">
        <v>-1754.4989693207835</v>
      </c>
    </row>
    <row r="2849" spans="2:2" ht="15.6">
      <c r="B2849" s="171">
        <v>-1829.6433629820187</v>
      </c>
    </row>
    <row r="2850" spans="2:2" ht="15.6">
      <c r="B2850" s="171">
        <v>-1323.6576803632029</v>
      </c>
    </row>
    <row r="2851" spans="2:2" ht="15.6">
      <c r="B2851" s="171">
        <v>-1368.2764737914949</v>
      </c>
    </row>
    <row r="2852" spans="2:2" ht="15.6">
      <c r="B2852" s="171">
        <v>-2102.7020607345385</v>
      </c>
    </row>
    <row r="2853" spans="2:2" ht="15.6">
      <c r="B2853" s="171">
        <v>-1712.7033333479517</v>
      </c>
    </row>
    <row r="2854" spans="2:2" ht="15.6">
      <c r="B2854" s="171">
        <v>-2337.6748945550298</v>
      </c>
    </row>
    <row r="2855" spans="2:2" ht="15.6">
      <c r="B2855" s="171">
        <v>-1855.7657963769741</v>
      </c>
    </row>
    <row r="2856" spans="2:2" ht="15.6">
      <c r="B2856" s="171">
        <v>-1771.0164847723877</v>
      </c>
    </row>
    <row r="2857" spans="2:2" ht="15.6">
      <c r="B2857" s="171">
        <v>-1318.2702089561201</v>
      </c>
    </row>
    <row r="2858" spans="2:2" ht="15.6">
      <c r="B2858" s="171">
        <v>-1827.7505856704665</v>
      </c>
    </row>
    <row r="2859" spans="2:2" ht="15.6">
      <c r="B2859" s="171">
        <v>-1506.3080597335679</v>
      </c>
    </row>
    <row r="2860" spans="2:2" ht="15.6">
      <c r="B2860" s="171">
        <v>-1511.2541131583362</v>
      </c>
    </row>
    <row r="2861" spans="2:2" ht="15.6">
      <c r="B2861" s="171">
        <v>-819.62009558139187</v>
      </c>
    </row>
    <row r="2862" spans="2:2" ht="15.6">
      <c r="B2862" s="171">
        <v>-1290.8993905476475</v>
      </c>
    </row>
    <row r="2863" spans="2:2" ht="15.6">
      <c r="B2863" s="171">
        <v>-1397.151996473855</v>
      </c>
    </row>
    <row r="2864" spans="2:2" ht="15.6">
      <c r="B2864" s="171">
        <v>-1458.2877470796348</v>
      </c>
    </row>
    <row r="2865" spans="2:2" ht="15.6">
      <c r="B2865" s="171">
        <v>-1621.3664838234515</v>
      </c>
    </row>
    <row r="2866" spans="2:2" ht="15.6">
      <c r="B2866" s="171">
        <v>-1531.6287788582538</v>
      </c>
    </row>
    <row r="2867" spans="2:2" ht="15.6">
      <c r="B2867" s="171">
        <v>-2315.2599469990437</v>
      </c>
    </row>
    <row r="2868" spans="2:2" ht="15.6">
      <c r="B2868" s="171">
        <v>-1827.0029807549404</v>
      </c>
    </row>
    <row r="2869" spans="2:2" ht="15.6">
      <c r="B2869" s="171">
        <v>-1804.4979229890787</v>
      </c>
    </row>
    <row r="2870" spans="2:2" ht="15.6">
      <c r="B2870" s="171">
        <v>-1119.697510226134</v>
      </c>
    </row>
    <row r="2871" spans="2:2" ht="15.6">
      <c r="B2871" s="171">
        <v>-1230.7117743400097</v>
      </c>
    </row>
    <row r="2872" spans="2:2" ht="15.6">
      <c r="B2872" s="171">
        <v>-1950.4841656759265</v>
      </c>
    </row>
    <row r="2873" spans="2:2" ht="15.6">
      <c r="B2873" s="171">
        <v>-1586.6263381112315</v>
      </c>
    </row>
    <row r="2874" spans="2:2" ht="15.6">
      <c r="B2874" s="171">
        <v>-1529.6621552687261</v>
      </c>
    </row>
    <row r="2875" spans="2:2" ht="15.6">
      <c r="B2875" s="171">
        <v>-1490.1177160866569</v>
      </c>
    </row>
    <row r="2876" spans="2:2" ht="15.6">
      <c r="B2876" s="171">
        <v>-1180.7057906396703</v>
      </c>
    </row>
    <row r="2877" spans="2:2" ht="15.6">
      <c r="B2877" s="171">
        <v>-1553.304670831099</v>
      </c>
    </row>
    <row r="2878" spans="2:2" ht="15.6">
      <c r="B2878" s="171">
        <v>-1921.6800416615279</v>
      </c>
    </row>
    <row r="2879" spans="2:2" ht="15.6">
      <c r="B2879" s="171">
        <v>-1121.3202667361772</v>
      </c>
    </row>
    <row r="2880" spans="2:2" ht="15.6">
      <c r="B2880" s="171">
        <v>-1616.8826865967471</v>
      </c>
    </row>
    <row r="2881" spans="2:2" ht="15.6">
      <c r="B2881" s="171">
        <v>-1596.6635982688153</v>
      </c>
    </row>
    <row r="2882" spans="2:2" ht="15.6">
      <c r="B2882" s="171">
        <v>-1235.8960535025412</v>
      </c>
    </row>
    <row r="2883" spans="2:2" ht="15.6">
      <c r="B2883" s="171">
        <v>-1278.6579711352365</v>
      </c>
    </row>
    <row r="2884" spans="2:2" ht="15.6">
      <c r="B2884" s="171">
        <v>-1153.4028421142204</v>
      </c>
    </row>
    <row r="2885" spans="2:2" ht="15.6">
      <c r="B2885" s="171">
        <v>-1648.1285386633153</v>
      </c>
    </row>
    <row r="2886" spans="2:2" ht="15.6">
      <c r="B2886" s="171">
        <v>-1533.4572790146926</v>
      </c>
    </row>
    <row r="2887" spans="2:2" ht="15.6">
      <c r="B2887" s="171">
        <v>-2927.9759848542562</v>
      </c>
    </row>
    <row r="2888" spans="2:2" ht="15.6">
      <c r="B2888" s="171">
        <v>-1884.2873814437403</v>
      </c>
    </row>
    <row r="2889" spans="2:2" ht="15.6">
      <c r="B2889" s="171">
        <v>-1563.3443860236807</v>
      </c>
    </row>
    <row r="2890" spans="2:2" ht="15.6">
      <c r="B2890" s="171">
        <v>-2097.911317866367</v>
      </c>
    </row>
    <row r="2891" spans="2:2" ht="15.6">
      <c r="B2891" s="171">
        <v>-1223.0557541493563</v>
      </c>
    </row>
    <row r="2892" spans="2:2" ht="15.6">
      <c r="B2892" s="171">
        <v>-1293.3084964052325</v>
      </c>
    </row>
    <row r="2893" spans="2:2" ht="15.6">
      <c r="B2893" s="171">
        <v>-1825.5559925957068</v>
      </c>
    </row>
    <row r="2894" spans="2:2" ht="15.6">
      <c r="B2894" s="171">
        <v>-1762.075766019314</v>
      </c>
    </row>
    <row r="2895" spans="2:2" ht="15.6">
      <c r="B2895" s="171">
        <v>-1093.0925059789488</v>
      </c>
    </row>
    <row r="2896" spans="2:2" ht="15.6">
      <c r="B2896" s="171">
        <v>-1927.1438592206318</v>
      </c>
    </row>
    <row r="2897" spans="2:2" ht="15.6">
      <c r="B2897" s="171">
        <v>-1549.5266889980653</v>
      </c>
    </row>
    <row r="2898" spans="2:2" ht="15.6">
      <c r="B2898" s="171">
        <v>-2140.5178506984985</v>
      </c>
    </row>
    <row r="2899" spans="2:2" ht="15.6">
      <c r="B2899" s="171">
        <v>-1695.1197011699658</v>
      </c>
    </row>
    <row r="2900" spans="2:2" ht="15.6">
      <c r="B2900" s="171">
        <v>-1219.2100809912276</v>
      </c>
    </row>
    <row r="2901" spans="2:2" ht="15.6">
      <c r="B2901" s="171">
        <v>-1794.9775360225312</v>
      </c>
    </row>
    <row r="2902" spans="2:2" ht="15.6">
      <c r="B2902" s="171">
        <v>-1223.3331086450289</v>
      </c>
    </row>
    <row r="2903" spans="2:2" ht="15.6">
      <c r="B2903" s="171">
        <v>-1831.8446103139217</v>
      </c>
    </row>
    <row r="2904" spans="2:2" ht="15.6">
      <c r="B2904" s="171">
        <v>-1310.7298955904882</v>
      </c>
    </row>
    <row r="2905" spans="2:2" ht="15.6">
      <c r="B2905" s="171">
        <v>-1403.4642989274585</v>
      </c>
    </row>
    <row r="2906" spans="2:2" ht="15.6">
      <c r="B2906" s="171">
        <v>-1174.3754840381903</v>
      </c>
    </row>
    <row r="2907" spans="2:2" ht="15.6">
      <c r="B2907" s="171">
        <v>-2140.5085349995402</v>
      </c>
    </row>
    <row r="2908" spans="2:2" ht="15.6">
      <c r="B2908" s="171">
        <v>-1167.5325511577562</v>
      </c>
    </row>
    <row r="2909" spans="2:2" ht="15.6">
      <c r="B2909" s="171">
        <v>-2028.4678086730121</v>
      </c>
    </row>
    <row r="2910" spans="2:2" ht="15.6">
      <c r="B2910" s="171">
        <v>-1384.8486035984902</v>
      </c>
    </row>
    <row r="2911" spans="2:2" ht="15.6">
      <c r="B2911" s="171">
        <v>-971.75061155056846</v>
      </c>
    </row>
    <row r="2912" spans="2:2" ht="15.6">
      <c r="B2912" s="171">
        <v>-2166.2026504356108</v>
      </c>
    </row>
    <row r="2913" spans="2:2" ht="15.6">
      <c r="B2913" s="171">
        <v>-1190.0150573605476</v>
      </c>
    </row>
    <row r="2914" spans="2:2" ht="15.6">
      <c r="B2914" s="171">
        <v>-1700.4796462798238</v>
      </c>
    </row>
    <row r="2915" spans="2:2" ht="15.6">
      <c r="B2915" s="171">
        <v>-870.59383023230976</v>
      </c>
    </row>
    <row r="2916" spans="2:2" ht="15.6">
      <c r="B2916" s="171">
        <v>-1988.2371947227191</v>
      </c>
    </row>
    <row r="2917" spans="2:2" ht="15.6">
      <c r="B2917" s="171">
        <v>-1344.0580236103124</v>
      </c>
    </row>
    <row r="2918" spans="2:2" ht="15.6">
      <c r="B2918" s="171">
        <v>-1954.5082394192073</v>
      </c>
    </row>
    <row r="2919" spans="2:2" ht="15.6">
      <c r="B2919" s="171">
        <v>-1354.76741957288</v>
      </c>
    </row>
    <row r="2920" spans="2:2" ht="15.6">
      <c r="B2920" s="171">
        <v>-1644.975366273424</v>
      </c>
    </row>
    <row r="2921" spans="2:2" ht="15.6">
      <c r="B2921" s="171">
        <v>-1951.4822943692925</v>
      </c>
    </row>
    <row r="2922" spans="2:2" ht="15.6">
      <c r="B2922" s="171">
        <v>-1833.6592730206955</v>
      </c>
    </row>
    <row r="2923" spans="2:2" ht="15.6">
      <c r="B2923" s="171">
        <v>-1086.4950304205001</v>
      </c>
    </row>
    <row r="2924" spans="2:2" ht="15.6">
      <c r="B2924" s="171">
        <v>-1772.2216082332809</v>
      </c>
    </row>
    <row r="2925" spans="2:2" ht="15.6">
      <c r="B2925" s="171">
        <v>-1534.0656381973342</v>
      </c>
    </row>
    <row r="2926" spans="2:2" ht="15.6">
      <c r="B2926" s="171">
        <v>-1264.1638377101067</v>
      </c>
    </row>
    <row r="2927" spans="2:2" ht="15.6">
      <c r="B2927" s="171">
        <v>-1435.292074123244</v>
      </c>
    </row>
    <row r="2928" spans="2:2" ht="15.6">
      <c r="B2928" s="171">
        <v>-1213.5548433948952</v>
      </c>
    </row>
    <row r="2929" spans="2:2" ht="15.6">
      <c r="B2929" s="171">
        <v>-779.52454695990377</v>
      </c>
    </row>
    <row r="2930" spans="2:2" ht="15.6">
      <c r="B2930" s="171">
        <v>-925.75555808028685</v>
      </c>
    </row>
    <row r="2931" spans="2:2" ht="15.6">
      <c r="B2931" s="171">
        <v>-1978.9504708555182</v>
      </c>
    </row>
    <row r="2932" spans="2:2" ht="15.6">
      <c r="B2932" s="171">
        <v>-1686.8275105237653</v>
      </c>
    </row>
    <row r="2933" spans="2:2" ht="15.6">
      <c r="B2933" s="171">
        <v>-2211.9163409956427</v>
      </c>
    </row>
    <row r="2934" spans="2:2" ht="15.6">
      <c r="B2934" s="171">
        <v>-1408.9925728328089</v>
      </c>
    </row>
    <row r="2935" spans="2:2" ht="15.6">
      <c r="B2935" s="171">
        <v>-1532.3020907176096</v>
      </c>
    </row>
    <row r="2936" spans="2:2" ht="15.6">
      <c r="B2936" s="171">
        <v>-1830.5881986869133</v>
      </c>
    </row>
    <row r="2937" spans="2:2" ht="15.6">
      <c r="B2937" s="171">
        <v>-629.35248270797729</v>
      </c>
    </row>
    <row r="2938" spans="2:2" ht="15.6">
      <c r="B2938" s="171">
        <v>-1591.4221545621208</v>
      </c>
    </row>
    <row r="2939" spans="2:2" ht="15.6">
      <c r="B2939" s="171">
        <v>-2034.0580766517655</v>
      </c>
    </row>
    <row r="2940" spans="2:2" ht="15.6">
      <c r="B2940" s="171">
        <v>-942.01215489631204</v>
      </c>
    </row>
    <row r="2941" spans="2:2" ht="15.6">
      <c r="B2941" s="171">
        <v>-1235.9138943423789</v>
      </c>
    </row>
    <row r="2942" spans="2:2" ht="15.6">
      <c r="B2942" s="171">
        <v>-2099.47563828188</v>
      </c>
    </row>
    <row r="2943" spans="2:2" ht="15.6">
      <c r="B2943" s="171">
        <v>-1686.2766418258934</v>
      </c>
    </row>
    <row r="2944" spans="2:2" ht="15.6">
      <c r="B2944" s="171">
        <v>-1519.3333734062151</v>
      </c>
    </row>
    <row r="2945" spans="2:2" ht="15.6">
      <c r="B2945" s="171">
        <v>-2069.4795597669763</v>
      </c>
    </row>
    <row r="2946" spans="2:2" ht="15.6">
      <c r="B2946" s="171">
        <v>-889.08092646763885</v>
      </c>
    </row>
    <row r="2947" spans="2:2" ht="15.6">
      <c r="B2947" s="171">
        <v>-1908.5137303768624</v>
      </c>
    </row>
    <row r="2948" spans="2:2" ht="15.6">
      <c r="B2948" s="171">
        <v>-2244.7767029516576</v>
      </c>
    </row>
    <row r="2949" spans="2:2" ht="15.6">
      <c r="B2949" s="171">
        <v>-1155.7927251916126</v>
      </c>
    </row>
    <row r="2950" spans="2:2" ht="15.6">
      <c r="B2950" s="171">
        <v>-2307.0481974466961</v>
      </c>
    </row>
    <row r="2951" spans="2:2" ht="15.6">
      <c r="B2951" s="171">
        <v>-1795.5344498413981</v>
      </c>
    </row>
    <row r="2952" spans="2:2" ht="15.6">
      <c r="B2952" s="171">
        <v>-1557.1558274429076</v>
      </c>
    </row>
    <row r="2953" spans="2:2" ht="15.6">
      <c r="B2953" s="171">
        <v>-757.31687659938939</v>
      </c>
    </row>
    <row r="2954" spans="2:2" ht="15.6">
      <c r="B2954" s="171">
        <v>-1619.5961219462024</v>
      </c>
    </row>
    <row r="2955" spans="2:2" ht="15.6">
      <c r="B2955" s="171">
        <v>-1208.9737485096541</v>
      </c>
    </row>
    <row r="2956" spans="2:2" ht="15.6">
      <c r="B2956" s="171">
        <v>-1217.9777912121651</v>
      </c>
    </row>
    <row r="2957" spans="2:2" ht="15.6">
      <c r="B2957" s="171">
        <v>-1213.6918741053812</v>
      </c>
    </row>
    <row r="2958" spans="2:2" ht="15.6">
      <c r="B2958" s="171">
        <v>-1358.91153824396</v>
      </c>
    </row>
    <row r="2959" spans="2:2" ht="15.6">
      <c r="B2959" s="171">
        <v>-1294.5618230394311</v>
      </c>
    </row>
    <row r="2960" spans="2:2" ht="15.6">
      <c r="B2960" s="171">
        <v>-1331.3162170152475</v>
      </c>
    </row>
    <row r="2961" spans="2:2" ht="15.6">
      <c r="B2961" s="171">
        <v>-1261.492289523964</v>
      </c>
    </row>
    <row r="2962" spans="2:2" ht="15.6">
      <c r="B2962" s="171">
        <v>-1234.9539456928389</v>
      </c>
    </row>
    <row r="2963" spans="2:2" ht="15.6">
      <c r="B2963" s="171">
        <v>-2090.2110144677299</v>
      </c>
    </row>
    <row r="2964" spans="2:2" ht="15.6">
      <c r="B2964" s="171">
        <v>-1122.4196649993255</v>
      </c>
    </row>
    <row r="2965" spans="2:2" ht="15.6">
      <c r="B2965" s="171">
        <v>-1316.7397539860133</v>
      </c>
    </row>
    <row r="2966" spans="2:2" ht="15.6">
      <c r="B2966" s="171">
        <v>-2042.9628626181711</v>
      </c>
    </row>
    <row r="2967" spans="2:2" ht="15.6">
      <c r="B2967" s="171">
        <v>-1124.1984818547571</v>
      </c>
    </row>
    <row r="2968" spans="2:2" ht="15.6">
      <c r="B2968" s="171">
        <v>-2195.9297147605939</v>
      </c>
    </row>
    <row r="2969" spans="2:2" ht="15.6">
      <c r="B2969" s="171">
        <v>-1013.2085462278252</v>
      </c>
    </row>
    <row r="2970" spans="2:2" ht="15.6">
      <c r="B2970" s="171">
        <v>-1543.5238474500593</v>
      </c>
    </row>
    <row r="2971" spans="2:2" ht="15.6">
      <c r="B2971" s="171">
        <v>-1659.3566235751573</v>
      </c>
    </row>
    <row r="2972" spans="2:2" ht="15.6">
      <c r="B2972" s="171">
        <v>-1215.891023641886</v>
      </c>
    </row>
    <row r="2973" spans="2:2" ht="15.6">
      <c r="B2973" s="171">
        <v>-1184.3970696317153</v>
      </c>
    </row>
    <row r="2974" spans="2:2" ht="15.6">
      <c r="B2974" s="171">
        <v>-1599.2563248371439</v>
      </c>
    </row>
    <row r="2975" spans="2:2" ht="15.6">
      <c r="B2975" s="171">
        <v>-982.26660918207074</v>
      </c>
    </row>
    <row r="2976" spans="2:2" ht="15.6">
      <c r="B2976" s="171">
        <v>-2049.0443837528405</v>
      </c>
    </row>
    <row r="2977" spans="2:2" ht="15.6">
      <c r="B2977" s="171">
        <v>-1594.0843631002338</v>
      </c>
    </row>
    <row r="2978" spans="2:2" ht="15.6">
      <c r="B2978" s="171">
        <v>-1035.9802193754581</v>
      </c>
    </row>
    <row r="2979" spans="2:2" ht="15.6">
      <c r="B2979" s="171">
        <v>-1651.5705635273121</v>
      </c>
    </row>
    <row r="2980" spans="2:2" ht="15.6">
      <c r="B2980" s="171">
        <v>-1111.6012827052123</v>
      </c>
    </row>
    <row r="2981" spans="2:2" ht="15.6">
      <c r="B2981" s="171">
        <v>-1668.3000187847906</v>
      </c>
    </row>
    <row r="2982" spans="2:2" ht="15.6">
      <c r="B2982" s="171">
        <v>-1410.8098367776356</v>
      </c>
    </row>
    <row r="2983" spans="2:2" ht="15.6">
      <c r="B2983" s="171">
        <v>-2181.9485089969567</v>
      </c>
    </row>
    <row r="2984" spans="2:2" ht="15.6">
      <c r="B2984" s="171">
        <v>-2452.2114055118955</v>
      </c>
    </row>
    <row r="2985" spans="2:2" ht="15.6">
      <c r="B2985" s="171">
        <v>-1110.3024549136467</v>
      </c>
    </row>
    <row r="2986" spans="2:2" ht="15.6">
      <c r="B2986" s="171">
        <v>-1256.3668090622414</v>
      </c>
    </row>
    <row r="2987" spans="2:2" ht="15.6">
      <c r="B2987" s="171">
        <v>-1088.331993480097</v>
      </c>
    </row>
    <row r="2988" spans="2:2" ht="15.6">
      <c r="B2988" s="171">
        <v>-2046.6912989024852</v>
      </c>
    </row>
    <row r="2989" spans="2:2" ht="15.6">
      <c r="B2989" s="171">
        <v>-1738.8755010242642</v>
      </c>
    </row>
    <row r="2990" spans="2:2" ht="15.6">
      <c r="B2990" s="171">
        <v>-1409.2205651184493</v>
      </c>
    </row>
    <row r="2991" spans="2:2" ht="15.6">
      <c r="B2991" s="171">
        <v>-1729.1698593063243</v>
      </c>
    </row>
    <row r="2992" spans="2:2" ht="15.6">
      <c r="B2992" s="171">
        <v>-1362.1286066782022</v>
      </c>
    </row>
    <row r="2993" spans="2:2" ht="15.6">
      <c r="B2993" s="171">
        <v>-1471.6307463733235</v>
      </c>
    </row>
    <row r="2994" spans="2:2" ht="15.6">
      <c r="B2994" s="171">
        <v>-1906.5357493543956</v>
      </c>
    </row>
    <row r="2995" spans="2:2" ht="15.6">
      <c r="B2995" s="171">
        <v>-1890.4379064637737</v>
      </c>
    </row>
    <row r="2996" spans="2:2" ht="15.6">
      <c r="B2996" s="171">
        <v>-1611.1367561954305</v>
      </c>
    </row>
    <row r="2997" spans="2:2" ht="15.6">
      <c r="B2997" s="171">
        <v>-2059.9174971766843</v>
      </c>
    </row>
    <row r="2998" spans="2:2" ht="15.6">
      <c r="B2998" s="171">
        <v>-1023.4425249267327</v>
      </c>
    </row>
    <row r="2999" spans="2:2" ht="15.6">
      <c r="B2999" s="171">
        <v>-1561.4975441555546</v>
      </c>
    </row>
    <row r="3000" spans="2:2" ht="15.6">
      <c r="B3000" s="171">
        <v>-1394.3192292075271</v>
      </c>
    </row>
    <row r="3001" spans="2:2" ht="15.6">
      <c r="B3001" s="171">
        <v>-1988.0674046153649</v>
      </c>
    </row>
    <row r="3002" spans="2:2" ht="15.6">
      <c r="B3002" s="171">
        <v>-1743.6497724034584</v>
      </c>
    </row>
    <row r="3003" spans="2:2" ht="15.6">
      <c r="B3003" s="171">
        <v>-1904.5136278801879</v>
      </c>
    </row>
    <row r="3004" spans="2:2" ht="15.6">
      <c r="B3004" s="171">
        <v>-1591.6628833720329</v>
      </c>
    </row>
    <row r="3005" spans="2:2" ht="15.6">
      <c r="B3005" s="171">
        <v>-1561.9428818163212</v>
      </c>
    </row>
    <row r="3006" spans="2:2" ht="15.6">
      <c r="B3006" s="171">
        <v>-1560.2179271045661</v>
      </c>
    </row>
    <row r="3007" spans="2:2" ht="15.6">
      <c r="B3007" s="171">
        <v>-1538.1377083530274</v>
      </c>
    </row>
    <row r="3008" spans="2:2" ht="15.6">
      <c r="B3008" s="171">
        <v>-1831.1288394457952</v>
      </c>
    </row>
    <row r="3009" spans="2:2" ht="15.6">
      <c r="B3009" s="171">
        <v>-1922.4684174859226</v>
      </c>
    </row>
    <row r="3010" spans="2:2" ht="15.6">
      <c r="B3010" s="171">
        <v>-1640.2797242577064</v>
      </c>
    </row>
    <row r="3011" spans="2:2" ht="15.6">
      <c r="B3011" s="171">
        <v>-1751.26783817972</v>
      </c>
    </row>
    <row r="3012" spans="2:2" ht="15.6">
      <c r="B3012" s="171">
        <v>-1508.8675466529721</v>
      </c>
    </row>
    <row r="3013" spans="2:2" ht="15.6">
      <c r="B3013" s="171">
        <v>-1233.3839290360468</v>
      </c>
    </row>
    <row r="3014" spans="2:2" ht="15.6">
      <c r="B3014" s="171">
        <v>-1584.8053739421853</v>
      </c>
    </row>
    <row r="3015" spans="2:2" ht="15.6">
      <c r="B3015" s="171">
        <v>-1298.2134262271297</v>
      </c>
    </row>
    <row r="3016" spans="2:2" ht="15.6">
      <c r="B3016" s="171">
        <v>-1151.4029133256747</v>
      </c>
    </row>
    <row r="3017" spans="2:2" ht="15.6">
      <c r="B3017" s="171">
        <v>-1460.0020476186683</v>
      </c>
    </row>
    <row r="3018" spans="2:2" ht="15.6">
      <c r="B3018" s="171">
        <v>-2184.733183213003</v>
      </c>
    </row>
    <row r="3019" spans="2:2" ht="15.6">
      <c r="B3019" s="171">
        <v>-993.50894650578675</v>
      </c>
    </row>
    <row r="3020" spans="2:2" ht="15.6">
      <c r="B3020" s="171">
        <v>-1515.0536538714823</v>
      </c>
    </row>
    <row r="3021" spans="2:2" ht="15.6">
      <c r="B3021" s="171">
        <v>-1947.3854907427417</v>
      </c>
    </row>
    <row r="3022" spans="2:2" ht="15.6">
      <c r="B3022" s="171">
        <v>-2025.7484977942074</v>
      </c>
    </row>
    <row r="3023" spans="2:2" ht="15.6">
      <c r="B3023" s="171">
        <v>-1327.2665233527762</v>
      </c>
    </row>
    <row r="3024" spans="2:2" ht="15.6">
      <c r="B3024" s="171">
        <v>-2054.559624665726</v>
      </c>
    </row>
    <row r="3025" spans="2:2" ht="15.6">
      <c r="B3025" s="171">
        <v>-2197.2079303501182</v>
      </c>
    </row>
    <row r="3026" spans="2:2" ht="15.6">
      <c r="B3026" s="171">
        <v>-2062.2893053864896</v>
      </c>
    </row>
    <row r="3027" spans="2:2" ht="15.6">
      <c r="B3027" s="171">
        <v>-1865.4746450516793</v>
      </c>
    </row>
    <row r="3028" spans="2:2" ht="15.6">
      <c r="B3028" s="171">
        <v>-1593.837806898116</v>
      </c>
    </row>
    <row r="3029" spans="2:2" ht="15.6">
      <c r="B3029" s="171">
        <v>-1967.5670082422644</v>
      </c>
    </row>
    <row r="3030" spans="2:2" ht="15.6">
      <c r="B3030" s="171">
        <v>-1993.1879660326158</v>
      </c>
    </row>
    <row r="3031" spans="2:2" ht="15.6">
      <c r="B3031" s="171">
        <v>-1615.0586481298678</v>
      </c>
    </row>
    <row r="3032" spans="2:2" ht="15.6">
      <c r="B3032" s="171">
        <v>-1029.9019068199907</v>
      </c>
    </row>
    <row r="3033" spans="2:2" ht="15.6">
      <c r="B3033" s="171">
        <v>-1201.9867602361292</v>
      </c>
    </row>
    <row r="3034" spans="2:2" ht="15.6">
      <c r="B3034" s="171">
        <v>-1530.3767368729832</v>
      </c>
    </row>
    <row r="3035" spans="2:2" ht="15.6">
      <c r="B3035" s="171">
        <v>-581.43457488009528</v>
      </c>
    </row>
    <row r="3036" spans="2:2" ht="15.6">
      <c r="B3036" s="171">
        <v>-2197.3716201123589</v>
      </c>
    </row>
    <row r="3037" spans="2:2" ht="15.6">
      <c r="B3037" s="171">
        <v>-1178.0087337876098</v>
      </c>
    </row>
    <row r="3038" spans="2:2" ht="15.6">
      <c r="B3038" s="171">
        <v>-2144.8515793246265</v>
      </c>
    </row>
    <row r="3039" spans="2:2" ht="15.6">
      <c r="B3039" s="171">
        <v>-1673.9935675003185</v>
      </c>
    </row>
    <row r="3040" spans="2:2" ht="15.6">
      <c r="B3040" s="171">
        <v>-941.45721910658176</v>
      </c>
    </row>
    <row r="3041" spans="2:2" ht="15.6">
      <c r="B3041" s="171">
        <v>-1269.0617109948771</v>
      </c>
    </row>
    <row r="3042" spans="2:2" ht="15.6">
      <c r="B3042" s="171">
        <v>-1578.3932454456044</v>
      </c>
    </row>
    <row r="3043" spans="2:2" ht="15.6">
      <c r="B3043" s="171">
        <v>-1135.9053988390065</v>
      </c>
    </row>
    <row r="3044" spans="2:2" ht="15.6">
      <c r="B3044" s="171">
        <v>-1619.0854899549354</v>
      </c>
    </row>
    <row r="3045" spans="2:2" ht="15.6">
      <c r="B3045" s="171">
        <v>-1535.9126916544988</v>
      </c>
    </row>
    <row r="3046" spans="2:2" ht="15.6">
      <c r="B3046" s="171">
        <v>-1766.2448165472433</v>
      </c>
    </row>
    <row r="3047" spans="2:2" ht="15.6">
      <c r="B3047" s="171">
        <v>-1700.5396736495359</v>
      </c>
    </row>
    <row r="3048" spans="2:2" ht="15.6">
      <c r="B3048" s="171">
        <v>-1703.5694722793735</v>
      </c>
    </row>
    <row r="3049" spans="2:2" ht="15.6">
      <c r="B3049" s="171">
        <v>-1590.0727072285663</v>
      </c>
    </row>
    <row r="3050" spans="2:2" ht="15.6">
      <c r="B3050" s="171">
        <v>-1527.4642576531714</v>
      </c>
    </row>
    <row r="3051" spans="2:2" ht="15.6">
      <c r="B3051" s="171">
        <v>-2014.0764347181776</v>
      </c>
    </row>
    <row r="3052" spans="2:2" ht="15.6">
      <c r="B3052" s="171">
        <v>-1227.2785595340983</v>
      </c>
    </row>
    <row r="3053" spans="2:2" ht="15.6">
      <c r="B3053" s="171">
        <v>-1613.339102009033</v>
      </c>
    </row>
    <row r="3054" spans="2:2" ht="15.6">
      <c r="B3054" s="171">
        <v>-1591.0988260114405</v>
      </c>
    </row>
    <row r="3055" spans="2:2" ht="15.6">
      <c r="B3055" s="171">
        <v>-1675.5155099047174</v>
      </c>
    </row>
    <row r="3056" spans="2:2" ht="15.6">
      <c r="B3056" s="171">
        <v>-1523.1024216717442</v>
      </c>
    </row>
    <row r="3057" spans="2:2" ht="15.6">
      <c r="B3057" s="171">
        <v>-2214.43382466504</v>
      </c>
    </row>
    <row r="3058" spans="2:2" ht="15.6">
      <c r="B3058" s="171">
        <v>-1844.5180281130972</v>
      </c>
    </row>
    <row r="3059" spans="2:2" ht="15.6">
      <c r="B3059" s="171">
        <v>-972.89560940895058</v>
      </c>
    </row>
    <row r="3060" spans="2:2" ht="15.6">
      <c r="B3060" s="171">
        <v>-2002.5391681578935</v>
      </c>
    </row>
    <row r="3061" spans="2:2" ht="15.6">
      <c r="B3061" s="171">
        <v>-1667.1817711398414</v>
      </c>
    </row>
    <row r="3062" spans="2:2" ht="15.6">
      <c r="B3062" s="171">
        <v>-1133.7040424037095</v>
      </c>
    </row>
    <row r="3063" spans="2:2" ht="15.6">
      <c r="B3063" s="171">
        <v>-1824.7140770670233</v>
      </c>
    </row>
    <row r="3064" spans="2:2" ht="15.6">
      <c r="B3064" s="171">
        <v>-1947.9256399492383</v>
      </c>
    </row>
    <row r="3065" spans="2:2" ht="15.6">
      <c r="B3065" s="171">
        <v>-1800.3198586708095</v>
      </c>
    </row>
    <row r="3066" spans="2:2" ht="15.6">
      <c r="B3066" s="171">
        <v>-1078.7469398483295</v>
      </c>
    </row>
    <row r="3067" spans="2:2" ht="15.6">
      <c r="B3067" s="171">
        <v>-1835.081051148225</v>
      </c>
    </row>
    <row r="3068" spans="2:2" ht="15.6">
      <c r="B3068" s="171">
        <v>-2027.5646349818212</v>
      </c>
    </row>
    <row r="3069" spans="2:2" ht="15.6">
      <c r="B3069" s="171">
        <v>-1440.9299012262825</v>
      </c>
    </row>
    <row r="3070" spans="2:2" ht="15.6">
      <c r="B3070" s="171">
        <v>-1672.4959784121202</v>
      </c>
    </row>
    <row r="3071" spans="2:2" ht="15.6">
      <c r="B3071" s="171">
        <v>-2021.8329911661085</v>
      </c>
    </row>
    <row r="3072" spans="2:2" ht="15.6">
      <c r="B3072" s="171">
        <v>-1698.0719736725573</v>
      </c>
    </row>
    <row r="3073" spans="2:2" ht="15.6">
      <c r="B3073" s="171">
        <v>-1188.3045049463033</v>
      </c>
    </row>
    <row r="3074" spans="2:2" ht="15.6">
      <c r="B3074" s="171">
        <v>-1587.926365499804</v>
      </c>
    </row>
    <row r="3075" spans="2:2" ht="15.6">
      <c r="B3075" s="171">
        <v>-2033.276442491167</v>
      </c>
    </row>
    <row r="3076" spans="2:2" ht="15.6">
      <c r="B3076" s="171">
        <v>-1680.7409258625798</v>
      </c>
    </row>
    <row r="3077" spans="2:2" ht="15.6">
      <c r="B3077" s="171">
        <v>-2403.6776036013762</v>
      </c>
    </row>
    <row r="3078" spans="2:2" ht="15.6">
      <c r="B3078" s="171">
        <v>-1624.8467798868392</v>
      </c>
    </row>
    <row r="3079" spans="2:2" ht="15.6">
      <c r="B3079" s="171">
        <v>-902.34061942065796</v>
      </c>
    </row>
    <row r="3080" spans="2:2" ht="15.6">
      <c r="B3080" s="171">
        <v>-1639.8223525465955</v>
      </c>
    </row>
    <row r="3081" spans="2:2" ht="15.6">
      <c r="B3081" s="171">
        <v>-1489.6175457733325</v>
      </c>
    </row>
    <row r="3082" spans="2:2" ht="15.6">
      <c r="B3082" s="171">
        <v>-1731.3538546204311</v>
      </c>
    </row>
    <row r="3083" spans="2:2" ht="15.6">
      <c r="B3083" s="171">
        <v>-1356.6914832771195</v>
      </c>
    </row>
    <row r="3084" spans="2:2" ht="15.6">
      <c r="B3084" s="171">
        <v>-1786.4551238884119</v>
      </c>
    </row>
    <row r="3085" spans="2:2" ht="15.6">
      <c r="B3085" s="171">
        <v>-2032.0414900906217</v>
      </c>
    </row>
    <row r="3086" spans="2:2" ht="15.6">
      <c r="B3086" s="171">
        <v>-1027.0830042991022</v>
      </c>
    </row>
    <row r="3087" spans="2:2" ht="15.6">
      <c r="B3087" s="171">
        <v>-1190.4329260968566</v>
      </c>
    </row>
    <row r="3088" spans="2:2" ht="15.6">
      <c r="B3088" s="171">
        <v>-1819.2464468352809</v>
      </c>
    </row>
    <row r="3089" spans="2:2" ht="15.6">
      <c r="B3089" s="171">
        <v>-1335.9984671712427</v>
      </c>
    </row>
    <row r="3090" spans="2:2" ht="15.6">
      <c r="B3090" s="171">
        <v>-2109.9805258109755</v>
      </c>
    </row>
    <row r="3091" spans="2:2" ht="15.6">
      <c r="B3091" s="171">
        <v>-2020.0478432307173</v>
      </c>
    </row>
    <row r="3092" spans="2:2" ht="15.6">
      <c r="B3092" s="171">
        <v>-1490.2786839731282</v>
      </c>
    </row>
    <row r="3093" spans="2:2" ht="15.6">
      <c r="B3093" s="171">
        <v>-1596.7048821239619</v>
      </c>
    </row>
    <row r="3094" spans="2:2" ht="15.6">
      <c r="B3094" s="171">
        <v>-2480.7926610879267</v>
      </c>
    </row>
    <row r="3095" spans="2:2" ht="15.6">
      <c r="B3095" s="171">
        <v>-1692.8118448200757</v>
      </c>
    </row>
    <row r="3096" spans="2:2" ht="15.6">
      <c r="B3096" s="171">
        <v>-1717.8385827742486</v>
      </c>
    </row>
    <row r="3097" spans="2:2" ht="15.6">
      <c r="B3097" s="171">
        <v>-1357.838923842146</v>
      </c>
    </row>
    <row r="3098" spans="2:2" ht="15.6">
      <c r="B3098" s="171">
        <v>-1727.2217783103433</v>
      </c>
    </row>
    <row r="3099" spans="2:2" ht="15.6">
      <c r="B3099" s="171">
        <v>-1271.6748034276354</v>
      </c>
    </row>
    <row r="3100" spans="2:2" ht="15.6">
      <c r="B3100" s="171">
        <v>-1567.9266236347435</v>
      </c>
    </row>
    <row r="3101" spans="2:2" ht="15.6">
      <c r="B3101" s="171">
        <v>-1643.7906691345456</v>
      </c>
    </row>
    <row r="3102" spans="2:2" ht="15.6">
      <c r="B3102" s="171">
        <v>-898.91255182137127</v>
      </c>
    </row>
    <row r="3103" spans="2:2" ht="15.6">
      <c r="B3103" s="171">
        <v>-1624.6936024244872</v>
      </c>
    </row>
    <row r="3104" spans="2:2" ht="15.6">
      <c r="B3104" s="171">
        <v>-1031.5153965753559</v>
      </c>
    </row>
    <row r="3105" spans="2:2" ht="15.6">
      <c r="B3105" s="171">
        <v>-1739.6999273137747</v>
      </c>
    </row>
    <row r="3106" spans="2:2" ht="15.6">
      <c r="B3106" s="171">
        <v>-1581.5120828608583</v>
      </c>
    </row>
    <row r="3107" spans="2:2" ht="15.6">
      <c r="B3107" s="171">
        <v>-1252.0922637186584</v>
      </c>
    </row>
    <row r="3108" spans="2:2" ht="15.6">
      <c r="B3108" s="171">
        <v>-2234.4561243060657</v>
      </c>
    </row>
    <row r="3109" spans="2:2" ht="15.6">
      <c r="B3109" s="171">
        <v>-2114.6820833586708</v>
      </c>
    </row>
    <row r="3110" spans="2:2" ht="15.6">
      <c r="B3110" s="171">
        <v>-1135.101728782498</v>
      </c>
    </row>
    <row r="3111" spans="2:2" ht="15.6">
      <c r="B3111" s="171">
        <v>-1015.2049562822616</v>
      </c>
    </row>
    <row r="3112" spans="2:2" ht="15.6">
      <c r="B3112" s="171">
        <v>-1161.2422128427693</v>
      </c>
    </row>
    <row r="3113" spans="2:2" ht="15.6">
      <c r="B3113" s="171">
        <v>-2175.7898702062639</v>
      </c>
    </row>
    <row r="3114" spans="2:2" ht="15.6">
      <c r="B3114" s="171">
        <v>-1360.1147508249333</v>
      </c>
    </row>
    <row r="3115" spans="2:2" ht="15.6">
      <c r="B3115" s="171">
        <v>-2151.0264843653913</v>
      </c>
    </row>
    <row r="3116" spans="2:2" ht="15.6">
      <c r="B3116" s="171">
        <v>-1911.8230932570509</v>
      </c>
    </row>
    <row r="3117" spans="2:2" ht="15.6">
      <c r="B3117" s="171">
        <v>-1467.5173433890611</v>
      </c>
    </row>
    <row r="3118" spans="2:2" ht="15.6">
      <c r="B3118" s="171">
        <v>-1438.6357317794409</v>
      </c>
    </row>
    <row r="3119" spans="2:2" ht="15.6">
      <c r="B3119" s="171">
        <v>-2133.6991166618645</v>
      </c>
    </row>
    <row r="3120" spans="2:2" ht="15.6">
      <c r="B3120" s="171">
        <v>-1084.8179333494331</v>
      </c>
    </row>
    <row r="3121" spans="2:2" ht="15.6">
      <c r="B3121" s="171">
        <v>-1669.0566622363226</v>
      </c>
    </row>
    <row r="3122" spans="2:2" ht="15.6">
      <c r="B3122" s="171">
        <v>-1400.7430465723407</v>
      </c>
    </row>
    <row r="3123" spans="2:2" ht="15.6">
      <c r="B3123" s="171">
        <v>-1496.9099234428691</v>
      </c>
    </row>
    <row r="3124" spans="2:2" ht="15.6">
      <c r="B3124" s="171">
        <v>-1841.1113351950353</v>
      </c>
    </row>
    <row r="3125" spans="2:2" ht="15.6">
      <c r="B3125" s="171">
        <v>-1669.884996275325</v>
      </c>
    </row>
    <row r="3126" spans="2:2" ht="15.6">
      <c r="B3126" s="171">
        <v>-997.76200456303934</v>
      </c>
    </row>
    <row r="3127" spans="2:2" ht="15.6">
      <c r="B3127" s="171">
        <v>-1832.7396343228634</v>
      </c>
    </row>
    <row r="3128" spans="2:2" ht="15.6">
      <c r="B3128" s="171">
        <v>-2241.8317623135777</v>
      </c>
    </row>
    <row r="3129" spans="2:2" ht="15.6">
      <c r="B3129" s="171">
        <v>-861.07895201112854</v>
      </c>
    </row>
    <row r="3130" spans="2:2" ht="15.6">
      <c r="B3130" s="171">
        <v>-1951.9652657872825</v>
      </c>
    </row>
    <row r="3131" spans="2:2" ht="15.6">
      <c r="B3131" s="171">
        <v>-784.10521570607477</v>
      </c>
    </row>
    <row r="3132" spans="2:2" ht="15.6">
      <c r="B3132" s="171">
        <v>-1257.7268639550814</v>
      </c>
    </row>
    <row r="3133" spans="2:2" ht="15.6">
      <c r="B3133" s="171">
        <v>-1080.544470365428</v>
      </c>
    </row>
    <row r="3134" spans="2:2" ht="15.6">
      <c r="B3134" s="171">
        <v>-1598.6785464035606</v>
      </c>
    </row>
    <row r="3135" spans="2:2" ht="15.6">
      <c r="B3135" s="171">
        <v>-1447.3401962706737</v>
      </c>
    </row>
    <row r="3136" spans="2:2" ht="15.6">
      <c r="B3136" s="171">
        <v>-1673.5173909165351</v>
      </c>
    </row>
    <row r="3137" spans="2:2" ht="15.6">
      <c r="B3137" s="171">
        <v>-2227.5266722459464</v>
      </c>
    </row>
    <row r="3138" spans="2:2" ht="15.6">
      <c r="B3138" s="171">
        <v>-1223.4133780323</v>
      </c>
    </row>
    <row r="3139" spans="2:2" ht="15.6">
      <c r="B3139" s="171">
        <v>-1082.2119645146663</v>
      </c>
    </row>
    <row r="3140" spans="2:2" ht="15.6">
      <c r="B3140" s="171">
        <v>-1473.6549190338474</v>
      </c>
    </row>
    <row r="3141" spans="2:2" ht="15.6">
      <c r="B3141" s="171">
        <v>-2373.7732663770726</v>
      </c>
    </row>
    <row r="3142" spans="2:2" ht="15.6">
      <c r="B3142" s="171">
        <v>-1418.9177918803694</v>
      </c>
    </row>
    <row r="3143" spans="2:2" ht="15.6">
      <c r="B3143" s="171">
        <v>-1420.797580271053</v>
      </c>
    </row>
    <row r="3144" spans="2:2" ht="15.6">
      <c r="B3144" s="171">
        <v>-1633.8298804328203</v>
      </c>
    </row>
    <row r="3145" spans="2:2" ht="15.6">
      <c r="B3145" s="171">
        <v>-1995.9604115763975</v>
      </c>
    </row>
    <row r="3146" spans="2:2" ht="15.6">
      <c r="B3146" s="171">
        <v>-1140.7928575195538</v>
      </c>
    </row>
    <row r="3147" spans="2:2" ht="15.6">
      <c r="B3147" s="171">
        <v>-1226.151925601082</v>
      </c>
    </row>
    <row r="3148" spans="2:2" ht="15.6">
      <c r="B3148" s="171">
        <v>-1250.6421134983741</v>
      </c>
    </row>
    <row r="3149" spans="2:2" ht="15.6">
      <c r="B3149" s="171">
        <v>-1591.0311141996901</v>
      </c>
    </row>
    <row r="3150" spans="2:2" ht="15.6">
      <c r="B3150" s="171">
        <v>-1448.9039791470248</v>
      </c>
    </row>
    <row r="3151" spans="2:2" ht="15.6">
      <c r="B3151" s="171">
        <v>-2010.9281620085708</v>
      </c>
    </row>
    <row r="3152" spans="2:2" ht="15.6">
      <c r="B3152" s="171">
        <v>-1589.6670746868397</v>
      </c>
    </row>
    <row r="3153" spans="2:2" ht="15.6">
      <c r="B3153" s="171">
        <v>-1772.0200156560043</v>
      </c>
    </row>
    <row r="3154" spans="2:2" ht="15.6">
      <c r="B3154" s="171">
        <v>-1418.7195908623185</v>
      </c>
    </row>
    <row r="3155" spans="2:2" ht="15.6">
      <c r="B3155" s="171">
        <v>-1630.8104870279858</v>
      </c>
    </row>
    <row r="3156" spans="2:2" ht="15.6">
      <c r="B3156" s="171">
        <v>-1982.9315419613097</v>
      </c>
    </row>
    <row r="3157" spans="2:2" ht="15.6">
      <c r="B3157" s="171">
        <v>-1576.0889805972579</v>
      </c>
    </row>
    <row r="3158" spans="2:2" ht="15.6">
      <c r="B3158" s="171">
        <v>-1209.9666584969937</v>
      </c>
    </row>
    <row r="3159" spans="2:2" ht="15.6">
      <c r="B3159" s="171">
        <v>-1136.9786809485615</v>
      </c>
    </row>
    <row r="3160" spans="2:2" ht="15.6">
      <c r="B3160" s="171">
        <v>-1320.1735845253875</v>
      </c>
    </row>
    <row r="3161" spans="2:2" ht="15.6">
      <c r="B3161" s="171">
        <v>-2219.9745749221788</v>
      </c>
    </row>
    <row r="3162" spans="2:2" ht="15.6">
      <c r="B3162" s="171">
        <v>-1295.0981334194007</v>
      </c>
    </row>
    <row r="3163" spans="2:2" ht="15.6">
      <c r="B3163" s="171">
        <v>-1282.2268898084662</v>
      </c>
    </row>
    <row r="3164" spans="2:2" ht="15.6">
      <c r="B3164" s="171">
        <v>-1361.4967438500537</v>
      </c>
    </row>
    <row r="3165" spans="2:2" ht="15.6">
      <c r="B3165" s="171">
        <v>-1761.4102506416048</v>
      </c>
    </row>
    <row r="3166" spans="2:2" ht="15.6">
      <c r="B3166" s="171">
        <v>-1322.0661943015293</v>
      </c>
    </row>
    <row r="3167" spans="2:2" ht="15.6">
      <c r="B3167" s="171">
        <v>-1545.0100215820989</v>
      </c>
    </row>
    <row r="3168" spans="2:2" ht="15.6">
      <c r="B3168" s="171">
        <v>-2285.4613242479991</v>
      </c>
    </row>
    <row r="3169" spans="2:2" ht="15.6">
      <c r="B3169" s="171">
        <v>-1858.0317084128287</v>
      </c>
    </row>
    <row r="3170" spans="2:2" ht="15.6">
      <c r="B3170" s="171">
        <v>-2148.1135604689016</v>
      </c>
    </row>
    <row r="3171" spans="2:2" ht="15.6">
      <c r="B3171" s="171">
        <v>-1914.1260545586942</v>
      </c>
    </row>
    <row r="3172" spans="2:2" ht="15.6">
      <c r="B3172" s="171">
        <v>-2048.2470000623625</v>
      </c>
    </row>
    <row r="3173" spans="2:2" ht="15.6">
      <c r="B3173" s="171">
        <v>-1431.2001380153495</v>
      </c>
    </row>
    <row r="3174" spans="2:2" ht="15.6">
      <c r="B3174" s="171">
        <v>-1218.0326396716255</v>
      </c>
    </row>
    <row r="3175" spans="2:2" ht="15.6">
      <c r="B3175" s="171">
        <v>-1876.4848975455347</v>
      </c>
    </row>
    <row r="3176" spans="2:2" ht="15.6">
      <c r="B3176" s="171">
        <v>-1380.4452011338967</v>
      </c>
    </row>
    <row r="3177" spans="2:2" ht="15.6">
      <c r="B3177" s="171">
        <v>-2546.5064736999102</v>
      </c>
    </row>
    <row r="3178" spans="2:2" ht="15.6">
      <c r="B3178" s="171">
        <v>-2219.7885867281584</v>
      </c>
    </row>
    <row r="3179" spans="2:2" ht="15.6">
      <c r="B3179" s="171">
        <v>-1325.3904299256897</v>
      </c>
    </row>
    <row r="3180" spans="2:2" ht="15.6">
      <c r="B3180" s="171">
        <v>-765.25488138092487</v>
      </c>
    </row>
    <row r="3181" spans="2:2" ht="15.6">
      <c r="B3181" s="171">
        <v>-1532.5284243001897</v>
      </c>
    </row>
    <row r="3182" spans="2:2" ht="15.6">
      <c r="B3182" s="171">
        <v>-1184.6523841893538</v>
      </c>
    </row>
    <row r="3183" spans="2:2" ht="15.6">
      <c r="B3183" s="171">
        <v>-949.91958483615645</v>
      </c>
    </row>
    <row r="3184" spans="2:2" ht="15.6">
      <c r="B3184" s="171">
        <v>-1673.6090669424329</v>
      </c>
    </row>
    <row r="3185" spans="2:2" ht="15.6">
      <c r="B3185" s="171">
        <v>-1542.0781413482769</v>
      </c>
    </row>
    <row r="3186" spans="2:2" ht="15.6">
      <c r="B3186" s="171">
        <v>-2273.4453461486523</v>
      </c>
    </row>
    <row r="3187" spans="2:2" ht="15.6">
      <c r="B3187" s="171">
        <v>-1554.3597553806339</v>
      </c>
    </row>
    <row r="3188" spans="2:2" ht="15.6">
      <c r="B3188" s="171">
        <v>-1460.5916188391088</v>
      </c>
    </row>
    <row r="3189" spans="2:2" ht="15.6">
      <c r="B3189" s="171">
        <v>-1911.8890792492384</v>
      </c>
    </row>
    <row r="3190" spans="2:2" ht="15.6">
      <c r="B3190" s="171">
        <v>-2363.164659659235</v>
      </c>
    </row>
    <row r="3191" spans="2:2" ht="15.6">
      <c r="B3191" s="171">
        <v>-1455.9291287727833</v>
      </c>
    </row>
    <row r="3192" spans="2:2" ht="15.6">
      <c r="B3192" s="171">
        <v>-1188.3844307313607</v>
      </c>
    </row>
    <row r="3193" spans="2:2" ht="15.6">
      <c r="B3193" s="171">
        <v>-1661.1023119874922</v>
      </c>
    </row>
    <row r="3194" spans="2:2" ht="15.6">
      <c r="B3194" s="171">
        <v>-1149.9067096573012</v>
      </c>
    </row>
    <row r="3195" spans="2:2" ht="15.6">
      <c r="B3195" s="171">
        <v>-1364.9152828861663</v>
      </c>
    </row>
    <row r="3196" spans="2:2" ht="15.6">
      <c r="B3196" s="171">
        <v>-1904.9017086366503</v>
      </c>
    </row>
    <row r="3197" spans="2:2" ht="15.6">
      <c r="B3197" s="171">
        <v>-1552.2678395252497</v>
      </c>
    </row>
    <row r="3198" spans="2:2" ht="15.6">
      <c r="B3198" s="171">
        <v>-909.47238124314572</v>
      </c>
    </row>
    <row r="3199" spans="2:2" ht="15.6">
      <c r="B3199" s="171">
        <v>-846.54976686558837</v>
      </c>
    </row>
    <row r="3200" spans="2:2" ht="15.6">
      <c r="B3200" s="171">
        <v>-1421.0862192292116</v>
      </c>
    </row>
    <row r="3201" spans="2:2" ht="15.6">
      <c r="B3201" s="171">
        <v>-1767.3889285384253</v>
      </c>
    </row>
    <row r="3202" spans="2:2" ht="15.6">
      <c r="B3202" s="171">
        <v>-2088.8243743867679</v>
      </c>
    </row>
    <row r="3203" spans="2:2" ht="15.6">
      <c r="B3203" s="171">
        <v>-1602.6499520289765</v>
      </c>
    </row>
    <row r="3204" spans="2:2" ht="15.6">
      <c r="B3204" s="171">
        <v>-759.82374651291423</v>
      </c>
    </row>
    <row r="3205" spans="2:2" ht="15.6">
      <c r="B3205" s="171">
        <v>-1729.1620674524177</v>
      </c>
    </row>
    <row r="3206" spans="2:2" ht="15.6">
      <c r="B3206" s="171">
        <v>-1268.7710889647954</v>
      </c>
    </row>
    <row r="3207" spans="2:2" ht="15.6">
      <c r="B3207" s="171">
        <v>-2190.5712731785416</v>
      </c>
    </row>
    <row r="3208" spans="2:2" ht="15.6">
      <c r="B3208" s="171">
        <v>-2080.715928027942</v>
      </c>
    </row>
    <row r="3209" spans="2:2" ht="15.6">
      <c r="B3209" s="171">
        <v>-1002.4028651970798</v>
      </c>
    </row>
    <row r="3210" spans="2:2" ht="15.6">
      <c r="B3210" s="171">
        <v>-1278.3895856170327</v>
      </c>
    </row>
    <row r="3211" spans="2:2" ht="15.6">
      <c r="B3211" s="171">
        <v>-1848.3266627705398</v>
      </c>
    </row>
    <row r="3212" spans="2:2" ht="15.6">
      <c r="B3212" s="171">
        <v>-2310.9134688447944</v>
      </c>
    </row>
    <row r="3213" spans="2:2" ht="15.6">
      <c r="B3213" s="171">
        <v>-1386.5418024255159</v>
      </c>
    </row>
    <row r="3214" spans="2:2" ht="15.6">
      <c r="B3214" s="171">
        <v>-1709.4370200326789</v>
      </c>
    </row>
    <row r="3215" spans="2:2" ht="15.6">
      <c r="B3215" s="171">
        <v>-1624.286755394814</v>
      </c>
    </row>
    <row r="3216" spans="2:2" ht="15.6">
      <c r="B3216" s="171">
        <v>-2150.9599296475913</v>
      </c>
    </row>
    <row r="3217" spans="2:2" ht="15.6">
      <c r="B3217" s="171">
        <v>-1703.898810844013</v>
      </c>
    </row>
    <row r="3218" spans="2:2" ht="15.6">
      <c r="B3218" s="171">
        <v>-2221.4037647975047</v>
      </c>
    </row>
    <row r="3219" spans="2:2" ht="15.6">
      <c r="B3219" s="171">
        <v>-1788.9051032847976</v>
      </c>
    </row>
    <row r="3220" spans="2:2" ht="15.6">
      <c r="B3220" s="171">
        <v>-1920.7202877919194</v>
      </c>
    </row>
    <row r="3221" spans="2:2" ht="15.6">
      <c r="B3221" s="171">
        <v>-1850.1103055011854</v>
      </c>
    </row>
    <row r="3222" spans="2:2" ht="15.6">
      <c r="B3222" s="171">
        <v>-1540.2672537904887</v>
      </c>
    </row>
    <row r="3223" spans="2:2" ht="15.6">
      <c r="B3223" s="171">
        <v>-1335.275973456929</v>
      </c>
    </row>
    <row r="3224" spans="2:2" ht="15.6">
      <c r="B3224" s="171">
        <v>-1563.5239537302962</v>
      </c>
    </row>
    <row r="3225" spans="2:2" ht="15.6">
      <c r="B3225" s="171">
        <v>-2497.550988799363</v>
      </c>
    </row>
    <row r="3226" spans="2:2" ht="15.6">
      <c r="B3226" s="171">
        <v>-1285.093516863358</v>
      </c>
    </row>
    <row r="3227" spans="2:2" ht="15.6">
      <c r="B3227" s="171">
        <v>-1462.2974644071676</v>
      </c>
    </row>
    <row r="3228" spans="2:2" ht="15.6">
      <c r="B3228" s="171">
        <v>-1277.7503780527313</v>
      </c>
    </row>
    <row r="3229" spans="2:2" ht="15.6">
      <c r="B3229" s="171">
        <v>-1815.4484924639592</v>
      </c>
    </row>
    <row r="3230" spans="2:2" ht="15.6">
      <c r="B3230" s="171">
        <v>-1337.7425275364499</v>
      </c>
    </row>
    <row r="3231" spans="2:2" ht="15.6">
      <c r="B3231" s="171">
        <v>-1460.2264513570119</v>
      </c>
    </row>
    <row r="3232" spans="2:2" ht="15.6">
      <c r="B3232" s="171">
        <v>-2157.8997260457309</v>
      </c>
    </row>
    <row r="3233" spans="2:2" ht="15.6">
      <c r="B3233" s="171">
        <v>-1445.7462171128325</v>
      </c>
    </row>
    <row r="3234" spans="2:2" ht="15.6">
      <c r="B3234" s="171">
        <v>-1567.332743621479</v>
      </c>
    </row>
    <row r="3235" spans="2:2" ht="15.6">
      <c r="B3235" s="171">
        <v>-2026.5660701999586</v>
      </c>
    </row>
    <row r="3236" spans="2:2" ht="15.6">
      <c r="B3236" s="171">
        <v>-1774.7579154045845</v>
      </c>
    </row>
    <row r="3237" spans="2:2" ht="15.6">
      <c r="B3237" s="171">
        <v>-2119.3265772471523</v>
      </c>
    </row>
    <row r="3238" spans="2:2" ht="15.6">
      <c r="B3238" s="171">
        <v>-1326.2691374251626</v>
      </c>
    </row>
    <row r="3239" spans="2:2" ht="15.6">
      <c r="B3239" s="171">
        <v>-1694.5775561308478</v>
      </c>
    </row>
    <row r="3240" spans="2:2" ht="15.6">
      <c r="B3240" s="171">
        <v>-2128.705300941182</v>
      </c>
    </row>
    <row r="3241" spans="2:2" ht="15.6">
      <c r="B3241" s="171">
        <v>-2191.1908704201251</v>
      </c>
    </row>
    <row r="3242" spans="2:2" ht="15.6">
      <c r="B3242" s="171">
        <v>-1839.0626980202283</v>
      </c>
    </row>
    <row r="3243" spans="2:2" ht="15.6">
      <c r="B3243" s="171">
        <v>-1529.577990667314</v>
      </c>
    </row>
    <row r="3244" spans="2:2" ht="15.6">
      <c r="B3244" s="171">
        <v>-2187.715779302092</v>
      </c>
    </row>
    <row r="3245" spans="2:2" ht="15.6">
      <c r="B3245" s="171">
        <v>-839.2281329490072</v>
      </c>
    </row>
    <row r="3246" spans="2:2" ht="15.6">
      <c r="B3246" s="171">
        <v>-1358.8591645576182</v>
      </c>
    </row>
    <row r="3247" spans="2:2" ht="15.6">
      <c r="B3247" s="171">
        <v>-1285.3104060753976</v>
      </c>
    </row>
    <row r="3248" spans="2:2" ht="15.6">
      <c r="B3248" s="171">
        <v>-1202.6642669660082</v>
      </c>
    </row>
    <row r="3249" spans="2:2" ht="15.6">
      <c r="B3249" s="171">
        <v>-1619.1890722394769</v>
      </c>
    </row>
    <row r="3250" spans="2:2" ht="15.6">
      <c r="B3250" s="171">
        <v>-1507.1998489212781</v>
      </c>
    </row>
    <row r="3251" spans="2:2" ht="15.6">
      <c r="B3251" s="171">
        <v>-1681.1014303095089</v>
      </c>
    </row>
    <row r="3252" spans="2:2" ht="15.6">
      <c r="B3252" s="171">
        <v>-1279.7423811669112</v>
      </c>
    </row>
    <row r="3253" spans="2:2" ht="15.6">
      <c r="B3253" s="171">
        <v>-1065.2418882090194</v>
      </c>
    </row>
    <row r="3254" spans="2:2" ht="15.6">
      <c r="B3254" s="171">
        <v>-1323.9658303739211</v>
      </c>
    </row>
    <row r="3255" spans="2:2" ht="15.6">
      <c r="B3255" s="171">
        <v>-1538.8571480474357</v>
      </c>
    </row>
    <row r="3256" spans="2:2" ht="15.6">
      <c r="B3256" s="171">
        <v>-1663.2159114721658</v>
      </c>
    </row>
    <row r="3257" spans="2:2" ht="15.6">
      <c r="B3257" s="171">
        <v>-1415.4702415500619</v>
      </c>
    </row>
    <row r="3258" spans="2:2" ht="15.6">
      <c r="B3258" s="171">
        <v>-1031.1937140323578</v>
      </c>
    </row>
    <row r="3259" spans="2:2" ht="15.6">
      <c r="B3259" s="171">
        <v>-1012.7550060391263</v>
      </c>
    </row>
    <row r="3260" spans="2:2" ht="15.6">
      <c r="B3260" s="171">
        <v>-1385.899669513585</v>
      </c>
    </row>
    <row r="3261" spans="2:2" ht="15.6">
      <c r="B3261" s="171">
        <v>-1056.9842203639992</v>
      </c>
    </row>
    <row r="3262" spans="2:2" ht="15.6">
      <c r="B3262" s="171">
        <v>-1360.676636335364</v>
      </c>
    </row>
    <row r="3263" spans="2:2" ht="15.6">
      <c r="B3263" s="171">
        <v>-1662.9228257941952</v>
      </c>
    </row>
    <row r="3264" spans="2:2" ht="15.6">
      <c r="B3264" s="171">
        <v>-901.21563687587229</v>
      </c>
    </row>
    <row r="3265" spans="2:2" ht="15.6">
      <c r="B3265" s="171">
        <v>-1386.1078954986901</v>
      </c>
    </row>
    <row r="3266" spans="2:2" ht="15.6">
      <c r="B3266" s="171">
        <v>-1514.7562084351166</v>
      </c>
    </row>
    <row r="3267" spans="2:2" ht="15.6">
      <c r="B3267" s="171">
        <v>-2148.8150892756626</v>
      </c>
    </row>
    <row r="3268" spans="2:2" ht="15.6">
      <c r="B3268" s="171">
        <v>-1353.4617940298806</v>
      </c>
    </row>
    <row r="3269" spans="2:2" ht="15.6">
      <c r="B3269" s="171">
        <v>-2120.0777388875304</v>
      </c>
    </row>
    <row r="3270" spans="2:2" ht="15.6">
      <c r="B3270" s="171">
        <v>-1964.5939962127086</v>
      </c>
    </row>
    <row r="3271" spans="2:2" ht="15.6">
      <c r="B3271" s="171">
        <v>-2006.8405823163771</v>
      </c>
    </row>
    <row r="3272" spans="2:2" ht="15.6">
      <c r="B3272" s="171">
        <v>-1498.7120103687535</v>
      </c>
    </row>
    <row r="3273" spans="2:2" ht="15.6">
      <c r="B3273" s="171">
        <v>-1873.1467777418302</v>
      </c>
    </row>
    <row r="3274" spans="2:2" ht="15.6">
      <c r="B3274" s="171">
        <v>-1574.4427236335721</v>
      </c>
    </row>
    <row r="3275" spans="2:2" ht="15.6">
      <c r="B3275" s="171">
        <v>-1781.3058494545194</v>
      </c>
    </row>
    <row r="3276" spans="2:2" ht="15.6">
      <c r="B3276" s="171">
        <v>-2159.4530897682303</v>
      </c>
    </row>
    <row r="3277" spans="2:2" ht="15.6">
      <c r="B3277" s="171">
        <v>-1054.3700172497079</v>
      </c>
    </row>
    <row r="3278" spans="2:2" ht="15.6">
      <c r="B3278" s="171">
        <v>-2409.7858426384228</v>
      </c>
    </row>
    <row r="3279" spans="2:2" ht="15.6">
      <c r="B3279" s="171">
        <v>-1816.7317723146061</v>
      </c>
    </row>
    <row r="3280" spans="2:2" ht="15.6">
      <c r="B3280" s="171">
        <v>-1764.0456293065097</v>
      </c>
    </row>
    <row r="3281" spans="2:2" ht="15.6">
      <c r="B3281" s="171">
        <v>-1564.8337437497171</v>
      </c>
    </row>
    <row r="3282" spans="2:2" ht="15.6">
      <c r="B3282" s="171">
        <v>-2002.8347475250084</v>
      </c>
    </row>
    <row r="3283" spans="2:2" ht="15.6">
      <c r="B3283" s="171">
        <v>-1260.5223793993478</v>
      </c>
    </row>
    <row r="3284" spans="2:2" ht="15.6">
      <c r="B3284" s="171">
        <v>-1223.4674007020399</v>
      </c>
    </row>
    <row r="3285" spans="2:2" ht="15.6">
      <c r="B3285" s="171">
        <v>-1554.5418480133485</v>
      </c>
    </row>
    <row r="3286" spans="2:2" ht="15.6">
      <c r="B3286" s="171">
        <v>-1509.3729928530536</v>
      </c>
    </row>
    <row r="3287" spans="2:2" ht="15.6">
      <c r="B3287" s="171">
        <v>-2000.6201207645447</v>
      </c>
    </row>
    <row r="3288" spans="2:2" ht="15.6">
      <c r="B3288" s="171">
        <v>-1510.5013999595355</v>
      </c>
    </row>
    <row r="3289" spans="2:2" ht="15.6">
      <c r="B3289" s="171">
        <v>-1790.9106822459157</v>
      </c>
    </row>
    <row r="3290" spans="2:2" ht="15.6">
      <c r="B3290" s="171">
        <v>-1026.0338883572865</v>
      </c>
    </row>
    <row r="3291" spans="2:2" ht="15.6">
      <c r="B3291" s="171">
        <v>-1818.1487727054391</v>
      </c>
    </row>
    <row r="3292" spans="2:2" ht="15.6">
      <c r="B3292" s="171">
        <v>-812.79334171889423</v>
      </c>
    </row>
    <row r="3293" spans="2:2" ht="15.6">
      <c r="B3293" s="171">
        <v>-1134.3821181241995</v>
      </c>
    </row>
    <row r="3294" spans="2:2" ht="15.6">
      <c r="B3294" s="171">
        <v>-1488.2709933825956</v>
      </c>
    </row>
    <row r="3295" spans="2:2" ht="15.6">
      <c r="B3295" s="171">
        <v>-1944.0864499798788</v>
      </c>
    </row>
    <row r="3296" spans="2:2" ht="15.6">
      <c r="B3296" s="171">
        <v>-2139.8877889093296</v>
      </c>
    </row>
    <row r="3297" spans="2:2" ht="15.6">
      <c r="B3297" s="171">
        <v>-2865.6490894308845</v>
      </c>
    </row>
    <row r="3298" spans="2:2" ht="15.6">
      <c r="B3298" s="171">
        <v>-1923.3680433969091</v>
      </c>
    </row>
    <row r="3299" spans="2:2" ht="15.6">
      <c r="B3299" s="171">
        <v>-1322.0450035901654</v>
      </c>
    </row>
    <row r="3300" spans="2:2" ht="15.6">
      <c r="B3300" s="171">
        <v>-2296.5378834887242</v>
      </c>
    </row>
    <row r="3301" spans="2:2" ht="15.6">
      <c r="B3301" s="171">
        <v>-1691.0182095064631</v>
      </c>
    </row>
    <row r="3302" spans="2:2" ht="15.6">
      <c r="B3302" s="171">
        <v>-1372.8118182671606</v>
      </c>
    </row>
    <row r="3303" spans="2:2" ht="15.6">
      <c r="B3303" s="171">
        <v>-2126.3322467554262</v>
      </c>
    </row>
    <row r="3304" spans="2:2" ht="15.6">
      <c r="B3304" s="171">
        <v>-1442.1764369720559</v>
      </c>
    </row>
    <row r="3305" spans="2:2" ht="15.6">
      <c r="B3305" s="171">
        <v>-2418.7626556710507</v>
      </c>
    </row>
    <row r="3306" spans="2:2" ht="15.6">
      <c r="B3306" s="171">
        <v>-2032.2718972022944</v>
      </c>
    </row>
    <row r="3307" spans="2:2" ht="15.6">
      <c r="B3307" s="171">
        <v>-1203.0958392654975</v>
      </c>
    </row>
    <row r="3308" spans="2:2" ht="15.6">
      <c r="B3308" s="171">
        <v>-2115.5895391553722</v>
      </c>
    </row>
    <row r="3309" spans="2:2" ht="15.6">
      <c r="B3309" s="171">
        <v>-1511.5338772517609</v>
      </c>
    </row>
    <row r="3310" spans="2:2" ht="15.6">
      <c r="B3310" s="171">
        <v>-1015.023901541249</v>
      </c>
    </row>
    <row r="3311" spans="2:2" ht="15.6">
      <c r="B3311" s="171">
        <v>-1803.3495260353325</v>
      </c>
    </row>
    <row r="3312" spans="2:2" ht="15.6">
      <c r="B3312" s="171">
        <v>-846.63031461013145</v>
      </c>
    </row>
    <row r="3313" spans="2:2" ht="15.6">
      <c r="B3313" s="171">
        <v>-1834.9500863771823</v>
      </c>
    </row>
    <row r="3314" spans="2:2" ht="15.6">
      <c r="B3314" s="171">
        <v>-1616.2785266517267</v>
      </c>
    </row>
    <row r="3315" spans="2:2" ht="15.6">
      <c r="B3315" s="171">
        <v>-1154.9100223666301</v>
      </c>
    </row>
    <row r="3316" spans="2:2" ht="15.6">
      <c r="B3316" s="171">
        <v>-1550.0570364629325</v>
      </c>
    </row>
    <row r="3317" spans="2:2" ht="15.6">
      <c r="B3317" s="171">
        <v>-1266.3678319804592</v>
      </c>
    </row>
    <row r="3318" spans="2:2" ht="15.6">
      <c r="B3318" s="171">
        <v>-1861.9881878650685</v>
      </c>
    </row>
    <row r="3319" spans="2:2" ht="15.6">
      <c r="B3319" s="171">
        <v>-1325.7437256608982</v>
      </c>
    </row>
    <row r="3320" spans="2:2" ht="15.6">
      <c r="B3320" s="171">
        <v>-1656.8181015739056</v>
      </c>
    </row>
    <row r="3321" spans="2:2" ht="15.6">
      <c r="B3321" s="171">
        <v>-1925.7911659615781</v>
      </c>
    </row>
    <row r="3322" spans="2:2" ht="15.6">
      <c r="B3322" s="171">
        <v>-2937.0575289359067</v>
      </c>
    </row>
    <row r="3323" spans="2:2" ht="15.6">
      <c r="B3323" s="171">
        <v>-1089.2626058212782</v>
      </c>
    </row>
    <row r="3324" spans="2:2" ht="15.6">
      <c r="B3324" s="171">
        <v>-1528.7723325834229</v>
      </c>
    </row>
    <row r="3325" spans="2:2" ht="15.6">
      <c r="B3325" s="171">
        <v>-1860.7314261290678</v>
      </c>
    </row>
    <row r="3326" spans="2:2" ht="15.6">
      <c r="B3326" s="171">
        <v>-1712.8790148008136</v>
      </c>
    </row>
    <row r="3327" spans="2:2" ht="15.6">
      <c r="B3327" s="171">
        <v>-1510.385583348525</v>
      </c>
    </row>
    <row r="3328" spans="2:2" ht="15.6">
      <c r="B3328" s="171">
        <v>-1927.8505734343685</v>
      </c>
    </row>
    <row r="3329" spans="2:2" ht="15.6">
      <c r="B3329" s="171">
        <v>-1261.808627060911</v>
      </c>
    </row>
    <row r="3330" spans="2:2" ht="15.6">
      <c r="B3330" s="171">
        <v>-1976.022673673941</v>
      </c>
    </row>
    <row r="3331" spans="2:2" ht="15.6">
      <c r="B3331" s="171">
        <v>-1763.6031676281937</v>
      </c>
    </row>
    <row r="3332" spans="2:2" ht="15.6">
      <c r="B3332" s="171">
        <v>-2114.6880522302436</v>
      </c>
    </row>
    <row r="3333" spans="2:2" ht="15.6">
      <c r="B3333" s="171">
        <v>-1470.3478375455406</v>
      </c>
    </row>
    <row r="3334" spans="2:2" ht="15.6">
      <c r="B3334" s="171">
        <v>-744.71821513467444</v>
      </c>
    </row>
    <row r="3335" spans="2:2" ht="15.6">
      <c r="B3335" s="171">
        <v>-1236.4616225150762</v>
      </c>
    </row>
    <row r="3336" spans="2:2" ht="15.6">
      <c r="B3336" s="171">
        <v>-1990.8745391828984</v>
      </c>
    </row>
    <row r="3337" spans="2:2" ht="15.6">
      <c r="B3337" s="171">
        <v>-1587.0776990291229</v>
      </c>
    </row>
    <row r="3338" spans="2:2" ht="15.6">
      <c r="B3338" s="171">
        <v>-2111.5461255431246</v>
      </c>
    </row>
    <row r="3339" spans="2:2" ht="15.6">
      <c r="B3339" s="171">
        <v>-1721.8685889083135</v>
      </c>
    </row>
    <row r="3340" spans="2:2" ht="15.6">
      <c r="B3340" s="171">
        <v>-1398.7102128848733</v>
      </c>
    </row>
    <row r="3341" spans="2:2" ht="15.6">
      <c r="B3341" s="171">
        <v>-1709.201556754756</v>
      </c>
    </row>
    <row r="3342" spans="2:2" ht="15.6">
      <c r="B3342" s="171">
        <v>-1601.368304402587</v>
      </c>
    </row>
    <row r="3343" spans="2:2" ht="15.6">
      <c r="B3343" s="171">
        <v>-2064.9172439703943</v>
      </c>
    </row>
    <row r="3344" spans="2:2" ht="15.6">
      <c r="B3344" s="171">
        <v>-1828.982094708168</v>
      </c>
    </row>
    <row r="3345" spans="2:2" ht="15.6">
      <c r="B3345" s="171">
        <v>-1226.0010504378677</v>
      </c>
    </row>
    <row r="3346" spans="2:2" ht="15.6">
      <c r="B3346" s="171">
        <v>-1611.6901001470565</v>
      </c>
    </row>
    <row r="3347" spans="2:2" ht="15.6">
      <c r="B3347" s="171">
        <v>-1251.3766544586936</v>
      </c>
    </row>
    <row r="3348" spans="2:2" ht="15.6">
      <c r="B3348" s="171">
        <v>-2429.2966837188897</v>
      </c>
    </row>
    <row r="3349" spans="2:2" ht="15.6">
      <c r="B3349" s="171">
        <v>-1312.3867910740018</v>
      </c>
    </row>
    <row r="3350" spans="2:2" ht="15.6">
      <c r="B3350" s="171">
        <v>-1506.8014769245251</v>
      </c>
    </row>
    <row r="3351" spans="2:2" ht="15.6">
      <c r="B3351" s="171">
        <v>-1573.8905062108017</v>
      </c>
    </row>
    <row r="3352" spans="2:2" ht="15.6">
      <c r="B3352" s="171">
        <v>-1301.1125281808813</v>
      </c>
    </row>
    <row r="3353" spans="2:2" ht="15.6">
      <c r="B3353" s="171">
        <v>-2087.1311592876391</v>
      </c>
    </row>
    <row r="3354" spans="2:2" ht="15.6">
      <c r="B3354" s="171">
        <v>-1636.255047938459</v>
      </c>
    </row>
    <row r="3355" spans="2:2" ht="15.6">
      <c r="B3355" s="171">
        <v>-1285.1065815547424</v>
      </c>
    </row>
    <row r="3356" spans="2:2" ht="15.6">
      <c r="B3356" s="171">
        <v>-1459.0891642940676</v>
      </c>
    </row>
    <row r="3357" spans="2:2" ht="15.6">
      <c r="B3357" s="171">
        <v>-2702.8136900914205</v>
      </c>
    </row>
    <row r="3358" spans="2:2" ht="15.6">
      <c r="B3358" s="171">
        <v>-1296.82043207381</v>
      </c>
    </row>
    <row r="3359" spans="2:2" ht="15.6">
      <c r="B3359" s="171">
        <v>-1267.6149794849835</v>
      </c>
    </row>
    <row r="3360" spans="2:2" ht="15.6">
      <c r="B3360" s="171">
        <v>-1566.526726062853</v>
      </c>
    </row>
    <row r="3361" spans="2:2" ht="15.6">
      <c r="B3361" s="171">
        <v>-1216.0101185023009</v>
      </c>
    </row>
    <row r="3362" spans="2:2" ht="15.6">
      <c r="B3362" s="171">
        <v>-1897.5828122521484</v>
      </c>
    </row>
    <row r="3363" spans="2:2" ht="15.6">
      <c r="B3363" s="171">
        <v>-1851.4200486069196</v>
      </c>
    </row>
    <row r="3364" spans="2:2" ht="15.6">
      <c r="B3364" s="171">
        <v>-1985.368621218556</v>
      </c>
    </row>
    <row r="3365" spans="2:2" ht="15.6">
      <c r="B3365" s="171">
        <v>-1455.325586173607</v>
      </c>
    </row>
    <row r="3366" spans="2:2" ht="15.6">
      <c r="B3366" s="171">
        <v>-1382.717064983701</v>
      </c>
    </row>
    <row r="3367" spans="2:2" ht="15.6">
      <c r="B3367" s="171">
        <v>-1476.1192476937842</v>
      </c>
    </row>
    <row r="3368" spans="2:2" ht="15.6">
      <c r="B3368" s="171">
        <v>-1087.1123656586628</v>
      </c>
    </row>
    <row r="3369" spans="2:2" ht="15.6">
      <c r="B3369" s="171">
        <v>-892.71948904366263</v>
      </c>
    </row>
    <row r="3370" spans="2:2" ht="15.6">
      <c r="B3370" s="171">
        <v>-1163.4771828731011</v>
      </c>
    </row>
    <row r="3371" spans="2:2" ht="15.6">
      <c r="B3371" s="171">
        <v>-2690.9028214280306</v>
      </c>
    </row>
    <row r="3372" spans="2:2" ht="15.6">
      <c r="B3372" s="171">
        <v>-1325.2808953895938</v>
      </c>
    </row>
    <row r="3373" spans="2:2" ht="15.6">
      <c r="B3373" s="171">
        <v>-1450.7801685764061</v>
      </c>
    </row>
    <row r="3374" spans="2:2" ht="15.6">
      <c r="B3374" s="171">
        <v>-1287.2513347453328</v>
      </c>
    </row>
    <row r="3375" spans="2:2" ht="15.6">
      <c r="B3375" s="171">
        <v>-2313.5810496799536</v>
      </c>
    </row>
    <row r="3376" spans="2:2" ht="15.6">
      <c r="B3376" s="171">
        <v>-1168.6942355868337</v>
      </c>
    </row>
    <row r="3377" spans="2:2" ht="15.6">
      <c r="B3377" s="171">
        <v>-1449.8098055350124</v>
      </c>
    </row>
    <row r="3378" spans="2:2" ht="15.6">
      <c r="B3378" s="171">
        <v>-2415.742242759035</v>
      </c>
    </row>
    <row r="3379" spans="2:2" ht="15.6">
      <c r="B3379" s="171">
        <v>-1130.7753859053537</v>
      </c>
    </row>
    <row r="3380" spans="2:2" ht="15.6">
      <c r="B3380" s="171">
        <v>-2102.7194486188519</v>
      </c>
    </row>
    <row r="3381" spans="2:2" ht="15.6">
      <c r="B3381" s="171">
        <v>-1397.7518613464551</v>
      </c>
    </row>
    <row r="3382" spans="2:2" ht="15.6">
      <c r="B3382" s="171">
        <v>-1616.2916654300077</v>
      </c>
    </row>
    <row r="3383" spans="2:2" ht="15.6">
      <c r="B3383" s="171">
        <v>-1525.5008277874199</v>
      </c>
    </row>
    <row r="3384" spans="2:2" ht="15.6">
      <c r="B3384" s="171">
        <v>-1416.6039209117002</v>
      </c>
    </row>
    <row r="3385" spans="2:2" ht="15.6">
      <c r="B3385" s="171">
        <v>-1766.0326634817875</v>
      </c>
    </row>
    <row r="3386" spans="2:2" ht="15.6">
      <c r="B3386" s="171">
        <v>-1132.5416406034306</v>
      </c>
    </row>
    <row r="3387" spans="2:2" ht="15.6">
      <c r="B3387" s="171">
        <v>-1410.0195640924162</v>
      </c>
    </row>
    <row r="3388" spans="2:2" ht="15.6">
      <c r="B3388" s="171">
        <v>-1813.156152338599</v>
      </c>
    </row>
    <row r="3389" spans="2:2" ht="15.6">
      <c r="B3389" s="171">
        <v>-2046.8172370398829</v>
      </c>
    </row>
    <row r="3390" spans="2:2" ht="15.6">
      <c r="B3390" s="171">
        <v>-1825.56064557524</v>
      </c>
    </row>
    <row r="3391" spans="2:2" ht="15.6">
      <c r="B3391" s="171">
        <v>-2045.0509899973799</v>
      </c>
    </row>
    <row r="3392" spans="2:2" ht="15.6">
      <c r="B3392" s="171">
        <v>-1688.9862271193583</v>
      </c>
    </row>
    <row r="3393" spans="2:2" ht="15.6">
      <c r="B3393" s="171">
        <v>-1287.6063543580042</v>
      </c>
    </row>
    <row r="3394" spans="2:2" ht="15.6">
      <c r="B3394" s="171">
        <v>-853.40863336893244</v>
      </c>
    </row>
    <row r="3395" spans="2:2" ht="15.6">
      <c r="B3395" s="171">
        <v>-1685.915122776797</v>
      </c>
    </row>
    <row r="3396" spans="2:2" ht="15.6">
      <c r="B3396" s="171">
        <v>-1829.6025262343765</v>
      </c>
    </row>
    <row r="3397" spans="2:2" ht="15.6">
      <c r="B3397" s="171">
        <v>-967.44106685837107</v>
      </c>
    </row>
    <row r="3398" spans="2:2" ht="15.6">
      <c r="B3398" s="171">
        <v>-2074.8792898091697</v>
      </c>
    </row>
    <row r="3399" spans="2:2" ht="15.6">
      <c r="B3399" s="171">
        <v>-1901.4321294175397</v>
      </c>
    </row>
    <row r="3400" spans="2:2" ht="15.6">
      <c r="B3400" s="171">
        <v>-1667.7457048601168</v>
      </c>
    </row>
    <row r="3401" spans="2:2" ht="15.6">
      <c r="B3401" s="171">
        <v>-1823.0098603384924</v>
      </c>
    </row>
    <row r="3402" spans="2:2" ht="15.6">
      <c r="B3402" s="171">
        <v>-1288.0826843946957</v>
      </c>
    </row>
    <row r="3403" spans="2:2" ht="15.6">
      <c r="B3403" s="171">
        <v>-1482.111014943114</v>
      </c>
    </row>
    <row r="3404" spans="2:2" ht="15.6">
      <c r="B3404" s="171">
        <v>-1770.5340090172588</v>
      </c>
    </row>
    <row r="3405" spans="2:2" ht="15.6">
      <c r="B3405" s="171">
        <v>-1595.6429315352732</v>
      </c>
    </row>
    <row r="3406" spans="2:2" ht="15.6">
      <c r="B3406" s="171">
        <v>-1502.6541659399381</v>
      </c>
    </row>
    <row r="3407" spans="2:2" ht="15.6">
      <c r="B3407" s="171">
        <v>-1671.0743565107769</v>
      </c>
    </row>
    <row r="3408" spans="2:2" ht="15.6">
      <c r="B3408" s="171">
        <v>-1581.907031479335</v>
      </c>
    </row>
    <row r="3409" spans="2:2" ht="15.6">
      <c r="B3409" s="171">
        <v>-1116.3677614366416</v>
      </c>
    </row>
    <row r="3410" spans="2:2" ht="15.6">
      <c r="B3410" s="171">
        <v>-1673.7200336336232</v>
      </c>
    </row>
    <row r="3411" spans="2:2" ht="15.6">
      <c r="B3411" s="171">
        <v>-1004.4274873482304</v>
      </c>
    </row>
    <row r="3412" spans="2:2" ht="15.6">
      <c r="B3412" s="171">
        <v>-990.63830149181638</v>
      </c>
    </row>
    <row r="3413" spans="2:2" ht="15.6">
      <c r="B3413" s="171">
        <v>-1093.0381844352817</v>
      </c>
    </row>
    <row r="3414" spans="2:2" ht="15.6">
      <c r="B3414" s="171">
        <v>-1380.7618435676029</v>
      </c>
    </row>
    <row r="3415" spans="2:2" ht="15.6">
      <c r="B3415" s="171">
        <v>-1359.2061667923076</v>
      </c>
    </row>
    <row r="3416" spans="2:2" ht="15.6">
      <c r="B3416" s="171">
        <v>-1416.6048127215017</v>
      </c>
    </row>
    <row r="3417" spans="2:2" ht="15.6">
      <c r="B3417" s="171">
        <v>-1651.9501366460267</v>
      </c>
    </row>
    <row r="3418" spans="2:2" ht="15.6">
      <c r="B3418" s="171">
        <v>-1406.688114258488</v>
      </c>
    </row>
    <row r="3419" spans="2:2" ht="15.6">
      <c r="B3419" s="171">
        <v>-1374.0045855908293</v>
      </c>
    </row>
    <row r="3420" spans="2:2" ht="15.6">
      <c r="B3420" s="171">
        <v>-1375.7251539344547</v>
      </c>
    </row>
    <row r="3421" spans="2:2" ht="15.6">
      <c r="B3421" s="171">
        <v>-994.46859952217596</v>
      </c>
    </row>
    <row r="3422" spans="2:2" ht="15.6">
      <c r="B3422" s="171">
        <v>-1197.5942751384973</v>
      </c>
    </row>
    <row r="3423" spans="2:2" ht="15.6">
      <c r="B3423" s="171">
        <v>-850.31687863697221</v>
      </c>
    </row>
    <row r="3424" spans="2:2" ht="15.6">
      <c r="B3424" s="171">
        <v>-1917.4312078033358</v>
      </c>
    </row>
    <row r="3425" spans="2:2" ht="15.6">
      <c r="B3425" s="171">
        <v>-2353.7911187756981</v>
      </c>
    </row>
    <row r="3426" spans="2:2" ht="15.6">
      <c r="B3426" s="171">
        <v>-1602.8348793386749</v>
      </c>
    </row>
    <row r="3427" spans="2:2" ht="15.6">
      <c r="B3427" s="171">
        <v>-2206.3194480377633</v>
      </c>
    </row>
    <row r="3428" spans="2:2" ht="15.6">
      <c r="B3428" s="171">
        <v>-1530.5766800001818</v>
      </c>
    </row>
    <row r="3429" spans="2:2" ht="15.6">
      <c r="B3429" s="171">
        <v>-3580.7003869705322</v>
      </c>
    </row>
    <row r="3430" spans="2:2" ht="15.6">
      <c r="B3430" s="171">
        <v>-1561.1134070545272</v>
      </c>
    </row>
    <row r="3431" spans="2:2" ht="15.6">
      <c r="B3431" s="171">
        <v>-764.16202199314307</v>
      </c>
    </row>
    <row r="3432" spans="2:2" ht="15.6">
      <c r="B3432" s="171">
        <v>-1592.9315374179869</v>
      </c>
    </row>
    <row r="3433" spans="2:2" ht="15.6">
      <c r="B3433" s="171">
        <v>-1154.2684927707817</v>
      </c>
    </row>
    <row r="3434" spans="2:2" ht="15.6">
      <c r="B3434" s="171">
        <v>-1941.9620652329063</v>
      </c>
    </row>
    <row r="3435" spans="2:2" ht="15.6">
      <c r="B3435" s="171">
        <v>-2385.1311462903118</v>
      </c>
    </row>
    <row r="3436" spans="2:2" ht="15.6">
      <c r="B3436" s="171">
        <v>-513.51221708990875</v>
      </c>
    </row>
    <row r="3437" spans="2:2" ht="15.6">
      <c r="B3437" s="171">
        <v>-1523.5385746281308</v>
      </c>
    </row>
    <row r="3438" spans="2:2" ht="15.6">
      <c r="B3438" s="171">
        <v>-1357.0794818453664</v>
      </c>
    </row>
    <row r="3439" spans="2:2" ht="15.6">
      <c r="B3439" s="171">
        <v>-1239.0775129547201</v>
      </c>
    </row>
    <row r="3440" spans="2:2" ht="15.6">
      <c r="B3440" s="171">
        <v>-1422.9207455114033</v>
      </c>
    </row>
    <row r="3441" spans="2:2" ht="15.6">
      <c r="B3441" s="171">
        <v>-1426.8298063537268</v>
      </c>
    </row>
    <row r="3442" spans="2:2" ht="15.6">
      <c r="B3442" s="171">
        <v>-1285.0174408600928</v>
      </c>
    </row>
    <row r="3443" spans="2:2" ht="15.6">
      <c r="B3443" s="171">
        <v>-1966.6708663277022</v>
      </c>
    </row>
    <row r="3444" spans="2:2" ht="15.6">
      <c r="B3444" s="171">
        <v>-1933.2637624704325</v>
      </c>
    </row>
    <row r="3445" spans="2:2" ht="15.6">
      <c r="B3445" s="171">
        <v>-1648.2041498116978</v>
      </c>
    </row>
    <row r="3446" spans="2:2" ht="15.6">
      <c r="B3446" s="171">
        <v>-1641.3619019502055</v>
      </c>
    </row>
    <row r="3447" spans="2:2" ht="15.6">
      <c r="B3447" s="171">
        <v>-1052.2977396789984</v>
      </c>
    </row>
    <row r="3448" spans="2:2" ht="15.6">
      <c r="B3448" s="171">
        <v>-1243.3128248724367</v>
      </c>
    </row>
    <row r="3449" spans="2:2" ht="15.6">
      <c r="B3449" s="171">
        <v>-1470.8654628760175</v>
      </c>
    </row>
    <row r="3450" spans="2:2" ht="15.6">
      <c r="B3450" s="171">
        <v>-1367.1822900320451</v>
      </c>
    </row>
    <row r="3451" spans="2:2" ht="15.6">
      <c r="B3451" s="171">
        <v>-1639.4496815304501</v>
      </c>
    </row>
    <row r="3452" spans="2:2" ht="15.6">
      <c r="B3452" s="171">
        <v>-667.76415467529057</v>
      </c>
    </row>
    <row r="3453" spans="2:2" ht="15.6">
      <c r="B3453" s="171">
        <v>-1892.9504109477889</v>
      </c>
    </row>
    <row r="3454" spans="2:2" ht="15.6">
      <c r="B3454" s="171">
        <v>-1663.9835592086461</v>
      </c>
    </row>
    <row r="3455" spans="2:2" ht="15.6">
      <c r="B3455" s="171">
        <v>-1855.4512935115613</v>
      </c>
    </row>
    <row r="3456" spans="2:2" ht="15.6">
      <c r="B3456" s="171">
        <v>-2317.298614971648</v>
      </c>
    </row>
    <row r="3457" spans="2:2" ht="15.6">
      <c r="B3457" s="171">
        <v>-1990.2674613773013</v>
      </c>
    </row>
    <row r="3458" spans="2:2" ht="15.6">
      <c r="B3458" s="171">
        <v>-1472.9113782290842</v>
      </c>
    </row>
    <row r="3459" spans="2:2" ht="15.6">
      <c r="B3459" s="171">
        <v>-1996.754692023896</v>
      </c>
    </row>
    <row r="3460" spans="2:2" ht="15.6">
      <c r="B3460" s="171">
        <v>-1644.4733002234343</v>
      </c>
    </row>
    <row r="3461" spans="2:2" ht="15.6">
      <c r="B3461" s="171">
        <v>-1634.3857962064906</v>
      </c>
    </row>
    <row r="3462" spans="2:2" ht="15.6">
      <c r="B3462" s="171">
        <v>-1706.8923736218085</v>
      </c>
    </row>
    <row r="3463" spans="2:2" ht="15.6">
      <c r="B3463" s="171">
        <v>-1512.2181396199362</v>
      </c>
    </row>
    <row r="3464" spans="2:2" ht="15.6">
      <c r="B3464" s="171">
        <v>-1419.2093704398269</v>
      </c>
    </row>
    <row r="3465" spans="2:2" ht="15.6">
      <c r="B3465" s="171">
        <v>-1480.0355173084231</v>
      </c>
    </row>
    <row r="3466" spans="2:2" ht="15.6">
      <c r="B3466" s="171">
        <v>-1324.6766426347867</v>
      </c>
    </row>
    <row r="3467" spans="2:2" ht="15.6">
      <c r="B3467" s="171">
        <v>-1482.2565472468948</v>
      </c>
    </row>
    <row r="3468" spans="2:2" ht="15.6">
      <c r="B3468" s="171">
        <v>-1820.2589152578271</v>
      </c>
    </row>
    <row r="3469" spans="2:2" ht="15.6">
      <c r="B3469" s="171">
        <v>-1470.4694423896885</v>
      </c>
    </row>
    <row r="3470" spans="2:2" ht="15.6">
      <c r="B3470" s="171">
        <v>-1496.1974141018743</v>
      </c>
    </row>
    <row r="3471" spans="2:2" ht="15.6">
      <c r="B3471" s="171">
        <v>-2185.5606232755199</v>
      </c>
    </row>
    <row r="3472" spans="2:2" ht="15.6">
      <c r="B3472" s="171">
        <v>-2076.6544757584138</v>
      </c>
    </row>
    <row r="3473" spans="2:2" ht="15.6">
      <c r="B3473" s="171">
        <v>-865.590107609249</v>
      </c>
    </row>
    <row r="3474" spans="2:2" ht="15.6">
      <c r="B3474" s="171">
        <v>-1759.8413727386787</v>
      </c>
    </row>
    <row r="3475" spans="2:2" ht="15.6">
      <c r="B3475" s="171">
        <v>-1670.1895176671164</v>
      </c>
    </row>
    <row r="3476" spans="2:2" ht="15.6">
      <c r="B3476" s="171">
        <v>-1820.7145884359584</v>
      </c>
    </row>
    <row r="3477" spans="2:2" ht="15.6">
      <c r="B3477" s="171">
        <v>-1039.6341834110149</v>
      </c>
    </row>
    <row r="3478" spans="2:2" ht="15.6">
      <c r="B3478" s="171">
        <v>-1434.9075566364891</v>
      </c>
    </row>
    <row r="3479" spans="2:2" ht="15.6">
      <c r="B3479" s="171">
        <v>-1818.446257909241</v>
      </c>
    </row>
    <row r="3480" spans="2:2" ht="15.6">
      <c r="B3480" s="171">
        <v>-1401.4604389193373</v>
      </c>
    </row>
    <row r="3481" spans="2:2" ht="15.6">
      <c r="B3481" s="171">
        <v>-1525.9764371497185</v>
      </c>
    </row>
    <row r="3482" spans="2:2" ht="15.6">
      <c r="B3482" s="171">
        <v>-947.57979779843492</v>
      </c>
    </row>
    <row r="3483" spans="2:2" ht="15.6">
      <c r="B3483" s="171">
        <v>-1911.2909887920428</v>
      </c>
    </row>
    <row r="3484" spans="2:2" ht="15.6">
      <c r="B3484" s="171">
        <v>-1485.8339811356882</v>
      </c>
    </row>
    <row r="3485" spans="2:2" ht="15.6">
      <c r="B3485" s="171">
        <v>-1230.996165919177</v>
      </c>
    </row>
    <row r="3486" spans="2:2" ht="15.6">
      <c r="B3486" s="171">
        <v>-2361.2840679738611</v>
      </c>
    </row>
    <row r="3487" spans="2:2" ht="15.6">
      <c r="B3487" s="171">
        <v>-1540.1451062132121</v>
      </c>
    </row>
    <row r="3488" spans="2:2" ht="15.6">
      <c r="B3488" s="171">
        <v>-1912.522170178001</v>
      </c>
    </row>
    <row r="3489" spans="2:2" ht="15.6">
      <c r="B3489" s="171">
        <v>-1667.0656909777333</v>
      </c>
    </row>
    <row r="3490" spans="2:2" ht="15.6">
      <c r="B3490" s="171">
        <v>-1520.0831012169606</v>
      </c>
    </row>
    <row r="3491" spans="2:2" ht="15.6">
      <c r="B3491" s="171">
        <v>-1707.0319344597626</v>
      </c>
    </row>
    <row r="3492" spans="2:2" ht="15.6">
      <c r="B3492" s="171">
        <v>-1772.7386609457144</v>
      </c>
    </row>
    <row r="3493" spans="2:2" ht="15.6">
      <c r="B3493" s="171">
        <v>-1490.4428649587514</v>
      </c>
    </row>
    <row r="3494" spans="2:2" ht="15.6">
      <c r="B3494" s="171">
        <v>-873.39907110421052</v>
      </c>
    </row>
    <row r="3495" spans="2:2" ht="15.6">
      <c r="B3495" s="171">
        <v>-1599.6714953416913</v>
      </c>
    </row>
    <row r="3496" spans="2:2" ht="15.6">
      <c r="B3496" s="171">
        <v>-1980.2096572263586</v>
      </c>
    </row>
    <row r="3497" spans="2:2" ht="15.6">
      <c r="B3497" s="171">
        <v>-2025.9027183939718</v>
      </c>
    </row>
    <row r="3498" spans="2:2" ht="15.6">
      <c r="B3498" s="171">
        <v>-1437.8164310041823</v>
      </c>
    </row>
    <row r="3499" spans="2:2" ht="15.6">
      <c r="B3499" s="171">
        <v>-1671.9980214273833</v>
      </c>
    </row>
    <row r="3500" spans="2:2" ht="15.6">
      <c r="B3500" s="171">
        <v>-1583.0741343540335</v>
      </c>
    </row>
    <row r="3501" spans="2:2" ht="15.6">
      <c r="B3501" s="171">
        <v>-2029.0516212288094</v>
      </c>
    </row>
    <row r="3502" spans="2:2" ht="15.6">
      <c r="B3502" s="171">
        <v>-1809.5195824234729</v>
      </c>
    </row>
    <row r="3503" spans="2:2" ht="15.6">
      <c r="B3503" s="171">
        <v>-1670.2720048999286</v>
      </c>
    </row>
    <row r="3504" spans="2:2" ht="15.6">
      <c r="B3504" s="171">
        <v>-1911.5639745838637</v>
      </c>
    </row>
    <row r="3505" spans="2:2" ht="15.6">
      <c r="B3505" s="171">
        <v>-2275.8753679243641</v>
      </c>
    </row>
    <row r="3506" spans="2:2" ht="15.6">
      <c r="B3506" s="171">
        <v>-1775.5527410830014</v>
      </c>
    </row>
    <row r="3507" spans="2:2" ht="15.6">
      <c r="B3507" s="171">
        <v>-2366.1962705379729</v>
      </c>
    </row>
    <row r="3508" spans="2:2" ht="15.6">
      <c r="B3508" s="171">
        <v>-1956.6166250995175</v>
      </c>
    </row>
    <row r="3509" spans="2:2" ht="15.6">
      <c r="B3509" s="171">
        <v>-2213.2407378237122</v>
      </c>
    </row>
    <row r="3510" spans="2:2" ht="15.6">
      <c r="B3510" s="171">
        <v>-2045.6075717347762</v>
      </c>
    </row>
    <row r="3511" spans="2:2" ht="15.6">
      <c r="B3511" s="171">
        <v>-2017.7177593466013</v>
      </c>
    </row>
    <row r="3512" spans="2:2" ht="15.6">
      <c r="B3512" s="171">
        <v>-1356.4113721053327</v>
      </c>
    </row>
    <row r="3513" spans="2:2" ht="15.6">
      <c r="B3513" s="171">
        <v>-1638.6493915974575</v>
      </c>
    </row>
    <row r="3514" spans="2:2" ht="15.6">
      <c r="B3514" s="171">
        <v>-1421.4748469204876</v>
      </c>
    </row>
    <row r="3515" spans="2:2" ht="15.6">
      <c r="B3515" s="171">
        <v>-1404.2044278224703</v>
      </c>
    </row>
    <row r="3516" spans="2:2" ht="15.6">
      <c r="B3516" s="171">
        <v>-1396.7725016383515</v>
      </c>
    </row>
    <row r="3517" spans="2:2" ht="15.6">
      <c r="B3517" s="171">
        <v>-861.93114151124098</v>
      </c>
    </row>
    <row r="3518" spans="2:2" ht="15.6">
      <c r="B3518" s="171">
        <v>-1624.1544624628693</v>
      </c>
    </row>
    <row r="3519" spans="2:2" ht="15.6">
      <c r="B3519" s="171">
        <v>-1618.8248845322521</v>
      </c>
    </row>
    <row r="3520" spans="2:2" ht="15.6">
      <c r="B3520" s="171">
        <v>-1669.1987682154875</v>
      </c>
    </row>
    <row r="3521" spans="2:2" ht="15.6">
      <c r="B3521" s="171">
        <v>-1166.1368917679131</v>
      </c>
    </row>
    <row r="3522" spans="2:2" ht="15.6">
      <c r="B3522" s="171">
        <v>-1516.9501710281304</v>
      </c>
    </row>
    <row r="3523" spans="2:2" ht="15.6">
      <c r="B3523" s="171">
        <v>-1822.120150832161</v>
      </c>
    </row>
    <row r="3524" spans="2:2" ht="15.6">
      <c r="B3524" s="171">
        <v>-1927.9782165455047</v>
      </c>
    </row>
    <row r="3525" spans="2:2" ht="15.6">
      <c r="B3525" s="171">
        <v>-2240.5870283305735</v>
      </c>
    </row>
    <row r="3526" spans="2:2" ht="15.6">
      <c r="B3526" s="171">
        <v>-1904.5413043821936</v>
      </c>
    </row>
    <row r="3527" spans="2:2" ht="15.6">
      <c r="B3527" s="171">
        <v>-1311.0613229172161</v>
      </c>
    </row>
    <row r="3528" spans="2:2" ht="15.6">
      <c r="B3528" s="171">
        <v>-1840.0166576490501</v>
      </c>
    </row>
    <row r="3529" spans="2:2" ht="15.6">
      <c r="B3529" s="171">
        <v>-1240.0103967961431</v>
      </c>
    </row>
    <row r="3530" spans="2:2" ht="15.6">
      <c r="B3530" s="171">
        <v>-1332.2271274790919</v>
      </c>
    </row>
    <row r="3531" spans="2:2" ht="15.6">
      <c r="B3531" s="171">
        <v>-1955.330345833911</v>
      </c>
    </row>
    <row r="3532" spans="2:2" ht="15.6">
      <c r="B3532" s="171">
        <v>-1683.2818345743303</v>
      </c>
    </row>
    <row r="3533" spans="2:2" ht="15.6">
      <c r="B3533" s="171">
        <v>-1714.1494235461341</v>
      </c>
    </row>
    <row r="3534" spans="2:2" ht="15.6">
      <c r="B3534" s="171">
        <v>-1135.0895352014372</v>
      </c>
    </row>
    <row r="3535" spans="2:2" ht="15.6">
      <c r="B3535" s="171">
        <v>-2101.9196529991837</v>
      </c>
    </row>
    <row r="3536" spans="2:2" ht="15.6">
      <c r="B3536" s="171">
        <v>-1589.8795091456386</v>
      </c>
    </row>
    <row r="3537" spans="2:2" ht="15.6">
      <c r="B3537" s="171">
        <v>-2176.3807061031353</v>
      </c>
    </row>
    <row r="3538" spans="2:2" ht="15.6">
      <c r="B3538" s="171">
        <v>-1804.3359572549825</v>
      </c>
    </row>
    <row r="3539" spans="2:2" ht="15.6">
      <c r="B3539" s="171">
        <v>-1563.9414817869565</v>
      </c>
    </row>
    <row r="3540" spans="2:2" ht="15.6">
      <c r="B3540" s="171">
        <v>-1791.30800903414</v>
      </c>
    </row>
    <row r="3541" spans="2:2" ht="15.6">
      <c r="B3541" s="171">
        <v>-1637.4386117643007</v>
      </c>
    </row>
    <row r="3542" spans="2:2" ht="15.6">
      <c r="B3542" s="171">
        <v>-1212.2941065492123</v>
      </c>
    </row>
    <row r="3543" spans="2:2" ht="15.6">
      <c r="B3543" s="171">
        <v>-834.13844215645338</v>
      </c>
    </row>
    <row r="3544" spans="2:2" ht="15.6">
      <c r="B3544" s="171">
        <v>-1784.7091808187567</v>
      </c>
    </row>
    <row r="3545" spans="2:2" ht="15.6">
      <c r="B3545" s="171">
        <v>-2051.8995245703682</v>
      </c>
    </row>
    <row r="3546" spans="2:2" ht="15.6">
      <c r="B3546" s="171">
        <v>-1354.9751001068239</v>
      </c>
    </row>
    <row r="3547" spans="2:2" ht="15.6">
      <c r="B3547" s="171">
        <v>-1527.4402870203887</v>
      </c>
    </row>
    <row r="3548" spans="2:2" ht="15.6">
      <c r="B3548" s="171">
        <v>-1487.1447252252442</v>
      </c>
    </row>
    <row r="3549" spans="2:2" ht="15.6">
      <c r="B3549" s="171">
        <v>-1542.8564188639218</v>
      </c>
    </row>
    <row r="3550" spans="2:2" ht="15.6">
      <c r="B3550" s="171">
        <v>-1623.6629949172986</v>
      </c>
    </row>
    <row r="3551" spans="2:2" ht="15.6">
      <c r="B3551" s="171">
        <v>-1851.1261428053137</v>
      </c>
    </row>
    <row r="3552" spans="2:2" ht="15.6">
      <c r="B3552" s="171">
        <v>-1626.2299026257501</v>
      </c>
    </row>
    <row r="3553" spans="2:2" ht="15.6">
      <c r="B3553" s="171">
        <v>-1532.4737303131301</v>
      </c>
    </row>
    <row r="3554" spans="2:2" ht="15.6">
      <c r="B3554" s="171">
        <v>-1873.0347663691095</v>
      </c>
    </row>
    <row r="3555" spans="2:2" ht="15.6">
      <c r="B3555" s="171">
        <v>-1966.8592844843274</v>
      </c>
    </row>
    <row r="3556" spans="2:2" ht="15.6">
      <c r="B3556" s="171">
        <v>-2201.7851510191012</v>
      </c>
    </row>
    <row r="3557" spans="2:2" ht="15.6">
      <c r="B3557" s="171">
        <v>-1167.2774914849633</v>
      </c>
    </row>
    <row r="3558" spans="2:2" ht="15.6">
      <c r="B3558" s="171">
        <v>-1540.1439400585286</v>
      </c>
    </row>
    <row r="3559" spans="2:2" ht="15.6">
      <c r="B3559" s="171">
        <v>-1273.6145976830412</v>
      </c>
    </row>
    <row r="3560" spans="2:2" ht="15.6">
      <c r="B3560" s="171">
        <v>-1444.4723059692913</v>
      </c>
    </row>
    <row r="3561" spans="2:2" ht="15.6">
      <c r="B3561" s="171">
        <v>-1646.4852034979117</v>
      </c>
    </row>
    <row r="3562" spans="2:2" ht="15.6">
      <c r="B3562" s="171">
        <v>-2430.5588356358094</v>
      </c>
    </row>
    <row r="3563" spans="2:2" ht="15.6">
      <c r="B3563" s="171">
        <v>-1087.0983529099999</v>
      </c>
    </row>
    <row r="3564" spans="2:2" ht="15.6">
      <c r="B3564" s="171">
        <v>-1542.5857024250809</v>
      </c>
    </row>
    <row r="3565" spans="2:2" ht="15.6">
      <c r="B3565" s="171">
        <v>-1583.4049518319773</v>
      </c>
    </row>
    <row r="3566" spans="2:2" ht="15.6">
      <c r="B3566" s="171">
        <v>-885.0118750709122</v>
      </c>
    </row>
    <row r="3567" spans="2:2" ht="15.6">
      <c r="B3567" s="171">
        <v>-1153.317434414821</v>
      </c>
    </row>
    <row r="3568" spans="2:2" ht="15.6">
      <c r="B3568" s="171">
        <v>-1680.7388020973842</v>
      </c>
    </row>
    <row r="3569" spans="2:2" ht="15.6">
      <c r="B3569" s="171">
        <v>-1524.7344949936187</v>
      </c>
    </row>
    <row r="3570" spans="2:2" ht="15.6">
      <c r="B3570" s="171">
        <v>-1484.7287188915057</v>
      </c>
    </row>
    <row r="3571" spans="2:2" ht="15.6">
      <c r="B3571" s="171">
        <v>-1557.4708550026235</v>
      </c>
    </row>
    <row r="3572" spans="2:2" ht="15.6">
      <c r="B3572" s="171">
        <v>-2113.1256767142731</v>
      </c>
    </row>
    <row r="3573" spans="2:2" ht="15.6">
      <c r="B3573" s="171">
        <v>-1260.6498177404237</v>
      </c>
    </row>
    <row r="3574" spans="2:2" ht="15.6">
      <c r="B3574" s="171">
        <v>-1569.0641736506941</v>
      </c>
    </row>
    <row r="3575" spans="2:2" ht="15.6">
      <c r="B3575" s="171">
        <v>-2193.3494575993127</v>
      </c>
    </row>
    <row r="3576" spans="2:2" ht="15.6">
      <c r="B3576" s="171">
        <v>-1867.3315302891726</v>
      </c>
    </row>
    <row r="3577" spans="2:2" ht="15.6">
      <c r="B3577" s="171">
        <v>-1720.0568608141007</v>
      </c>
    </row>
    <row r="3578" spans="2:2" ht="15.6">
      <c r="B3578" s="171">
        <v>-1724.4917336771516</v>
      </c>
    </row>
    <row r="3579" spans="2:2" ht="15.6">
      <c r="B3579" s="171">
        <v>-1615.5634494289332</v>
      </c>
    </row>
    <row r="3580" spans="2:2" ht="15.6">
      <c r="B3580" s="171">
        <v>-1488.4051338515319</v>
      </c>
    </row>
    <row r="3581" spans="2:2" ht="15.6">
      <c r="B3581" s="171">
        <v>-1465.7356158760963</v>
      </c>
    </row>
    <row r="3582" spans="2:2" ht="15.6">
      <c r="B3582" s="171">
        <v>-2385.2472220349946</v>
      </c>
    </row>
    <row r="3583" spans="2:2" ht="15.6">
      <c r="B3583" s="171">
        <v>-1009.9104978853865</v>
      </c>
    </row>
    <row r="3584" spans="2:2" ht="15.6">
      <c r="B3584" s="171">
        <v>-1265.6628317514119</v>
      </c>
    </row>
    <row r="3585" spans="2:2" ht="15.6">
      <c r="B3585" s="171">
        <v>-2043.5512645780136</v>
      </c>
    </row>
    <row r="3586" spans="2:2" ht="15.6">
      <c r="B3586" s="171">
        <v>-1949.0508902384604</v>
      </c>
    </row>
    <row r="3587" spans="2:2" ht="15.6">
      <c r="B3587" s="171">
        <v>-2150.727699465051</v>
      </c>
    </row>
    <row r="3588" spans="2:2" ht="15.6">
      <c r="B3588" s="171">
        <v>-1918.9920431785376</v>
      </c>
    </row>
    <row r="3589" spans="2:2" ht="15.6">
      <c r="B3589" s="171">
        <v>-1388.3723951547245</v>
      </c>
    </row>
    <row r="3590" spans="2:2" ht="15.6">
      <c r="B3590" s="171">
        <v>-2082.411094677168</v>
      </c>
    </row>
    <row r="3591" spans="2:2" ht="15.6">
      <c r="B3591" s="171">
        <v>-1563.4862261257322</v>
      </c>
    </row>
    <row r="3592" spans="2:2" ht="15.6">
      <c r="B3592" s="171">
        <v>-1074.001349742063</v>
      </c>
    </row>
    <row r="3593" spans="2:2" ht="15.6">
      <c r="B3593" s="171">
        <v>-1181.2307617742013</v>
      </c>
    </row>
    <row r="3594" spans="2:2" ht="15.6">
      <c r="B3594" s="171">
        <v>-1642.0511671942425</v>
      </c>
    </row>
    <row r="3595" spans="2:2" ht="15.6">
      <c r="B3595" s="171">
        <v>-1205.0141959463119</v>
      </c>
    </row>
    <row r="3596" spans="2:2" ht="15.6">
      <c r="B3596" s="171">
        <v>-1698.9407113277418</v>
      </c>
    </row>
    <row r="3597" spans="2:2" ht="15.6">
      <c r="B3597" s="171">
        <v>-1937.9303178931445</v>
      </c>
    </row>
    <row r="3598" spans="2:2" ht="15.6">
      <c r="B3598" s="171">
        <v>-1773.0094913566058</v>
      </c>
    </row>
    <row r="3599" spans="2:2" ht="15.6">
      <c r="B3599" s="171">
        <v>-1404.753719901164</v>
      </c>
    </row>
    <row r="3600" spans="2:2" ht="15.6">
      <c r="B3600" s="171">
        <v>-1092.0623791588571</v>
      </c>
    </row>
    <row r="3601" spans="2:2" ht="15.6">
      <c r="B3601" s="171">
        <v>-1213.8577686177334</v>
      </c>
    </row>
    <row r="3602" spans="2:2" ht="15.6">
      <c r="B3602" s="171">
        <v>-1936.9774582305781</v>
      </c>
    </row>
    <row r="3603" spans="2:2" ht="15.6">
      <c r="B3603" s="171">
        <v>-1334.1396984744429</v>
      </c>
    </row>
    <row r="3604" spans="2:2" ht="15.6">
      <c r="B3604" s="171">
        <v>-735.31439790552122</v>
      </c>
    </row>
    <row r="3605" spans="2:2" ht="15.6">
      <c r="B3605" s="171">
        <v>-1608.2676337475327</v>
      </c>
    </row>
    <row r="3606" spans="2:2" ht="15.6">
      <c r="B3606" s="171">
        <v>-1515.6693773252368</v>
      </c>
    </row>
    <row r="3607" spans="2:2" ht="15.6">
      <c r="B3607" s="171">
        <v>-1953.2346689269659</v>
      </c>
    </row>
    <row r="3608" spans="2:2" ht="15.6">
      <c r="B3608" s="171">
        <v>-1556.5821131274827</v>
      </c>
    </row>
    <row r="3609" spans="2:2" ht="15.6">
      <c r="B3609" s="171">
        <v>-1194.1477182430447</v>
      </c>
    </row>
    <row r="3610" spans="2:2" ht="15.6">
      <c r="B3610" s="171">
        <v>-1528.3373725113277</v>
      </c>
    </row>
    <row r="3611" spans="2:2" ht="15.6">
      <c r="B3611" s="171">
        <v>-961.53431756799023</v>
      </c>
    </row>
    <row r="3612" spans="2:2" ht="15.6">
      <c r="B3612" s="171">
        <v>-1446.9017642373001</v>
      </c>
    </row>
    <row r="3613" spans="2:2" ht="15.6">
      <c r="B3613" s="171">
        <v>-1206.8916225793714</v>
      </c>
    </row>
    <row r="3614" spans="2:2" ht="15.6">
      <c r="B3614" s="171">
        <v>-1556.0930453431311</v>
      </c>
    </row>
    <row r="3615" spans="2:2" ht="15.6">
      <c r="B3615" s="171">
        <v>-2271.3234609252308</v>
      </c>
    </row>
    <row r="3616" spans="2:2" ht="15.6">
      <c r="B3616" s="171">
        <v>-2126.3165357208027</v>
      </c>
    </row>
    <row r="3617" spans="2:2" ht="15.6">
      <c r="B3617" s="171">
        <v>-1795.3111736657124</v>
      </c>
    </row>
    <row r="3618" spans="2:2" ht="15.6">
      <c r="B3618" s="171">
        <v>-1095.5838172136789</v>
      </c>
    </row>
    <row r="3619" spans="2:2" ht="15.6">
      <c r="B3619" s="171">
        <v>-1844.0230539816775</v>
      </c>
    </row>
    <row r="3620" spans="2:2" ht="15.6">
      <c r="B3620" s="171">
        <v>-955.84853024983158</v>
      </c>
    </row>
    <row r="3621" spans="2:2" ht="15.6">
      <c r="B3621" s="171">
        <v>-1700.2729264987595</v>
      </c>
    </row>
    <row r="3622" spans="2:2" ht="15.6">
      <c r="B3622" s="171">
        <v>-1501.4400414545005</v>
      </c>
    </row>
    <row r="3623" spans="2:2" ht="15.6">
      <c r="B3623" s="171">
        <v>-1804.1574160766745</v>
      </c>
    </row>
    <row r="3624" spans="2:2" ht="15.6">
      <c r="B3624" s="171">
        <v>-1292.3067431819427</v>
      </c>
    </row>
    <row r="3625" spans="2:2" ht="15.6">
      <c r="B3625" s="171">
        <v>-2184.5606421232415</v>
      </c>
    </row>
    <row r="3626" spans="2:2" ht="15.6">
      <c r="B3626" s="171">
        <v>-1871.670217101469</v>
      </c>
    </row>
    <row r="3627" spans="2:2" ht="15.6">
      <c r="B3627" s="171">
        <v>-1318.8311660938771</v>
      </c>
    </row>
    <row r="3628" spans="2:2" ht="15.6">
      <c r="B3628" s="171">
        <v>-1503.3041093914651</v>
      </c>
    </row>
    <row r="3629" spans="2:2" ht="15.6">
      <c r="B3629" s="171">
        <v>-1139.3099753257347</v>
      </c>
    </row>
    <row r="3630" spans="2:2" ht="15.6">
      <c r="B3630" s="171">
        <v>-1481.5667757797792</v>
      </c>
    </row>
    <row r="3631" spans="2:2" ht="15.6">
      <c r="B3631" s="171">
        <v>-1791.9264877385249</v>
      </c>
    </row>
    <row r="3632" spans="2:2" ht="15.6">
      <c r="B3632" s="171">
        <v>-1552.9804272077315</v>
      </c>
    </row>
    <row r="3633" spans="2:2" ht="15.6">
      <c r="B3633" s="171">
        <v>-1423.3442171299826</v>
      </c>
    </row>
    <row r="3634" spans="2:2" ht="15.6">
      <c r="B3634" s="171">
        <v>-1875.301336910657</v>
      </c>
    </row>
    <row r="3635" spans="2:2" ht="15.6">
      <c r="B3635" s="171">
        <v>-812.50281794445596</v>
      </c>
    </row>
    <row r="3636" spans="2:2" ht="15.6">
      <c r="B3636" s="171">
        <v>-1374.3393442631407</v>
      </c>
    </row>
    <row r="3637" spans="2:2" ht="15.6">
      <c r="B3637" s="171">
        <v>-1264.7692909199086</v>
      </c>
    </row>
    <row r="3638" spans="2:2" ht="15.6">
      <c r="B3638" s="171">
        <v>-1677.4777022928415</v>
      </c>
    </row>
    <row r="3639" spans="2:2" ht="15.6">
      <c r="B3639" s="171">
        <v>-1981.2651336858812</v>
      </c>
    </row>
    <row r="3640" spans="2:2" ht="15.6">
      <c r="B3640" s="171">
        <v>-1177.0007636564308</v>
      </c>
    </row>
    <row r="3641" spans="2:2" ht="15.6">
      <c r="B3641" s="171">
        <v>-1428.809264302171</v>
      </c>
    </row>
    <row r="3642" spans="2:2" ht="15.6">
      <c r="B3642" s="171">
        <v>-1270.9167665757955</v>
      </c>
    </row>
    <row r="3643" spans="2:2" ht="15.6">
      <c r="B3643" s="171">
        <v>-1781.2635418942471</v>
      </c>
    </row>
    <row r="3644" spans="2:2" ht="15.6">
      <c r="B3644" s="171">
        <v>-1526.213197985091</v>
      </c>
    </row>
    <row r="3645" spans="2:2" ht="15.6">
      <c r="B3645" s="171">
        <v>-1519.9614288709449</v>
      </c>
    </row>
    <row r="3646" spans="2:2" ht="15.6">
      <c r="B3646" s="171">
        <v>-2176.2453264908036</v>
      </c>
    </row>
    <row r="3647" spans="2:2" ht="15.6">
      <c r="B3647" s="171">
        <v>-1538.9483972541561</v>
      </c>
    </row>
    <row r="3648" spans="2:2" ht="15.6">
      <c r="B3648" s="171">
        <v>-1649.329998832922</v>
      </c>
    </row>
    <row r="3649" spans="2:2" ht="15.6">
      <c r="B3649" s="171">
        <v>-1294.9528168966986</v>
      </c>
    </row>
    <row r="3650" spans="2:2" ht="15.6">
      <c r="B3650" s="171">
        <v>-2368.2788886755834</v>
      </c>
    </row>
    <row r="3651" spans="2:2" ht="15.6">
      <c r="B3651" s="171">
        <v>-1471.7350020639487</v>
      </c>
    </row>
    <row r="3652" spans="2:2" ht="15.6">
      <c r="B3652" s="171">
        <v>-1416.6535029484201</v>
      </c>
    </row>
    <row r="3653" spans="2:2" ht="15.6">
      <c r="B3653" s="171">
        <v>-2098.1171177290762</v>
      </c>
    </row>
    <row r="3654" spans="2:2" ht="15.6">
      <c r="B3654" s="171">
        <v>-1730.1967987560388</v>
      </c>
    </row>
    <row r="3655" spans="2:2" ht="15.6">
      <c r="B3655" s="171">
        <v>-1126.8295183830649</v>
      </c>
    </row>
    <row r="3656" spans="2:2" ht="15.6">
      <c r="B3656" s="171">
        <v>-1180.8253250651787</v>
      </c>
    </row>
    <row r="3657" spans="2:2" ht="15.6">
      <c r="B3657" s="171">
        <v>-1627.5451409148798</v>
      </c>
    </row>
    <row r="3658" spans="2:2" ht="15.6">
      <c r="B3658" s="171">
        <v>-1585.4024725811748</v>
      </c>
    </row>
    <row r="3659" spans="2:2" ht="15.6">
      <c r="B3659" s="171">
        <v>-1566.3148989411889</v>
      </c>
    </row>
    <row r="3660" spans="2:2" ht="15.6">
      <c r="B3660" s="171">
        <v>-1116.6062284145494</v>
      </c>
    </row>
    <row r="3661" spans="2:2" ht="15.6">
      <c r="B3661" s="171">
        <v>-1140.665752180794</v>
      </c>
    </row>
    <row r="3662" spans="2:2" ht="15.6">
      <c r="B3662" s="171">
        <v>-1313.8590614966965</v>
      </c>
    </row>
    <row r="3663" spans="2:2" ht="15.6">
      <c r="B3663" s="171">
        <v>-1203.7956239744262</v>
      </c>
    </row>
    <row r="3664" spans="2:2" ht="15.6">
      <c r="B3664" s="171">
        <v>-1163.7155373843425</v>
      </c>
    </row>
    <row r="3665" spans="2:2" ht="15.6">
      <c r="B3665" s="171">
        <v>-1827.396098109833</v>
      </c>
    </row>
    <row r="3666" spans="2:2" ht="15.6">
      <c r="B3666" s="171">
        <v>-1253.7696953824184</v>
      </c>
    </row>
    <row r="3667" spans="2:2" ht="15.6">
      <c r="B3667" s="171">
        <v>-2487.6253706650768</v>
      </c>
    </row>
    <row r="3668" spans="2:2" ht="15.6">
      <c r="B3668" s="171">
        <v>-1755.5018776989359</v>
      </c>
    </row>
    <row r="3669" spans="2:2" ht="15.6">
      <c r="B3669" s="171">
        <v>-2299.848655466435</v>
      </c>
    </row>
    <row r="3670" spans="2:2" ht="15.6">
      <c r="B3670" s="171">
        <v>-2488.9309698356606</v>
      </c>
    </row>
    <row r="3671" spans="2:2" ht="15.6">
      <c r="B3671" s="171">
        <v>-1322.8907462991367</v>
      </c>
    </row>
    <row r="3672" spans="2:2" ht="15.6">
      <c r="B3672" s="171">
        <v>-1450.6229091845614</v>
      </c>
    </row>
    <row r="3673" spans="2:2" ht="15.6">
      <c r="B3673" s="171">
        <v>-2596.8869476198215</v>
      </c>
    </row>
    <row r="3674" spans="2:2" ht="15.6">
      <c r="B3674" s="171">
        <v>-1649.7433768760516</v>
      </c>
    </row>
    <row r="3675" spans="2:2" ht="15.6">
      <c r="B3675" s="171">
        <v>-1898.0305552256887</v>
      </c>
    </row>
    <row r="3676" spans="2:2" ht="15.6">
      <c r="B3676" s="171">
        <v>-2382.7688811651396</v>
      </c>
    </row>
    <row r="3677" spans="2:2" ht="15.6">
      <c r="B3677" s="171">
        <v>-2051.7429153893504</v>
      </c>
    </row>
    <row r="3678" spans="2:2" ht="15.6">
      <c r="B3678" s="171">
        <v>-1449.3747942620096</v>
      </c>
    </row>
    <row r="3679" spans="2:2" ht="15.6">
      <c r="B3679" s="171">
        <v>-872.94618764407824</v>
      </c>
    </row>
    <row r="3680" spans="2:2" ht="15.6">
      <c r="B3680" s="171">
        <v>-1966.1683072346098</v>
      </c>
    </row>
    <row r="3681" spans="2:2" ht="15.6">
      <c r="B3681" s="171">
        <v>-1903.7962399693652</v>
      </c>
    </row>
    <row r="3682" spans="2:2" ht="15.6">
      <c r="B3682" s="171">
        <v>-1912.9481642450485</v>
      </c>
    </row>
    <row r="3683" spans="2:2" ht="15.6">
      <c r="B3683" s="171">
        <v>-1070.8962946607935</v>
      </c>
    </row>
    <row r="3684" spans="2:2" ht="15.6">
      <c r="B3684" s="171">
        <v>-1155.4661250661914</v>
      </c>
    </row>
    <row r="3685" spans="2:2" ht="15.6">
      <c r="B3685" s="171">
        <v>-1772.2532890980692</v>
      </c>
    </row>
    <row r="3686" spans="2:2" ht="15.6">
      <c r="B3686" s="171">
        <v>-2025.3539375080602</v>
      </c>
    </row>
    <row r="3687" spans="2:2" ht="15.6">
      <c r="B3687" s="171">
        <v>-1170.7845449707854</v>
      </c>
    </row>
    <row r="3688" spans="2:2" ht="15.6">
      <c r="B3688" s="171">
        <v>-1119.5120811745542</v>
      </c>
    </row>
    <row r="3689" spans="2:2" ht="15.6">
      <c r="B3689" s="171">
        <v>-1259.6984170330338</v>
      </c>
    </row>
    <row r="3690" spans="2:2" ht="15.6">
      <c r="B3690" s="171">
        <v>-1360.6219342799018</v>
      </c>
    </row>
    <row r="3691" spans="2:2" ht="15.6">
      <c r="B3691" s="171">
        <v>-1327.9431650747783</v>
      </c>
    </row>
    <row r="3692" spans="2:2" ht="15.6">
      <c r="B3692" s="171">
        <v>-1719.4505799176163</v>
      </c>
    </row>
    <row r="3693" spans="2:2" ht="15.6">
      <c r="B3693" s="171">
        <v>-1445.7031066581524</v>
      </c>
    </row>
    <row r="3694" spans="2:2" ht="15.6">
      <c r="B3694" s="171">
        <v>-2807.7970230262999</v>
      </c>
    </row>
    <row r="3695" spans="2:2" ht="15.6">
      <c r="B3695" s="171">
        <v>-1275.2956037273186</v>
      </c>
    </row>
    <row r="3696" spans="2:2" ht="15.6">
      <c r="B3696" s="171">
        <v>-1280.7693737036232</v>
      </c>
    </row>
    <row r="3697" spans="2:2" ht="15.6">
      <c r="B3697" s="171">
        <v>-804.46752249740246</v>
      </c>
    </row>
    <row r="3698" spans="2:2" ht="15.6">
      <c r="B3698" s="171">
        <v>-1214.6018804533387</v>
      </c>
    </row>
    <row r="3699" spans="2:2" ht="15.6">
      <c r="B3699" s="171">
        <v>-1603.144998692027</v>
      </c>
    </row>
    <row r="3700" spans="2:2" ht="15.6">
      <c r="B3700" s="171">
        <v>-1556.0651832822928</v>
      </c>
    </row>
    <row r="3701" spans="2:2" ht="15.6">
      <c r="B3701" s="171">
        <v>-1662.7183356395608</v>
      </c>
    </row>
    <row r="3702" spans="2:2" ht="15.6">
      <c r="B3702" s="171">
        <v>-2204.8538425244669</v>
      </c>
    </row>
    <row r="3703" spans="2:2" ht="15.6">
      <c r="B3703" s="171">
        <v>-1585.9762557722952</v>
      </c>
    </row>
    <row r="3704" spans="2:2" ht="15.6">
      <c r="B3704" s="171">
        <v>-1310.652931639393</v>
      </c>
    </row>
    <row r="3705" spans="2:2" ht="15.6">
      <c r="B3705" s="171">
        <v>-2058.179374521701</v>
      </c>
    </row>
    <row r="3706" spans="2:2" ht="15.6">
      <c r="B3706" s="171">
        <v>-1639.5052755368292</v>
      </c>
    </row>
    <row r="3707" spans="2:2" ht="15.6">
      <c r="B3707" s="171">
        <v>-1688.3076528866068</v>
      </c>
    </row>
    <row r="3708" spans="2:2" ht="15.6">
      <c r="B3708" s="171">
        <v>-1786.2525512495386</v>
      </c>
    </row>
    <row r="3709" spans="2:2" ht="15.6">
      <c r="B3709" s="171">
        <v>-1281.6790952390002</v>
      </c>
    </row>
    <row r="3710" spans="2:2" ht="15.6">
      <c r="B3710" s="171">
        <v>-1228.7790316208122</v>
      </c>
    </row>
    <row r="3711" spans="2:2" ht="15.6">
      <c r="B3711" s="171">
        <v>-1829.9028826733697</v>
      </c>
    </row>
    <row r="3712" spans="2:2" ht="15.6">
      <c r="B3712" s="171">
        <v>-1714.768725609998</v>
      </c>
    </row>
    <row r="3713" spans="2:2" ht="15.6">
      <c r="B3713" s="171">
        <v>-1659.905241541906</v>
      </c>
    </row>
    <row r="3714" spans="2:2" ht="15.6">
      <c r="B3714" s="171">
        <v>-1303.261457639944</v>
      </c>
    </row>
    <row r="3715" spans="2:2" ht="15.6">
      <c r="B3715" s="171">
        <v>-1217.6878582424911</v>
      </c>
    </row>
    <row r="3716" spans="2:2" ht="15.6">
      <c r="B3716" s="171">
        <v>-1543.642283373817</v>
      </c>
    </row>
    <row r="3717" spans="2:2" ht="15.6">
      <c r="B3717" s="171">
        <v>-1422.3093362257841</v>
      </c>
    </row>
    <row r="3718" spans="2:2" ht="15.6">
      <c r="B3718" s="171">
        <v>-1583.969254533707</v>
      </c>
    </row>
    <row r="3719" spans="2:2" ht="15.6">
      <c r="B3719" s="171">
        <v>-1956.667060343606</v>
      </c>
    </row>
    <row r="3720" spans="2:2" ht="15.6">
      <c r="B3720" s="171">
        <v>-1541.6288788340119</v>
      </c>
    </row>
    <row r="3721" spans="2:2" ht="15.6">
      <c r="B3721" s="171">
        <v>-1434.798193102481</v>
      </c>
    </row>
    <row r="3722" spans="2:2" ht="15.6">
      <c r="B3722" s="171">
        <v>-1335.9609820453593</v>
      </c>
    </row>
    <row r="3723" spans="2:2" ht="15.6">
      <c r="B3723" s="171">
        <v>-1206.6806687463959</v>
      </c>
    </row>
    <row r="3724" spans="2:2" ht="15.6">
      <c r="B3724" s="171">
        <v>-2276.5265556019767</v>
      </c>
    </row>
    <row r="3725" spans="2:2" ht="15.6">
      <c r="B3725" s="171">
        <v>-1811.3191949462232</v>
      </c>
    </row>
    <row r="3726" spans="2:2" ht="15.6">
      <c r="B3726" s="171">
        <v>-1062.5660929807993</v>
      </c>
    </row>
    <row r="3727" spans="2:2" ht="15.6">
      <c r="B3727" s="171">
        <v>-1467.0177732421905</v>
      </c>
    </row>
    <row r="3728" spans="2:2" ht="15.6">
      <c r="B3728" s="171">
        <v>-1661.1765174643986</v>
      </c>
    </row>
    <row r="3729" spans="2:2" ht="15.6">
      <c r="B3729" s="171">
        <v>-1394.4356681887245</v>
      </c>
    </row>
    <row r="3730" spans="2:2" ht="15.6">
      <c r="B3730" s="171">
        <v>-1844.0917484701399</v>
      </c>
    </row>
    <row r="3731" spans="2:2" ht="15.6">
      <c r="B3731" s="171">
        <v>-1633.4884554390928</v>
      </c>
    </row>
    <row r="3732" spans="2:2" ht="15.6">
      <c r="B3732" s="171">
        <v>-1076.820004722586</v>
      </c>
    </row>
    <row r="3733" spans="2:2" ht="15.6">
      <c r="B3733" s="171">
        <v>-1586.270424487896</v>
      </c>
    </row>
    <row r="3734" spans="2:2" ht="15.6">
      <c r="B3734" s="171">
        <v>-1503.6638748406147</v>
      </c>
    </row>
    <row r="3735" spans="2:2" ht="15.6">
      <c r="B3735" s="171">
        <v>-1186.8433336385749</v>
      </c>
    </row>
    <row r="3736" spans="2:2" ht="15.6">
      <c r="B3736" s="171">
        <v>-1594.6320015768406</v>
      </c>
    </row>
    <row r="3737" spans="2:2" ht="15.6">
      <c r="B3737" s="171">
        <v>-1152.9183024059785</v>
      </c>
    </row>
    <row r="3738" spans="2:2" ht="15.6">
      <c r="B3738" s="171">
        <v>-919.82704656566489</v>
      </c>
    </row>
    <row r="3739" spans="2:2" ht="15.6">
      <c r="B3739" s="171">
        <v>-1178.8141448748302</v>
      </c>
    </row>
    <row r="3740" spans="2:2" ht="15.6">
      <c r="B3740" s="171">
        <v>-1424.9903387403956</v>
      </c>
    </row>
    <row r="3741" spans="2:2" ht="15.6">
      <c r="B3741" s="171">
        <v>-1071.101046668645</v>
      </c>
    </row>
    <row r="3742" spans="2:2" ht="15.6">
      <c r="B3742" s="171">
        <v>-1029.0544240627855</v>
      </c>
    </row>
    <row r="3743" spans="2:2" ht="15.6">
      <c r="B3743" s="171">
        <v>-1619.9386196775081</v>
      </c>
    </row>
    <row r="3744" spans="2:2" ht="15.6">
      <c r="B3744" s="171">
        <v>-1465.3373745879326</v>
      </c>
    </row>
    <row r="3745" spans="2:2" ht="15.6">
      <c r="B3745" s="171">
        <v>-1188.4011871820014</v>
      </c>
    </row>
    <row r="3746" spans="2:2" ht="15.6">
      <c r="B3746" s="171">
        <v>-1618.5052858287452</v>
      </c>
    </row>
    <row r="3747" spans="2:2" ht="15.6">
      <c r="B3747" s="171">
        <v>-1820.6004300360478</v>
      </c>
    </row>
    <row r="3748" spans="2:2" ht="15.6">
      <c r="B3748" s="171">
        <v>-1088.1820121431483</v>
      </c>
    </row>
    <row r="3749" spans="2:2" ht="15.6">
      <c r="B3749" s="171">
        <v>-1845.2785506746777</v>
      </c>
    </row>
    <row r="3750" spans="2:2" ht="15.6">
      <c r="B3750" s="171">
        <v>-1428.3017713111201</v>
      </c>
    </row>
    <row r="3751" spans="2:2" ht="15.6">
      <c r="B3751" s="171">
        <v>-1489.2715056083114</v>
      </c>
    </row>
    <row r="3752" spans="2:2" ht="15.6">
      <c r="B3752" s="171">
        <v>-1788.6307411779633</v>
      </c>
    </row>
    <row r="3753" spans="2:2" ht="15.6">
      <c r="B3753" s="171">
        <v>-1763.0524618298889</v>
      </c>
    </row>
    <row r="3754" spans="2:2" ht="15.6">
      <c r="B3754" s="171">
        <v>-1392.2930860209622</v>
      </c>
    </row>
    <row r="3755" spans="2:2" ht="15.6">
      <c r="B3755" s="171">
        <v>-1567.3922281205612</v>
      </c>
    </row>
    <row r="3756" spans="2:2" ht="15.6">
      <c r="B3756" s="171">
        <v>-2086.8654396864372</v>
      </c>
    </row>
    <row r="3757" spans="2:2" ht="15.6">
      <c r="B3757" s="171">
        <v>-2103.6532394639012</v>
      </c>
    </row>
    <row r="3758" spans="2:2" ht="15.6">
      <c r="B3758" s="171">
        <v>-965.65281030689277</v>
      </c>
    </row>
    <row r="3759" spans="2:2" ht="15.6">
      <c r="B3759" s="171">
        <v>-2055.0763388446576</v>
      </c>
    </row>
    <row r="3760" spans="2:2" ht="15.6">
      <c r="B3760" s="171">
        <v>-2074.1104654801361</v>
      </c>
    </row>
    <row r="3761" spans="2:2" ht="15.6">
      <c r="B3761" s="171">
        <v>-1786.1771294900386</v>
      </c>
    </row>
    <row r="3762" spans="2:2" ht="15.6">
      <c r="B3762" s="171">
        <v>-1196.5538509913322</v>
      </c>
    </row>
    <row r="3763" spans="2:2" ht="15.6">
      <c r="B3763" s="171">
        <v>-1597.316262350937</v>
      </c>
    </row>
    <row r="3764" spans="2:2" ht="15.6">
      <c r="B3764" s="171">
        <v>-1478.0054081580461</v>
      </c>
    </row>
    <row r="3765" spans="2:2" ht="15.6">
      <c r="B3765" s="171">
        <v>-1326.1534532234707</v>
      </c>
    </row>
    <row r="3766" spans="2:2" ht="15.6">
      <c r="B3766" s="171">
        <v>-1889.0022313653121</v>
      </c>
    </row>
    <row r="3767" spans="2:2" ht="15.6">
      <c r="B3767" s="171">
        <v>-2144.6536385604381</v>
      </c>
    </row>
    <row r="3768" spans="2:2" ht="15.6">
      <c r="B3768" s="171">
        <v>-1416.9322508763069</v>
      </c>
    </row>
    <row r="3769" spans="2:2" ht="15.6">
      <c r="B3769" s="171">
        <v>-1326.4873651576868</v>
      </c>
    </row>
    <row r="3770" spans="2:2" ht="15.6">
      <c r="B3770" s="171">
        <v>-669.83493444718169</v>
      </c>
    </row>
    <row r="3771" spans="2:2" ht="15.6">
      <c r="B3771" s="171">
        <v>-976.94994316949249</v>
      </c>
    </row>
    <row r="3772" spans="2:2" ht="15.6">
      <c r="B3772" s="171">
        <v>-2033.2241271823273</v>
      </c>
    </row>
    <row r="3773" spans="2:2" ht="15.6">
      <c r="B3773" s="171">
        <v>-2055.4587960433655</v>
      </c>
    </row>
    <row r="3774" spans="2:2" ht="15.6">
      <c r="B3774" s="171">
        <v>-1287.4077744411316</v>
      </c>
    </row>
    <row r="3775" spans="2:2" ht="15.6">
      <c r="B3775" s="171">
        <v>-817.01258474537758</v>
      </c>
    </row>
    <row r="3776" spans="2:2" ht="15.6">
      <c r="B3776" s="171">
        <v>-1686.6724920359281</v>
      </c>
    </row>
    <row r="3777" spans="2:2" ht="15.6">
      <c r="B3777" s="171">
        <v>-1674.5851911510863</v>
      </c>
    </row>
    <row r="3778" spans="2:2" ht="15.6">
      <c r="B3778" s="171">
        <v>-1713.3959846331168</v>
      </c>
    </row>
    <row r="3779" spans="2:2" ht="15.6">
      <c r="B3779" s="171">
        <v>-1934.1419475217217</v>
      </c>
    </row>
    <row r="3780" spans="2:2" ht="15.6">
      <c r="B3780" s="171">
        <v>-990.47109837065841</v>
      </c>
    </row>
    <row r="3781" spans="2:2" ht="15.6">
      <c r="B3781" s="171">
        <v>-1600.9219993249942</v>
      </c>
    </row>
    <row r="3782" spans="2:2" ht="15.6">
      <c r="B3782" s="171">
        <v>-1149.1195257484135</v>
      </c>
    </row>
    <row r="3783" spans="2:2" ht="15.6">
      <c r="B3783" s="171">
        <v>-1898.1808514268662</v>
      </c>
    </row>
    <row r="3784" spans="2:2" ht="15.6">
      <c r="B3784" s="171">
        <v>-1244.0975485370197</v>
      </c>
    </row>
    <row r="3785" spans="2:2" ht="15.6">
      <c r="B3785" s="171">
        <v>-1965.3479255819207</v>
      </c>
    </row>
    <row r="3786" spans="2:2" ht="15.6">
      <c r="B3786" s="171">
        <v>-1499.0305834593994</v>
      </c>
    </row>
    <row r="3787" spans="2:2" ht="15.6">
      <c r="B3787" s="171">
        <v>-1252.442311500381</v>
      </c>
    </row>
    <row r="3788" spans="2:2" ht="15.6">
      <c r="B3788" s="171">
        <v>-1861.2611969011591</v>
      </c>
    </row>
    <row r="3789" spans="2:2" ht="15.6">
      <c r="B3789" s="171">
        <v>-835.88574690388509</v>
      </c>
    </row>
    <row r="3790" spans="2:2" ht="15.6">
      <c r="B3790" s="171">
        <v>-1608.9682775127676</v>
      </c>
    </row>
    <row r="3791" spans="2:2" ht="15.6">
      <c r="B3791" s="171">
        <v>-1636.3200974271176</v>
      </c>
    </row>
    <row r="3792" spans="2:2" ht="15.6">
      <c r="B3792" s="171">
        <v>-2294.1047844885334</v>
      </c>
    </row>
    <row r="3793" spans="2:2" ht="15.6">
      <c r="B3793" s="171">
        <v>-2077.3732921259311</v>
      </c>
    </row>
    <row r="3794" spans="2:2" ht="15.6">
      <c r="B3794" s="171">
        <v>-1758.8503195134169</v>
      </c>
    </row>
    <row r="3795" spans="2:2" ht="15.6">
      <c r="B3795" s="171">
        <v>-1816.0840775881059</v>
      </c>
    </row>
    <row r="3796" spans="2:2" ht="15.6">
      <c r="B3796" s="171">
        <v>-2169.2476457554649</v>
      </c>
    </row>
    <row r="3797" spans="2:2" ht="15.6">
      <c r="B3797" s="171">
        <v>-1412.8262032891437</v>
      </c>
    </row>
    <row r="3798" spans="2:2" ht="15.6">
      <c r="B3798" s="171">
        <v>-2016.4113919848169</v>
      </c>
    </row>
    <row r="3799" spans="2:2" ht="15.6">
      <c r="B3799" s="171">
        <v>-1818.6727661642051</v>
      </c>
    </row>
    <row r="3800" spans="2:2" ht="15.6">
      <c r="B3800" s="171">
        <v>-2226.0913231596637</v>
      </c>
    </row>
    <row r="3801" spans="2:2" ht="15.6">
      <c r="B3801" s="171">
        <v>-1760.06719669104</v>
      </c>
    </row>
    <row r="3802" spans="2:2" ht="15.6">
      <c r="B3802" s="171">
        <v>-1655.4614853287089</v>
      </c>
    </row>
    <row r="3803" spans="2:2" ht="15.6">
      <c r="B3803" s="171">
        <v>-1530.3063819719819</v>
      </c>
    </row>
    <row r="3804" spans="2:2" ht="15.6">
      <c r="B3804" s="171">
        <v>-1812.7013281922775</v>
      </c>
    </row>
    <row r="3805" spans="2:2" ht="15.6">
      <c r="B3805" s="171">
        <v>-1365.3212474463883</v>
      </c>
    </row>
    <row r="3806" spans="2:2" ht="15.6">
      <c r="B3806" s="171">
        <v>-1700.6603645501505</v>
      </c>
    </row>
    <row r="3807" spans="2:2" ht="15.6">
      <c r="B3807" s="171">
        <v>-1644.2667278187166</v>
      </c>
    </row>
    <row r="3808" spans="2:2" ht="15.6">
      <c r="B3808" s="171">
        <v>-1004.1468800809146</v>
      </c>
    </row>
    <row r="3809" spans="2:2" ht="15.6">
      <c r="B3809" s="171">
        <v>-1538.1334430224856</v>
      </c>
    </row>
    <row r="3810" spans="2:2" ht="15.6">
      <c r="B3810" s="171">
        <v>-1784.3403470389273</v>
      </c>
    </row>
    <row r="3811" spans="2:2" ht="15.6">
      <c r="B3811" s="171">
        <v>-1138.4128827620793</v>
      </c>
    </row>
    <row r="3812" spans="2:2" ht="15.6">
      <c r="B3812" s="171">
        <v>-1240.2889421716316</v>
      </c>
    </row>
    <row r="3813" spans="2:2" ht="15.6">
      <c r="B3813" s="171">
        <v>-1562.4182107490965</v>
      </c>
    </row>
    <row r="3814" spans="2:2" ht="15.6">
      <c r="B3814" s="171">
        <v>-2366.259371897756</v>
      </c>
    </row>
    <row r="3815" spans="2:2" ht="15.6">
      <c r="B3815" s="171">
        <v>-1821.4445939040495</v>
      </c>
    </row>
    <row r="3816" spans="2:2" ht="15.6">
      <c r="B3816" s="171">
        <v>-2081.8738076652867</v>
      </c>
    </row>
    <row r="3817" spans="2:2" ht="15.6">
      <c r="B3817" s="171">
        <v>-1309.0352129295916</v>
      </c>
    </row>
    <row r="3818" spans="2:2" ht="15.6">
      <c r="B3818" s="171">
        <v>-2114.4964497444657</v>
      </c>
    </row>
    <row r="3819" spans="2:2" ht="15.6">
      <c r="B3819" s="171">
        <v>-1627.0820530436188</v>
      </c>
    </row>
    <row r="3820" spans="2:2" ht="15.6">
      <c r="B3820" s="171">
        <v>-849.13044955793487</v>
      </c>
    </row>
    <row r="3821" spans="2:2" ht="15.6">
      <c r="B3821" s="171">
        <v>-2494.3667534791493</v>
      </c>
    </row>
    <row r="3822" spans="2:2" ht="15.6">
      <c r="B3822" s="171">
        <v>-1640.3735424917545</v>
      </c>
    </row>
    <row r="3823" spans="2:2" ht="15.6">
      <c r="B3823" s="171">
        <v>-1742.2025751617127</v>
      </c>
    </row>
    <row r="3824" spans="2:2" ht="15.6">
      <c r="B3824" s="171">
        <v>-1603.2215678929933</v>
      </c>
    </row>
    <row r="3825" spans="2:2" ht="15.6">
      <c r="B3825" s="171">
        <v>-1956.6574316443625</v>
      </c>
    </row>
    <row r="3826" spans="2:2" ht="15.6">
      <c r="B3826" s="171">
        <v>-1000.4053810445039</v>
      </c>
    </row>
    <row r="3827" spans="2:2" ht="15.6">
      <c r="B3827" s="171">
        <v>-1588.2430441316428</v>
      </c>
    </row>
    <row r="3828" spans="2:2" ht="15.6">
      <c r="B3828" s="171">
        <v>-1707.2814414669317</v>
      </c>
    </row>
    <row r="3829" spans="2:2" ht="15.6">
      <c r="B3829" s="171">
        <v>-1061.8691953891689</v>
      </c>
    </row>
    <row r="3830" spans="2:2" ht="15.6">
      <c r="B3830" s="171">
        <v>-1682.0917805079093</v>
      </c>
    </row>
    <row r="3831" spans="2:2" ht="15.6">
      <c r="B3831" s="171">
        <v>-1846.8875947957813</v>
      </c>
    </row>
    <row r="3832" spans="2:2" ht="15.6">
      <c r="B3832" s="171">
        <v>-1470.42586364094</v>
      </c>
    </row>
    <row r="3833" spans="2:2" ht="15.6">
      <c r="B3833" s="171">
        <v>-2172.4976609651694</v>
      </c>
    </row>
    <row r="3834" spans="2:2" ht="15.6">
      <c r="B3834" s="171">
        <v>-1204.5280069183905</v>
      </c>
    </row>
    <row r="3835" spans="2:2" ht="15.6">
      <c r="B3835" s="171">
        <v>-2074.8871044088719</v>
      </c>
    </row>
    <row r="3836" spans="2:2" ht="15.6">
      <c r="B3836" s="171">
        <v>-1363.40581910426</v>
      </c>
    </row>
    <row r="3837" spans="2:2" ht="15.6">
      <c r="B3837" s="171">
        <v>-2574.7675735637122</v>
      </c>
    </row>
    <row r="3838" spans="2:2" ht="15.6">
      <c r="B3838" s="171">
        <v>-1397.7499957376313</v>
      </c>
    </row>
    <row r="3839" spans="2:2" ht="15.6">
      <c r="B3839" s="171">
        <v>-1934.0471123267598</v>
      </c>
    </row>
    <row r="3840" spans="2:2" ht="15.6">
      <c r="B3840" s="171">
        <v>-1588.5182938940052</v>
      </c>
    </row>
    <row r="3841" spans="2:2" ht="15.6">
      <c r="B3841" s="171">
        <v>-1313.629907530129</v>
      </c>
    </row>
    <row r="3842" spans="2:2" ht="15.6">
      <c r="B3842" s="171">
        <v>-2137.0403796777955</v>
      </c>
    </row>
    <row r="3843" spans="2:2" ht="15.6">
      <c r="B3843" s="171">
        <v>-1789.0006127801225</v>
      </c>
    </row>
    <row r="3844" spans="2:2" ht="15.6">
      <c r="B3844" s="171">
        <v>-1492.5333227442097</v>
      </c>
    </row>
    <row r="3845" spans="2:2" ht="15.6">
      <c r="B3845" s="171">
        <v>-1180.5586085367675</v>
      </c>
    </row>
    <row r="3846" spans="2:2" ht="15.6">
      <c r="B3846" s="171">
        <v>-1490.0734416930568</v>
      </c>
    </row>
    <row r="3847" spans="2:2" ht="15.6">
      <c r="B3847" s="171">
        <v>-1137.4445831862606</v>
      </c>
    </row>
    <row r="3848" spans="2:2" ht="15.6">
      <c r="B3848" s="171">
        <v>-2020.2120074100931</v>
      </c>
    </row>
    <row r="3849" spans="2:2" ht="15.6">
      <c r="B3849" s="171">
        <v>-1795.3688379276043</v>
      </c>
    </row>
    <row r="3850" spans="2:2" ht="15.6">
      <c r="B3850" s="171">
        <v>-1194.6848614374285</v>
      </c>
    </row>
    <row r="3851" spans="2:2" ht="15.6">
      <c r="B3851" s="171">
        <v>-2241.6544514731913</v>
      </c>
    </row>
    <row r="3852" spans="2:2" ht="15.6">
      <c r="B3852" s="171">
        <v>-1371.3542441098596</v>
      </c>
    </row>
    <row r="3853" spans="2:2" ht="15.6">
      <c r="B3853" s="171">
        <v>-1221.7086906980958</v>
      </c>
    </row>
    <row r="3854" spans="2:2" ht="15.6">
      <c r="B3854" s="171">
        <v>-1503.2522074643939</v>
      </c>
    </row>
    <row r="3855" spans="2:2" ht="15.6">
      <c r="B3855" s="171">
        <v>-1556.1941492244559</v>
      </c>
    </row>
    <row r="3856" spans="2:2" ht="15.6">
      <c r="B3856" s="171">
        <v>-1605.4003089588384</v>
      </c>
    </row>
    <row r="3857" spans="2:2" ht="15.6">
      <c r="B3857" s="171">
        <v>-1360.0967460864445</v>
      </c>
    </row>
    <row r="3858" spans="2:2" ht="15.6">
      <c r="B3858" s="171">
        <v>-1615.4789855147565</v>
      </c>
    </row>
    <row r="3859" spans="2:2" ht="15.6">
      <c r="B3859" s="171">
        <v>-2154.3528872732522</v>
      </c>
    </row>
    <row r="3860" spans="2:2" ht="15.6">
      <c r="B3860" s="171">
        <v>-1877.641794496511</v>
      </c>
    </row>
    <row r="3861" spans="2:2" ht="15.6">
      <c r="B3861" s="171">
        <v>-2077.2422679624397</v>
      </c>
    </row>
    <row r="3862" spans="2:2" ht="15.6">
      <c r="B3862" s="171">
        <v>-1928.7203668854468</v>
      </c>
    </row>
    <row r="3863" spans="2:2" ht="15.6">
      <c r="B3863" s="171">
        <v>-1495.1299799341091</v>
      </c>
    </row>
    <row r="3864" spans="2:2" ht="15.6">
      <c r="B3864" s="171">
        <v>-1300.6141524979084</v>
      </c>
    </row>
    <row r="3865" spans="2:2" ht="15.6">
      <c r="B3865" s="171">
        <v>-1332.7808490512384</v>
      </c>
    </row>
    <row r="3866" spans="2:2" ht="15.6">
      <c r="B3866" s="171">
        <v>-1127.4294529370909</v>
      </c>
    </row>
    <row r="3867" spans="2:2" ht="15.6">
      <c r="B3867" s="171">
        <v>-1353.2806718491752</v>
      </c>
    </row>
    <row r="3868" spans="2:2" ht="15.6">
      <c r="B3868" s="171">
        <v>-2720.7365089763694</v>
      </c>
    </row>
    <row r="3869" spans="2:2" ht="15.6">
      <c r="B3869" s="171">
        <v>-1493.9651673168426</v>
      </c>
    </row>
    <row r="3870" spans="2:2" ht="15.6">
      <c r="B3870" s="171">
        <v>-1913.5396344947767</v>
      </c>
    </row>
    <row r="3871" spans="2:2" ht="15.6">
      <c r="B3871" s="171">
        <v>-1537.7134477546206</v>
      </c>
    </row>
    <row r="3872" spans="2:2" ht="15.6">
      <c r="B3872" s="171">
        <v>-1746.3039151188</v>
      </c>
    </row>
    <row r="3873" spans="2:2" ht="15.6">
      <c r="B3873" s="171">
        <v>-1186.3284476941053</v>
      </c>
    </row>
    <row r="3874" spans="2:2" ht="15.6">
      <c r="B3874" s="171">
        <v>-1398.6253473788247</v>
      </c>
    </row>
    <row r="3875" spans="2:2" ht="15.6">
      <c r="B3875" s="171">
        <v>-1813.3378049849182</v>
      </c>
    </row>
    <row r="3876" spans="2:2" ht="15.6">
      <c r="B3876" s="171">
        <v>-1113.4046690603486</v>
      </c>
    </row>
    <row r="3877" spans="2:2" ht="15.6">
      <c r="B3877" s="171">
        <v>-2192.8175611212664</v>
      </c>
    </row>
    <row r="3878" spans="2:2" ht="15.6">
      <c r="B3878" s="171">
        <v>-1913.1047117015</v>
      </c>
    </row>
    <row r="3879" spans="2:2" ht="15.6">
      <c r="B3879" s="171">
        <v>-1700.17483558562</v>
      </c>
    </row>
    <row r="3880" spans="2:2" ht="15.6">
      <c r="B3880" s="171">
        <v>-1823.7452924853026</v>
      </c>
    </row>
    <row r="3881" spans="2:2" ht="15.6">
      <c r="B3881" s="171">
        <v>-1437.3084853209041</v>
      </c>
    </row>
    <row r="3882" spans="2:2" ht="15.6">
      <c r="B3882" s="171">
        <v>-2099.0504122155198</v>
      </c>
    </row>
    <row r="3883" spans="2:2" ht="15.6">
      <c r="B3883" s="171">
        <v>-1608.0105236960237</v>
      </c>
    </row>
    <row r="3884" spans="2:2" ht="15.6">
      <c r="B3884" s="171">
        <v>-1877.9102604520572</v>
      </c>
    </row>
    <row r="3885" spans="2:2" ht="15.6">
      <c r="B3885" s="171">
        <v>-1004.7609300998629</v>
      </c>
    </row>
    <row r="3886" spans="2:2" ht="15.6">
      <c r="B3886" s="171">
        <v>-1519.2358071606377</v>
      </c>
    </row>
    <row r="3887" spans="2:2" ht="15.6">
      <c r="B3887" s="171">
        <v>-1572.9739922505155</v>
      </c>
    </row>
    <row r="3888" spans="2:2" ht="15.6">
      <c r="B3888" s="171">
        <v>-1792.2519411501141</v>
      </c>
    </row>
    <row r="3889" spans="2:2" ht="15.6">
      <c r="B3889" s="171">
        <v>-2044.4490526619031</v>
      </c>
    </row>
    <row r="3890" spans="2:2" ht="15.6">
      <c r="B3890" s="171">
        <v>-2334.2760629213772</v>
      </c>
    </row>
    <row r="3891" spans="2:2" ht="15.6">
      <c r="B3891" s="171">
        <v>-1646.4228057721241</v>
      </c>
    </row>
    <row r="3892" spans="2:2" ht="15.6">
      <c r="B3892" s="171">
        <v>-2109.822129370682</v>
      </c>
    </row>
    <row r="3893" spans="2:2" ht="15.6">
      <c r="B3893" s="171">
        <v>-1571.6185952339601</v>
      </c>
    </row>
    <row r="3894" spans="2:2" ht="15.6">
      <c r="B3894" s="171">
        <v>-1104.6160999212079</v>
      </c>
    </row>
    <row r="3895" spans="2:2" ht="15.6">
      <c r="B3895" s="171">
        <v>-1119.9216939350911</v>
      </c>
    </row>
    <row r="3896" spans="2:2" ht="15.6">
      <c r="B3896" s="171">
        <v>-1329.6448440731435</v>
      </c>
    </row>
    <row r="3897" spans="2:2" ht="15.6">
      <c r="B3897" s="171">
        <v>-1193.6955549056497</v>
      </c>
    </row>
    <row r="3898" spans="2:2" ht="15.6">
      <c r="B3898" s="171">
        <v>-2721.8358739737414</v>
      </c>
    </row>
    <row r="3899" spans="2:2" ht="15.6">
      <c r="B3899" s="171">
        <v>-947.67205075754657</v>
      </c>
    </row>
    <row r="3900" spans="2:2" ht="15.6">
      <c r="B3900" s="171">
        <v>-1701.123260445718</v>
      </c>
    </row>
    <row r="3901" spans="2:2" ht="15.6">
      <c r="B3901" s="171">
        <v>-1958.7347449924814</v>
      </c>
    </row>
    <row r="3902" spans="2:2" ht="15.6">
      <c r="B3902" s="171">
        <v>-2079.3444810998817</v>
      </c>
    </row>
    <row r="3903" spans="2:2" ht="15.6">
      <c r="B3903" s="171">
        <v>-1510.9847582940233</v>
      </c>
    </row>
    <row r="3904" spans="2:2" ht="15.6">
      <c r="B3904" s="171">
        <v>-2175.3423992735716</v>
      </c>
    </row>
    <row r="3905" spans="2:2" ht="15.6">
      <c r="B3905" s="171">
        <v>-1382.0340302350132</v>
      </c>
    </row>
    <row r="3906" spans="2:2" ht="15.6">
      <c r="B3906" s="171">
        <v>-1800.0776072489216</v>
      </c>
    </row>
    <row r="3907" spans="2:2" ht="15.6">
      <c r="B3907" s="171">
        <v>-1618.2099384684175</v>
      </c>
    </row>
    <row r="3908" spans="2:2" ht="15.6">
      <c r="B3908" s="171">
        <v>-1828.3338233687384</v>
      </c>
    </row>
    <row r="3909" spans="2:2" ht="15.6">
      <c r="B3909" s="171">
        <v>-2195.4212374172907</v>
      </c>
    </row>
    <row r="3910" spans="2:2" ht="15.6">
      <c r="B3910" s="171">
        <v>-1267.6192484025553</v>
      </c>
    </row>
    <row r="3911" spans="2:2" ht="15.6">
      <c r="B3911" s="171">
        <v>-2676.884656844195</v>
      </c>
    </row>
    <row r="3912" spans="2:2" ht="15.6">
      <c r="B3912" s="171">
        <v>-2240.4760252356564</v>
      </c>
    </row>
    <row r="3913" spans="2:2" ht="15.6">
      <c r="B3913" s="171">
        <v>-1563.3459063314492</v>
      </c>
    </row>
    <row r="3914" spans="2:2" ht="15.6">
      <c r="B3914" s="171">
        <v>-1936.7818296679748</v>
      </c>
    </row>
    <row r="3915" spans="2:2" ht="15.6">
      <c r="B3915" s="171">
        <v>-3321.9842454024665</v>
      </c>
    </row>
    <row r="3916" spans="2:2" ht="15.6">
      <c r="B3916" s="171">
        <v>-1383.4597049520216</v>
      </c>
    </row>
    <row r="3917" spans="2:2" ht="15.6">
      <c r="B3917" s="171">
        <v>-1776.4350250261496</v>
      </c>
    </row>
    <row r="3918" spans="2:2" ht="15.6">
      <c r="B3918" s="171">
        <v>-2925.4601388362662</v>
      </c>
    </row>
    <row r="3919" spans="2:2" ht="15.6">
      <c r="B3919" s="171">
        <v>-2040.5820197801559</v>
      </c>
    </row>
    <row r="3920" spans="2:2" ht="15.6">
      <c r="B3920" s="171">
        <v>-2087.6229658452162</v>
      </c>
    </row>
    <row r="3921" spans="2:2" ht="15.6">
      <c r="B3921" s="171">
        <v>-1992.4989689463951</v>
      </c>
    </row>
    <row r="3922" spans="2:2" ht="15.6">
      <c r="B3922" s="171">
        <v>-2060.6295313236324</v>
      </c>
    </row>
    <row r="3923" spans="2:2" ht="15.6">
      <c r="B3923" s="171">
        <v>-1750.3616189997485</v>
      </c>
    </row>
    <row r="3924" spans="2:2" ht="15.6">
      <c r="B3924" s="171">
        <v>-2177.2325951583348</v>
      </c>
    </row>
    <row r="3925" spans="2:2" ht="15.6">
      <c r="B3925" s="171">
        <v>-1984.0812654904498</v>
      </c>
    </row>
    <row r="3926" spans="2:2" ht="15.6">
      <c r="B3926" s="171">
        <v>-1683.4703151915739</v>
      </c>
    </row>
    <row r="3927" spans="2:2" ht="15.6">
      <c r="B3927" s="171">
        <v>-674.9206722799513</v>
      </c>
    </row>
    <row r="3928" spans="2:2" ht="15.6">
      <c r="B3928" s="171">
        <v>-1739.0857474385971</v>
      </c>
    </row>
    <row r="3929" spans="2:2" ht="15.6">
      <c r="B3929" s="171">
        <v>-2295.8278220810416</v>
      </c>
    </row>
    <row r="3930" spans="2:2" ht="15.6">
      <c r="B3930" s="171">
        <v>-1186.6331729344643</v>
      </c>
    </row>
    <row r="3931" spans="2:2" ht="15.6">
      <c r="B3931" s="171">
        <v>-1525.3796683685835</v>
      </c>
    </row>
    <row r="3932" spans="2:2" ht="15.6">
      <c r="B3932" s="171">
        <v>-1623.9171758211178</v>
      </c>
    </row>
    <row r="3933" spans="2:2" ht="15.6">
      <c r="B3933" s="171">
        <v>-2246.9145255076919</v>
      </c>
    </row>
    <row r="3934" spans="2:2" ht="15.6">
      <c r="B3934" s="171">
        <v>-1925.6900136405247</v>
      </c>
    </row>
    <row r="3935" spans="2:2" ht="15.6">
      <c r="B3935" s="171">
        <v>-1731.1256505705346</v>
      </c>
    </row>
    <row r="3936" spans="2:2" ht="15.6">
      <c r="B3936" s="171">
        <v>-1412.7143930216721</v>
      </c>
    </row>
    <row r="3937" spans="2:2" ht="15.6">
      <c r="B3937" s="171">
        <v>-1984.1647751951857</v>
      </c>
    </row>
    <row r="3938" spans="2:2" ht="15.6">
      <c r="B3938" s="171">
        <v>-1148.1316276222938</v>
      </c>
    </row>
    <row r="3939" spans="2:2" ht="15.6">
      <c r="B3939" s="171">
        <v>-1399.0179817220665</v>
      </c>
    </row>
    <row r="3940" spans="2:2" ht="15.6">
      <c r="B3940" s="171">
        <v>-2122.0742569405202</v>
      </c>
    </row>
    <row r="3941" spans="2:2" ht="15.6">
      <c r="B3941" s="171">
        <v>-2474.3053799183449</v>
      </c>
    </row>
    <row r="3942" spans="2:2" ht="15.6">
      <c r="B3942" s="171">
        <v>-2069.1731959299</v>
      </c>
    </row>
    <row r="3943" spans="2:2" ht="15.6">
      <c r="B3943" s="171">
        <v>-1744.4828896496599</v>
      </c>
    </row>
    <row r="3944" spans="2:2" ht="15.6">
      <c r="B3944" s="171">
        <v>-1561.401734079132</v>
      </c>
    </row>
    <row r="3945" spans="2:2" ht="15.6">
      <c r="B3945" s="171">
        <v>-1720.6341115342598</v>
      </c>
    </row>
    <row r="3946" spans="2:2" ht="15.6">
      <c r="B3946" s="171">
        <v>-1402.4626543134691</v>
      </c>
    </row>
    <row r="3947" spans="2:2" ht="15.6">
      <c r="B3947" s="171">
        <v>-2187.6700485441652</v>
      </c>
    </row>
    <row r="3948" spans="2:2" ht="15.6">
      <c r="B3948" s="171">
        <v>-1437.7583969481095</v>
      </c>
    </row>
    <row r="3949" spans="2:2" ht="15.6">
      <c r="B3949" s="171">
        <v>-1972.4500772448505</v>
      </c>
    </row>
    <row r="3950" spans="2:2" ht="15.6">
      <c r="B3950" s="171">
        <v>-1447.760772730031</v>
      </c>
    </row>
    <row r="3951" spans="2:2" ht="15.6">
      <c r="B3951" s="171">
        <v>-1092.2834233083054</v>
      </c>
    </row>
    <row r="3952" spans="2:2" ht="15.6">
      <c r="B3952" s="171">
        <v>-1514.7365196241926</v>
      </c>
    </row>
    <row r="3953" spans="2:2" ht="15.6">
      <c r="B3953" s="171">
        <v>-1709.8186263013661</v>
      </c>
    </row>
    <row r="3954" spans="2:2" ht="15.6">
      <c r="B3954" s="171">
        <v>-1472.3351255253669</v>
      </c>
    </row>
    <row r="3955" spans="2:2" ht="15.6">
      <c r="B3955" s="171">
        <v>-1495.7016475912023</v>
      </c>
    </row>
    <row r="3956" spans="2:2" ht="15.6">
      <c r="B3956" s="171">
        <v>-1402.4835376593614</v>
      </c>
    </row>
    <row r="3957" spans="2:2" ht="15.6">
      <c r="B3957" s="171">
        <v>-1626.5980497763626</v>
      </c>
    </row>
    <row r="3958" spans="2:2" ht="15.6">
      <c r="B3958" s="171">
        <v>-1989.7620027295475</v>
      </c>
    </row>
    <row r="3959" spans="2:2" ht="15.6">
      <c r="B3959" s="171">
        <v>-1589.4660253564625</v>
      </c>
    </row>
    <row r="3960" spans="2:2" ht="15.6">
      <c r="B3960" s="171">
        <v>-2126.7130703246034</v>
      </c>
    </row>
    <row r="3961" spans="2:2" ht="15.6">
      <c r="B3961" s="171">
        <v>-1963.4731379218015</v>
      </c>
    </row>
    <row r="3962" spans="2:2" ht="15.6">
      <c r="B3962" s="171">
        <v>-1220.9340664894971</v>
      </c>
    </row>
    <row r="3963" spans="2:2" ht="15.6">
      <c r="B3963" s="171">
        <v>-2108.7984476928618</v>
      </c>
    </row>
    <row r="3964" spans="2:2" ht="15.6">
      <c r="B3964" s="171">
        <v>-2583.2387759001131</v>
      </c>
    </row>
    <row r="3965" spans="2:2" ht="15.6">
      <c r="B3965" s="171">
        <v>-1553.0307369012783</v>
      </c>
    </row>
    <row r="3966" spans="2:2" ht="15.6">
      <c r="B3966" s="171">
        <v>-1200.0249700600727</v>
      </c>
    </row>
    <row r="3967" spans="2:2" ht="15.6">
      <c r="B3967" s="171">
        <v>-1711.7533725660776</v>
      </c>
    </row>
    <row r="3968" spans="2:2" ht="15.6">
      <c r="B3968" s="171">
        <v>-1797.2000161809779</v>
      </c>
    </row>
    <row r="3969" spans="2:2" ht="15.6">
      <c r="B3969" s="171">
        <v>-2168.8376819279952</v>
      </c>
    </row>
    <row r="3970" spans="2:2" ht="15.6">
      <c r="B3970" s="171">
        <v>-1656.5899388971698</v>
      </c>
    </row>
    <row r="3971" spans="2:2" ht="15.6">
      <c r="B3971" s="171">
        <v>-1851.104955757718</v>
      </c>
    </row>
    <row r="3972" spans="2:2" ht="15.6">
      <c r="B3972" s="171">
        <v>-1079.2230138500151</v>
      </c>
    </row>
    <row r="3973" spans="2:2" ht="15.6">
      <c r="B3973" s="171">
        <v>-1289.1335394584253</v>
      </c>
    </row>
    <row r="3974" spans="2:2" ht="15.6">
      <c r="B3974" s="171">
        <v>-2379.4724104831184</v>
      </c>
    </row>
    <row r="3975" spans="2:2" ht="15.6">
      <c r="B3975" s="171">
        <v>-1136.9944424280152</v>
      </c>
    </row>
    <row r="3976" spans="2:2" ht="15.6">
      <c r="B3976" s="171">
        <v>-977.91428180027629</v>
      </c>
    </row>
    <row r="3977" spans="2:2" ht="15.6">
      <c r="B3977" s="171">
        <v>-1260.6117200746762</v>
      </c>
    </row>
    <row r="3978" spans="2:2" ht="15.6">
      <c r="B3978" s="171">
        <v>-1237.7757448227267</v>
      </c>
    </row>
    <row r="3979" spans="2:2" ht="15.6">
      <c r="B3979" s="171">
        <v>-1333.1415869657442</v>
      </c>
    </row>
    <row r="3980" spans="2:2" ht="15.6">
      <c r="B3980" s="171">
        <v>-1378.7754414268761</v>
      </c>
    </row>
    <row r="3981" spans="2:2" ht="15.6">
      <c r="B3981" s="171">
        <v>-2168.5552825152954</v>
      </c>
    </row>
    <row r="3982" spans="2:2" ht="15.6">
      <c r="B3982" s="171">
        <v>-815.89496534683371</v>
      </c>
    </row>
    <row r="3983" spans="2:2" ht="15.6">
      <c r="B3983" s="171">
        <v>-2088.8516399610085</v>
      </c>
    </row>
    <row r="3984" spans="2:2" ht="15.6">
      <c r="B3984" s="171">
        <v>-1081.4586172162747</v>
      </c>
    </row>
    <row r="3985" spans="2:2" ht="15.6">
      <c r="B3985" s="171">
        <v>-1128.5005463320792</v>
      </c>
    </row>
    <row r="3986" spans="2:2" ht="15.6">
      <c r="B3986" s="171">
        <v>-1222.1396353975781</v>
      </c>
    </row>
    <row r="3987" spans="2:2" ht="15.6">
      <c r="B3987" s="171">
        <v>-1494.403160586937</v>
      </c>
    </row>
    <row r="3988" spans="2:2" ht="15.6">
      <c r="B3988" s="171">
        <v>-1633.4229341612909</v>
      </c>
    </row>
    <row r="3989" spans="2:2" ht="15.6">
      <c r="B3989" s="171">
        <v>-1356.5530896834582</v>
      </c>
    </row>
    <row r="3990" spans="2:2" ht="15.6">
      <c r="B3990" s="171">
        <v>-1640.8993971424263</v>
      </c>
    </row>
    <row r="3991" spans="2:2" ht="15.6">
      <c r="B3991" s="171">
        <v>-1601.1425483473004</v>
      </c>
    </row>
    <row r="3992" spans="2:2" ht="15.6">
      <c r="B3992" s="171">
        <v>-987.671486747367</v>
      </c>
    </row>
    <row r="3993" spans="2:2" ht="15.6">
      <c r="B3993" s="171">
        <v>-1318.8436804869073</v>
      </c>
    </row>
    <row r="3994" spans="2:2" ht="15.6">
      <c r="B3994" s="171">
        <v>-921.84338614971637</v>
      </c>
    </row>
    <row r="3995" spans="2:2" ht="15.6">
      <c r="B3995" s="171">
        <v>-1636.8589795171483</v>
      </c>
    </row>
    <row r="3996" spans="2:2" ht="15.6">
      <c r="B3996" s="171">
        <v>-1478.488395827399</v>
      </c>
    </row>
    <row r="3997" spans="2:2" ht="15.6">
      <c r="B3997" s="171">
        <v>-1627.0631195131662</v>
      </c>
    </row>
    <row r="3998" spans="2:2" ht="15.6">
      <c r="B3998" s="171">
        <v>-1270.8431662819778</v>
      </c>
    </row>
    <row r="3999" spans="2:2" ht="15.6">
      <c r="B3999" s="171">
        <v>-893.09595585544753</v>
      </c>
    </row>
    <row r="4000" spans="2:2" ht="15.6">
      <c r="B4000" s="171">
        <v>-1669.6705071164333</v>
      </c>
    </row>
    <row r="4001" spans="2:2" ht="15.6">
      <c r="B4001" s="171">
        <v>-1547.4688596662484</v>
      </c>
    </row>
    <row r="4002" spans="2:2" ht="15.6">
      <c r="B4002" s="171">
        <v>-1334.9362330253755</v>
      </c>
    </row>
    <row r="4003" spans="2:2" ht="15.6">
      <c r="B4003" s="171">
        <v>-1237.847601449454</v>
      </c>
    </row>
    <row r="4004" spans="2:2" ht="15.6">
      <c r="B4004" s="171">
        <v>-1456.465481479891</v>
      </c>
    </row>
    <row r="4005" spans="2:2" ht="15.6">
      <c r="B4005" s="171">
        <v>-1529.0469817224366</v>
      </c>
    </row>
    <row r="4006" spans="2:2" ht="15.6">
      <c r="B4006" s="171">
        <v>-1329.5274464085803</v>
      </c>
    </row>
    <row r="4007" spans="2:2" ht="15.6">
      <c r="B4007" s="171">
        <v>-913.72752362225526</v>
      </c>
    </row>
    <row r="4008" spans="2:2" ht="15.6">
      <c r="B4008" s="171">
        <v>-1754.1224584689999</v>
      </c>
    </row>
    <row r="4009" spans="2:2" ht="15.6">
      <c r="B4009" s="171">
        <v>-1780.544974666388</v>
      </c>
    </row>
    <row r="4010" spans="2:2" ht="15.6">
      <c r="B4010" s="171">
        <v>-1984.9917758524603</v>
      </c>
    </row>
    <row r="4011" spans="2:2" ht="15.6">
      <c r="B4011" s="171">
        <v>-1619.9347566669671</v>
      </c>
    </row>
    <row r="4012" spans="2:2" ht="15.6">
      <c r="B4012" s="171">
        <v>-1343.2786546385073</v>
      </c>
    </row>
    <row r="4013" spans="2:2" ht="15.6">
      <c r="B4013" s="171">
        <v>-1448.582032815058</v>
      </c>
    </row>
    <row r="4014" spans="2:2" ht="15.6">
      <c r="B4014" s="171">
        <v>-740.57889576492892</v>
      </c>
    </row>
    <row r="4015" spans="2:2" ht="15.6">
      <c r="B4015" s="171">
        <v>-1660.819265354967</v>
      </c>
    </row>
    <row r="4016" spans="2:2" ht="15.6">
      <c r="B4016" s="171">
        <v>-2107.1972301035157</v>
      </c>
    </row>
    <row r="4017" spans="2:2" ht="15.6">
      <c r="B4017" s="171">
        <v>-1515.8178624182474</v>
      </c>
    </row>
    <row r="4018" spans="2:2" ht="15.6">
      <c r="B4018" s="171">
        <v>-936.80398172379796</v>
      </c>
    </row>
    <row r="4019" spans="2:2" ht="15.6">
      <c r="B4019" s="171">
        <v>-1320.0360270729261</v>
      </c>
    </row>
    <row r="4020" spans="2:2" ht="15.6">
      <c r="B4020" s="171">
        <v>-2582.7298789261181</v>
      </c>
    </row>
    <row r="4021" spans="2:2" ht="15.6">
      <c r="B4021" s="171">
        <v>-1702.9933167495951</v>
      </c>
    </row>
    <row r="4022" spans="2:2" ht="15.6">
      <c r="B4022" s="171">
        <v>-1300.8996877937459</v>
      </c>
    </row>
    <row r="4023" spans="2:2" ht="15.6">
      <c r="B4023" s="171">
        <v>-1894.1807263976311</v>
      </c>
    </row>
    <row r="4024" spans="2:2" ht="15.6">
      <c r="B4024" s="171">
        <v>-2071.0891659016852</v>
      </c>
    </row>
    <row r="4025" spans="2:2" ht="15.6">
      <c r="B4025" s="171">
        <v>-1441.4266058089881</v>
      </c>
    </row>
    <row r="4026" spans="2:2" ht="15.6">
      <c r="B4026" s="171">
        <v>-1486.544621549974</v>
      </c>
    </row>
    <row r="4027" spans="2:2" ht="15.6">
      <c r="B4027" s="171">
        <v>-1631.8642887958847</v>
      </c>
    </row>
    <row r="4028" spans="2:2" ht="15.6">
      <c r="B4028" s="171">
        <v>-1565.8019160266927</v>
      </c>
    </row>
    <row r="4029" spans="2:2" ht="15.6">
      <c r="B4029" s="171">
        <v>-1361.2310760107939</v>
      </c>
    </row>
    <row r="4030" spans="2:2" ht="15.6">
      <c r="B4030" s="171">
        <v>-1904.4509331838267</v>
      </c>
    </row>
    <row r="4031" spans="2:2" ht="15.6">
      <c r="B4031" s="171">
        <v>-1980.6269016806186</v>
      </c>
    </row>
    <row r="4032" spans="2:2" ht="15.6">
      <c r="B4032" s="171">
        <v>-1451.1469883329739</v>
      </c>
    </row>
    <row r="4033" spans="2:2" ht="15.6">
      <c r="B4033" s="171">
        <v>-1687.2789183418877</v>
      </c>
    </row>
    <row r="4034" spans="2:2" ht="15.6">
      <c r="B4034" s="171">
        <v>-920.07561185513453</v>
      </c>
    </row>
    <row r="4035" spans="2:2" ht="15.6">
      <c r="B4035" s="171">
        <v>-1805.7201266676423</v>
      </c>
    </row>
    <row r="4036" spans="2:2" ht="15.6">
      <c r="B4036" s="171">
        <v>-2054.2401607421975</v>
      </c>
    </row>
    <row r="4037" spans="2:2" ht="15.6">
      <c r="B4037" s="171">
        <v>-1088.1155536742178</v>
      </c>
    </row>
    <row r="4038" spans="2:2" ht="15.6">
      <c r="B4038" s="171">
        <v>-1635.8456831828353</v>
      </c>
    </row>
    <row r="4039" spans="2:2" ht="15.6">
      <c r="B4039" s="171">
        <v>-865.27687797680937</v>
      </c>
    </row>
    <row r="4040" spans="2:2" ht="15.6">
      <c r="B4040" s="171">
        <v>-1238.3932329112206</v>
      </c>
    </row>
    <row r="4041" spans="2:2" ht="15.6">
      <c r="B4041" s="171">
        <v>-1229.2848083108572</v>
      </c>
    </row>
    <row r="4042" spans="2:2" ht="15.6">
      <c r="B4042" s="171">
        <v>-1961.4620125507049</v>
      </c>
    </row>
    <row r="4043" spans="2:2" ht="15.6">
      <c r="B4043" s="171">
        <v>-1240.8558221673809</v>
      </c>
    </row>
    <row r="4044" spans="2:2" ht="15.6">
      <c r="B4044" s="171">
        <v>-1446.3383802585272</v>
      </c>
    </row>
    <row r="4045" spans="2:2" ht="15.6">
      <c r="B4045" s="171">
        <v>-1777.1009914094557</v>
      </c>
    </row>
    <row r="4046" spans="2:2" ht="15.6">
      <c r="B4046" s="171">
        <v>-2098.6559758652566</v>
      </c>
    </row>
    <row r="4047" spans="2:2" ht="15.6">
      <c r="B4047" s="171">
        <v>-1390.5265715139622</v>
      </c>
    </row>
    <row r="4048" spans="2:2" ht="15.6">
      <c r="B4048" s="171">
        <v>-1651.5943361321686</v>
      </c>
    </row>
    <row r="4049" spans="2:2" ht="15.6">
      <c r="B4049" s="171">
        <v>-1430.6929367561725</v>
      </c>
    </row>
    <row r="4050" spans="2:2" ht="15.6">
      <c r="B4050" s="171">
        <v>-1810.7286462712493</v>
      </c>
    </row>
    <row r="4051" spans="2:2" ht="15.6">
      <c r="B4051" s="171">
        <v>-1494.2184496993464</v>
      </c>
    </row>
    <row r="4052" spans="2:2" ht="15.6">
      <c r="B4052" s="171">
        <v>-1547.6438414304698</v>
      </c>
    </row>
    <row r="4053" spans="2:2" ht="15.6">
      <c r="B4053" s="171">
        <v>-1673.4503294562517</v>
      </c>
    </row>
    <row r="4054" spans="2:2" ht="15.6">
      <c r="B4054" s="171">
        <v>-2209.7741913601353</v>
      </c>
    </row>
    <row r="4055" spans="2:2" ht="15.6">
      <c r="B4055" s="171">
        <v>-1516.1527232156454</v>
      </c>
    </row>
    <row r="4056" spans="2:2" ht="15.6">
      <c r="B4056" s="171">
        <v>-1487.2397696338562</v>
      </c>
    </row>
    <row r="4057" spans="2:2" ht="15.6">
      <c r="B4057" s="171">
        <v>-1538.1952257239111</v>
      </c>
    </row>
    <row r="4058" spans="2:2" ht="15.6">
      <c r="B4058" s="171">
        <v>-1507.0034413361295</v>
      </c>
    </row>
    <row r="4059" spans="2:2" ht="15.6">
      <c r="B4059" s="171">
        <v>-946.54576233293051</v>
      </c>
    </row>
    <row r="4060" spans="2:2" ht="15.6">
      <c r="B4060" s="171">
        <v>-1860.1651460772248</v>
      </c>
    </row>
    <row r="4061" spans="2:2" ht="15.6">
      <c r="B4061" s="171">
        <v>-1691.6815200555693</v>
      </c>
    </row>
    <row r="4062" spans="2:2" ht="15.6">
      <c r="B4062" s="171">
        <v>-1817.4783566601493</v>
      </c>
    </row>
    <row r="4063" spans="2:2" ht="15.6">
      <c r="B4063" s="171">
        <v>-1577.0715635388517</v>
      </c>
    </row>
    <row r="4064" spans="2:2" ht="15.6">
      <c r="B4064" s="171">
        <v>-1415.133620834451</v>
      </c>
    </row>
    <row r="4065" spans="2:2" ht="15.6">
      <c r="B4065" s="171">
        <v>-1712.258331823801</v>
      </c>
    </row>
    <row r="4066" spans="2:2" ht="15.6">
      <c r="B4066" s="171">
        <v>-2580.773145857444</v>
      </c>
    </row>
    <row r="4067" spans="2:2" ht="15.6">
      <c r="B4067" s="171">
        <v>-1052.0015917852133</v>
      </c>
    </row>
    <row r="4068" spans="2:2" ht="15.6">
      <c r="B4068" s="171">
        <v>-1725.3259534457316</v>
      </c>
    </row>
    <row r="4069" spans="2:2" ht="15.6">
      <c r="B4069" s="171">
        <v>-1084.8863914576366</v>
      </c>
    </row>
    <row r="4070" spans="2:2" ht="15.6">
      <c r="B4070" s="171">
        <v>-1181.9826872030012</v>
      </c>
    </row>
    <row r="4071" spans="2:2" ht="15.6">
      <c r="B4071" s="171">
        <v>-1436.0263068410879</v>
      </c>
    </row>
    <row r="4072" spans="2:2" ht="15.6">
      <c r="B4072" s="171">
        <v>-1874.3760905421607</v>
      </c>
    </row>
    <row r="4073" spans="2:2" ht="15.6">
      <c r="B4073" s="171">
        <v>-927.09240384685745</v>
      </c>
    </row>
    <row r="4074" spans="2:2" ht="15.6">
      <c r="B4074" s="171">
        <v>-1369.1658662485615</v>
      </c>
    </row>
    <row r="4075" spans="2:2" ht="15.6">
      <c r="B4075" s="171">
        <v>-2277.6559576995423</v>
      </c>
    </row>
    <row r="4076" spans="2:2" ht="15.6">
      <c r="B4076" s="171">
        <v>-1411.1450974495174</v>
      </c>
    </row>
    <row r="4077" spans="2:2" ht="15.6">
      <c r="B4077" s="171">
        <v>-1233.2104175332274</v>
      </c>
    </row>
    <row r="4078" spans="2:2" ht="15.6">
      <c r="B4078" s="171">
        <v>-2179.8109430142213</v>
      </c>
    </row>
    <row r="4079" spans="2:2" ht="15.6">
      <c r="B4079" s="171">
        <v>-1192.4314853625722</v>
      </c>
    </row>
    <row r="4080" spans="2:2" ht="15.6">
      <c r="B4080" s="171">
        <v>-1594.3185161888161</v>
      </c>
    </row>
    <row r="4081" spans="2:2" ht="15.6">
      <c r="B4081" s="171">
        <v>-874.10827043460438</v>
      </c>
    </row>
    <row r="4082" spans="2:2" ht="15.6">
      <c r="B4082" s="171">
        <v>-1798.7563946175426</v>
      </c>
    </row>
    <row r="4083" spans="2:2" ht="15.6">
      <c r="B4083" s="171">
        <v>-1247.4167422216344</v>
      </c>
    </row>
    <row r="4084" spans="2:2" ht="15.6">
      <c r="B4084" s="171">
        <v>-1599.118001812687</v>
      </c>
    </row>
    <row r="4085" spans="2:2" ht="15.6">
      <c r="B4085" s="171">
        <v>-1082.04218919711</v>
      </c>
    </row>
    <row r="4086" spans="2:2" ht="15.6">
      <c r="B4086" s="171">
        <v>-1338.8949372649508</v>
      </c>
    </row>
    <row r="4087" spans="2:2" ht="15.6">
      <c r="B4087" s="171">
        <v>-1471.3324143598977</v>
      </c>
    </row>
    <row r="4088" spans="2:2" ht="15.6">
      <c r="B4088" s="171">
        <v>-1617.6249052680978</v>
      </c>
    </row>
    <row r="4089" spans="2:2" ht="15.6">
      <c r="B4089" s="171">
        <v>-976.06044584724441</v>
      </c>
    </row>
    <row r="4090" spans="2:2" ht="15.6">
      <c r="B4090" s="171">
        <v>-728.90793167580898</v>
      </c>
    </row>
    <row r="4091" spans="2:2" ht="15.6">
      <c r="B4091" s="171">
        <v>-2226.4949780317552</v>
      </c>
    </row>
    <row r="4092" spans="2:2" ht="15.6">
      <c r="B4092" s="171">
        <v>-2072.8434511030837</v>
      </c>
    </row>
    <row r="4093" spans="2:2" ht="15.6">
      <c r="B4093" s="171">
        <v>-1609.9459902511032</v>
      </c>
    </row>
    <row r="4094" spans="2:2" ht="15.6">
      <c r="B4094" s="171">
        <v>-1013.0967891428793</v>
      </c>
    </row>
    <row r="4095" spans="2:2" ht="15.6">
      <c r="B4095" s="171">
        <v>-1967.5928335076601</v>
      </c>
    </row>
    <row r="4096" spans="2:2" ht="15.6">
      <c r="B4096" s="171">
        <v>-1412.1855621741622</v>
      </c>
    </row>
    <row r="4097" spans="2:2" ht="15.6">
      <c r="B4097" s="171">
        <v>-1602.5768239350973</v>
      </c>
    </row>
    <row r="4098" spans="2:2" ht="15.6">
      <c r="B4098" s="171">
        <v>-1476.073457457238</v>
      </c>
    </row>
    <row r="4099" spans="2:2" ht="15.6">
      <c r="B4099" s="171">
        <v>-2011.4425103031822</v>
      </c>
    </row>
    <row r="4100" spans="2:2" ht="15.6">
      <c r="B4100" s="171">
        <v>-1614.7666833648727</v>
      </c>
    </row>
    <row r="4101" spans="2:2" ht="15.6">
      <c r="B4101" s="171">
        <v>-1246.1264939184259</v>
      </c>
    </row>
    <row r="4102" spans="2:2" ht="15.6">
      <c r="B4102" s="171">
        <v>-1783.1780334289488</v>
      </c>
    </row>
    <row r="4103" spans="2:2" ht="15.6">
      <c r="B4103" s="171">
        <v>-1434.3585155987446</v>
      </c>
    </row>
    <row r="4104" spans="2:2" ht="15.6">
      <c r="B4104" s="171">
        <v>-1413.4850185003472</v>
      </c>
    </row>
    <row r="4105" spans="2:2" ht="15.6">
      <c r="B4105" s="171">
        <v>-1230.8925371674159</v>
      </c>
    </row>
    <row r="4106" spans="2:2" ht="15.6">
      <c r="B4106" s="171">
        <v>-1320.7365135262355</v>
      </c>
    </row>
    <row r="4107" spans="2:2" ht="15.6">
      <c r="B4107" s="171">
        <v>-1745.0515687923066</v>
      </c>
    </row>
    <row r="4108" spans="2:2" ht="15.6">
      <c r="B4108" s="171">
        <v>-1402.0368869147724</v>
      </c>
    </row>
    <row r="4109" spans="2:2" ht="15.6">
      <c r="B4109" s="171">
        <v>-2091.0931171357197</v>
      </c>
    </row>
    <row r="4110" spans="2:2" ht="15.6">
      <c r="B4110" s="171">
        <v>-1767.7681345563742</v>
      </c>
    </row>
    <row r="4111" spans="2:2" ht="15.6">
      <c r="B4111" s="171">
        <v>-1400.5750746309127</v>
      </c>
    </row>
    <row r="4112" spans="2:2" ht="15.6">
      <c r="B4112" s="171">
        <v>-1603.0524809901835</v>
      </c>
    </row>
    <row r="4113" spans="2:2" ht="15.6">
      <c r="B4113" s="171">
        <v>-1413.3083304109184</v>
      </c>
    </row>
    <row r="4114" spans="2:2" ht="15.6">
      <c r="B4114" s="171">
        <v>-1972.1963738894506</v>
      </c>
    </row>
    <row r="4115" spans="2:2" ht="15.6">
      <c r="B4115" s="171">
        <v>-1341.8671112200909</v>
      </c>
    </row>
    <row r="4116" spans="2:2" ht="15.6">
      <c r="B4116" s="171">
        <v>-1465.2335857009402</v>
      </c>
    </row>
    <row r="4117" spans="2:2" ht="15.6">
      <c r="B4117" s="171">
        <v>-2011.4136486648326</v>
      </c>
    </row>
    <row r="4118" spans="2:2" ht="15.6">
      <c r="B4118" s="171">
        <v>-1906.70329623053</v>
      </c>
    </row>
    <row r="4119" spans="2:2" ht="15.6">
      <c r="B4119" s="171">
        <v>-1485.0542013580434</v>
      </c>
    </row>
    <row r="4120" spans="2:2" ht="15.6">
      <c r="B4120" s="171">
        <v>-1708.7515266090952</v>
      </c>
    </row>
    <row r="4121" spans="2:2" ht="15.6">
      <c r="B4121" s="171">
        <v>-2475.5113280372884</v>
      </c>
    </row>
    <row r="4122" spans="2:2" ht="15.6">
      <c r="B4122" s="171">
        <v>-1490.8821169747903</v>
      </c>
    </row>
    <row r="4123" spans="2:2" ht="15.6">
      <c r="B4123" s="171">
        <v>-989.27134539910492</v>
      </c>
    </row>
    <row r="4124" spans="2:2" ht="15.6">
      <c r="B4124" s="171">
        <v>-1417.5764077128015</v>
      </c>
    </row>
    <row r="4125" spans="2:2" ht="15.6">
      <c r="B4125" s="171">
        <v>-1928.6056127258362</v>
      </c>
    </row>
    <row r="4126" spans="2:2" ht="15.6">
      <c r="B4126" s="171">
        <v>-1384.7024564365397</v>
      </c>
    </row>
    <row r="4127" spans="2:2" ht="15.6">
      <c r="B4127" s="171">
        <v>-1333.1798457694417</v>
      </c>
    </row>
    <row r="4128" spans="2:2" ht="15.6">
      <c r="B4128" s="171">
        <v>-1403.7012459158659</v>
      </c>
    </row>
    <row r="4129" spans="2:2" ht="15.6">
      <c r="B4129" s="171">
        <v>-1886.0292925640942</v>
      </c>
    </row>
    <row r="4130" spans="2:2" ht="15.6">
      <c r="B4130" s="171">
        <v>-1645.9717666880399</v>
      </c>
    </row>
    <row r="4131" spans="2:2" ht="15.6">
      <c r="B4131" s="171">
        <v>-1565.2534624586049</v>
      </c>
    </row>
    <row r="4132" spans="2:2" ht="15.6">
      <c r="B4132" s="171">
        <v>-1667.8764315824224</v>
      </c>
    </row>
    <row r="4133" spans="2:2" ht="15.6">
      <c r="B4133" s="171">
        <v>-1183.3324807995057</v>
      </c>
    </row>
    <row r="4134" spans="2:2" ht="15.6">
      <c r="B4134" s="171">
        <v>-1348.4790825749519</v>
      </c>
    </row>
    <row r="4135" spans="2:2" ht="15.6">
      <c r="B4135" s="171">
        <v>-1343.6848472857198</v>
      </c>
    </row>
    <row r="4136" spans="2:2" ht="15.6">
      <c r="B4136" s="171">
        <v>-1873.1780383781015</v>
      </c>
    </row>
    <row r="4137" spans="2:2" ht="15.6">
      <c r="B4137" s="171">
        <v>-895.98768448815997</v>
      </c>
    </row>
    <row r="4138" spans="2:2" ht="15.6">
      <c r="B4138" s="171">
        <v>-1765.3545381662652</v>
      </c>
    </row>
    <row r="4139" spans="2:2" ht="15.6">
      <c r="B4139" s="171">
        <v>-1425.9550968224307</v>
      </c>
    </row>
    <row r="4140" spans="2:2" ht="15.6">
      <c r="B4140" s="171">
        <v>-902.72423496894976</v>
      </c>
    </row>
    <row r="4141" spans="2:2" ht="15.6">
      <c r="B4141" s="171">
        <v>-1825.0979554936973</v>
      </c>
    </row>
    <row r="4142" spans="2:2" ht="15.6">
      <c r="B4142" s="171">
        <v>-1837.340095172025</v>
      </c>
    </row>
    <row r="4143" spans="2:2" ht="15.6">
      <c r="B4143" s="171">
        <v>-1979.8184488417633</v>
      </c>
    </row>
    <row r="4144" spans="2:2" ht="15.6">
      <c r="B4144" s="171">
        <v>-1197.5950117939321</v>
      </c>
    </row>
    <row r="4145" spans="2:2" ht="15.6">
      <c r="B4145" s="171">
        <v>-1731.7291534335068</v>
      </c>
    </row>
    <row r="4146" spans="2:2" ht="15.6">
      <c r="B4146" s="171">
        <v>-1579.6981168479178</v>
      </c>
    </row>
    <row r="4147" spans="2:2" ht="15.6">
      <c r="B4147" s="171">
        <v>-2486.6832823788818</v>
      </c>
    </row>
    <row r="4148" spans="2:2" ht="15.6">
      <c r="B4148" s="171">
        <v>-1860.026113505829</v>
      </c>
    </row>
    <row r="4149" spans="2:2" ht="15.6">
      <c r="B4149" s="171">
        <v>-1493.0351178116107</v>
      </c>
    </row>
    <row r="4150" spans="2:2" ht="15.6">
      <c r="B4150" s="171">
        <v>-2696.5658104584863</v>
      </c>
    </row>
    <row r="4151" spans="2:2" ht="15.6">
      <c r="B4151" s="171">
        <v>-1189.2159442162256</v>
      </c>
    </row>
    <row r="4152" spans="2:2" ht="15.6">
      <c r="B4152" s="171">
        <v>-1578.6205348322303</v>
      </c>
    </row>
    <row r="4153" spans="2:2" ht="15.6">
      <c r="B4153" s="171">
        <v>-1547.734779916455</v>
      </c>
    </row>
    <row r="4154" spans="2:2" ht="15.6">
      <c r="B4154" s="171">
        <v>-1251.5337823107691</v>
      </c>
    </row>
    <row r="4155" spans="2:2" ht="15.6">
      <c r="B4155" s="171">
        <v>-1813.7782987774626</v>
      </c>
    </row>
    <row r="4156" spans="2:2" ht="15.6">
      <c r="B4156" s="171">
        <v>-1395.2457365003395</v>
      </c>
    </row>
    <row r="4157" spans="2:2" ht="15.6">
      <c r="B4157" s="171">
        <v>-1198.6790874996439</v>
      </c>
    </row>
    <row r="4158" spans="2:2" ht="15.6">
      <c r="B4158" s="171">
        <v>-1608.6871808470926</v>
      </c>
    </row>
    <row r="4159" spans="2:2" ht="15.6">
      <c r="B4159" s="171">
        <v>-1644.8400625125105</v>
      </c>
    </row>
    <row r="4160" spans="2:2" ht="15.6">
      <c r="B4160" s="171">
        <v>-1265.5622285318957</v>
      </c>
    </row>
    <row r="4161" spans="2:2" ht="15.6">
      <c r="B4161" s="171">
        <v>-1712.705147163218</v>
      </c>
    </row>
    <row r="4162" spans="2:2" ht="15.6">
      <c r="B4162" s="171">
        <v>-1377.1145730323101</v>
      </c>
    </row>
    <row r="4163" spans="2:2" ht="15.6">
      <c r="B4163" s="171">
        <v>-1610.9470603021655</v>
      </c>
    </row>
    <row r="4164" spans="2:2" ht="15.6">
      <c r="B4164" s="171">
        <v>-1229.416672492212</v>
      </c>
    </row>
    <row r="4165" spans="2:2" ht="15.6">
      <c r="B4165" s="171">
        <v>-1369.5339147868895</v>
      </c>
    </row>
    <row r="4166" spans="2:2" ht="15.6">
      <c r="B4166" s="171">
        <v>-1494.7867503790192</v>
      </c>
    </row>
    <row r="4167" spans="2:2" ht="15.6">
      <c r="B4167" s="171">
        <v>-2383.9315970528783</v>
      </c>
    </row>
    <row r="4168" spans="2:2" ht="15.6">
      <c r="B4168" s="171">
        <v>-1970.5463995547429</v>
      </c>
    </row>
    <row r="4169" spans="2:2" ht="15.6">
      <c r="B4169" s="171">
        <v>-1023.4920215188939</v>
      </c>
    </row>
    <row r="4170" spans="2:2" ht="15.6">
      <c r="B4170" s="171">
        <v>-1914.3575377352745</v>
      </c>
    </row>
    <row r="4171" spans="2:2" ht="15.6">
      <c r="B4171" s="171">
        <v>-1053.674445455453</v>
      </c>
    </row>
    <row r="4172" spans="2:2" ht="15.6">
      <c r="B4172" s="171">
        <v>-1789.6109960962954</v>
      </c>
    </row>
    <row r="4173" spans="2:2" ht="15.6">
      <c r="B4173" s="171">
        <v>-1846.481887378927</v>
      </c>
    </row>
    <row r="4174" spans="2:2" ht="15.6">
      <c r="B4174" s="171">
        <v>-1486.7075443585434</v>
      </c>
    </row>
    <row r="4175" spans="2:2" ht="15.6">
      <c r="B4175" s="171">
        <v>-1585.0534359303538</v>
      </c>
    </row>
    <row r="4176" spans="2:2" ht="15.6">
      <c r="B4176" s="171">
        <v>-2314.9781012656417</v>
      </c>
    </row>
    <row r="4177" spans="2:2" ht="15.6">
      <c r="B4177" s="171">
        <v>-1695.9766509597869</v>
      </c>
    </row>
    <row r="4178" spans="2:2" ht="15.6">
      <c r="B4178" s="171">
        <v>-1806.6019680512104</v>
      </c>
    </row>
    <row r="4179" spans="2:2" ht="15.6">
      <c r="B4179" s="171">
        <v>-1589.6061904146047</v>
      </c>
    </row>
    <row r="4180" spans="2:2" ht="15.6">
      <c r="B4180" s="171">
        <v>-952.02180394958157</v>
      </c>
    </row>
    <row r="4181" spans="2:2" ht="15.6">
      <c r="B4181" s="171">
        <v>-540.26113212952191</v>
      </c>
    </row>
    <row r="4182" spans="2:2" ht="15.6">
      <c r="B4182" s="171">
        <v>-1840.5114361462574</v>
      </c>
    </row>
    <row r="4183" spans="2:2" ht="15.6">
      <c r="B4183" s="171">
        <v>-1151.8037668062093</v>
      </c>
    </row>
    <row r="4184" spans="2:2" ht="15.6">
      <c r="B4184" s="171">
        <v>-1493.9750287839929</v>
      </c>
    </row>
    <row r="4185" spans="2:2" ht="15.6">
      <c r="B4185" s="171">
        <v>-2251.7648637709453</v>
      </c>
    </row>
    <row r="4186" spans="2:2" ht="15.6">
      <c r="B4186" s="171">
        <v>-863.37349533500992</v>
      </c>
    </row>
    <row r="4187" spans="2:2" ht="15.6">
      <c r="B4187" s="171">
        <v>-1352.8750126602222</v>
      </c>
    </row>
    <row r="4188" spans="2:2" ht="15.6">
      <c r="B4188" s="171">
        <v>-1645.1656796249649</v>
      </c>
    </row>
    <row r="4189" spans="2:2" ht="15.6">
      <c r="B4189" s="171">
        <v>-1961.1155630978415</v>
      </c>
    </row>
    <row r="4190" spans="2:2" ht="15.6">
      <c r="B4190" s="171">
        <v>-1888.158261052436</v>
      </c>
    </row>
    <row r="4191" spans="2:2" ht="15.6">
      <c r="B4191" s="171">
        <v>-1395.8366192515866</v>
      </c>
    </row>
    <row r="4192" spans="2:2" ht="15.6">
      <c r="B4192" s="171">
        <v>-1711.2379466394807</v>
      </c>
    </row>
    <row r="4193" spans="2:2" ht="15.6">
      <c r="B4193" s="171">
        <v>-465.09985020011061</v>
      </c>
    </row>
    <row r="4194" spans="2:2" ht="15.6">
      <c r="B4194" s="171">
        <v>-1098.7410434110527</v>
      </c>
    </row>
    <row r="4195" spans="2:2" ht="15.6">
      <c r="B4195" s="171">
        <v>-2191.8590179369353</v>
      </c>
    </row>
    <row r="4196" spans="2:2" ht="15.6">
      <c r="B4196" s="171">
        <v>-1579.969132300417</v>
      </c>
    </row>
    <row r="4197" spans="2:2" ht="15.6">
      <c r="B4197" s="171">
        <v>-1402.2563179153503</v>
      </c>
    </row>
    <row r="4198" spans="2:2" ht="15.6">
      <c r="B4198" s="171">
        <v>-1327.9508505568506</v>
      </c>
    </row>
    <row r="4199" spans="2:2" ht="15.6">
      <c r="B4199" s="171">
        <v>-1058.8745470610797</v>
      </c>
    </row>
    <row r="4200" spans="2:2" ht="15.6">
      <c r="B4200" s="171">
        <v>-1248.4759435309297</v>
      </c>
    </row>
    <row r="4201" spans="2:2" ht="15.6">
      <c r="B4201" s="171">
        <v>-2163.8015224562569</v>
      </c>
    </row>
    <row r="4202" spans="2:2" ht="15.6">
      <c r="B4202" s="171">
        <v>-1322.1574891209598</v>
      </c>
    </row>
    <row r="4203" spans="2:2" ht="15.6">
      <c r="B4203" s="171">
        <v>-1533.533239340617</v>
      </c>
    </row>
    <row r="4204" spans="2:2" ht="15.6">
      <c r="B4204" s="171">
        <v>-1619.1549397935144</v>
      </c>
    </row>
    <row r="4205" spans="2:2" ht="15.6">
      <c r="B4205" s="171">
        <v>-1362.7093514371754</v>
      </c>
    </row>
    <row r="4206" spans="2:2" ht="15.6">
      <c r="B4206" s="171">
        <v>-2203.5100963876962</v>
      </c>
    </row>
    <row r="4207" spans="2:2" ht="15.6">
      <c r="B4207" s="171">
        <v>-1497.8200149042937</v>
      </c>
    </row>
    <row r="4208" spans="2:2" ht="15.6">
      <c r="B4208" s="171">
        <v>-1404.6554875634763</v>
      </c>
    </row>
    <row r="4209" spans="2:2" ht="15.6">
      <c r="B4209" s="171">
        <v>-1963.1447105107645</v>
      </c>
    </row>
    <row r="4210" spans="2:2" ht="15.6">
      <c r="B4210" s="171">
        <v>-1313.6221880297337</v>
      </c>
    </row>
    <row r="4211" spans="2:2" ht="15.6">
      <c r="B4211" s="171">
        <v>-1551.0138242382893</v>
      </c>
    </row>
    <row r="4212" spans="2:2" ht="15.6">
      <c r="B4212" s="171">
        <v>-1946.115563859456</v>
      </c>
    </row>
    <row r="4213" spans="2:2" ht="15.6">
      <c r="B4213" s="171">
        <v>-1368.4960547629785</v>
      </c>
    </row>
    <row r="4214" spans="2:2" ht="15.6">
      <c r="B4214" s="171">
        <v>-2019.6421117297316</v>
      </c>
    </row>
    <row r="4215" spans="2:2" ht="15.6">
      <c r="B4215" s="171">
        <v>-1806.6817642333922</v>
      </c>
    </row>
    <row r="4216" spans="2:2" ht="15.6">
      <c r="B4216" s="171">
        <v>-1309.1248173398444</v>
      </c>
    </row>
    <row r="4217" spans="2:2" ht="15.6">
      <c r="B4217" s="171">
        <v>-1309.8816512627575</v>
      </c>
    </row>
    <row r="4218" spans="2:2" ht="15.6">
      <c r="B4218" s="171">
        <v>-1199.2381246941375</v>
      </c>
    </row>
    <row r="4219" spans="2:2" ht="15.6">
      <c r="B4219" s="171">
        <v>-1398.0881832382765</v>
      </c>
    </row>
    <row r="4220" spans="2:2" ht="15.6">
      <c r="B4220" s="171">
        <v>-1326.2107563323316</v>
      </c>
    </row>
    <row r="4221" spans="2:2" ht="15.6">
      <c r="B4221" s="171">
        <v>-1169.2190602634244</v>
      </c>
    </row>
    <row r="4222" spans="2:2" ht="15.6">
      <c r="B4222" s="171">
        <v>-1680.8593007541444</v>
      </c>
    </row>
    <row r="4223" spans="2:2" ht="15.6">
      <c r="B4223" s="171">
        <v>-2158.9860497517934</v>
      </c>
    </row>
    <row r="4224" spans="2:2" ht="15.6">
      <c r="B4224" s="171">
        <v>-1912.9557265564113</v>
      </c>
    </row>
    <row r="4225" spans="2:2" ht="15.6">
      <c r="B4225" s="171">
        <v>-1199.6983158981934</v>
      </c>
    </row>
    <row r="4226" spans="2:2" ht="15.6">
      <c r="B4226" s="171">
        <v>-2236.0321112931456</v>
      </c>
    </row>
    <row r="4227" spans="2:2" ht="15.6">
      <c r="B4227" s="171">
        <v>-2248.990647336404</v>
      </c>
    </row>
    <row r="4228" spans="2:2" ht="15.6">
      <c r="B4228" s="171">
        <v>-1341.8041013756515</v>
      </c>
    </row>
    <row r="4229" spans="2:2" ht="15.6">
      <c r="B4229" s="171">
        <v>-1408.9728585484504</v>
      </c>
    </row>
    <row r="4230" spans="2:2" ht="15.6">
      <c r="B4230" s="171">
        <v>-1141.1752336919019</v>
      </c>
    </row>
    <row r="4231" spans="2:2" ht="15.6">
      <c r="B4231" s="171">
        <v>-1533.2472798180472</v>
      </c>
    </row>
    <row r="4232" spans="2:2" ht="15.6">
      <c r="B4232" s="171">
        <v>-1426.9506058227871</v>
      </c>
    </row>
    <row r="4233" spans="2:2" ht="15.6">
      <c r="B4233" s="171">
        <v>-1335.6819565801472</v>
      </c>
    </row>
    <row r="4234" spans="2:2" ht="15.6">
      <c r="B4234" s="171">
        <v>-1417.5240422930046</v>
      </c>
    </row>
    <row r="4235" spans="2:2" ht="15.6">
      <c r="B4235" s="171">
        <v>-2207.6432991997071</v>
      </c>
    </row>
    <row r="4236" spans="2:2" ht="15.6">
      <c r="B4236" s="171">
        <v>-1656.7766513343554</v>
      </c>
    </row>
    <row r="4237" spans="2:2" ht="15.6">
      <c r="B4237" s="171">
        <v>-1536.0408875853511</v>
      </c>
    </row>
    <row r="4238" spans="2:2" ht="15.6">
      <c r="B4238" s="171">
        <v>-1333.8579472960703</v>
      </c>
    </row>
    <row r="4239" spans="2:2" ht="15.6">
      <c r="B4239" s="171">
        <v>-1337.2225653442883</v>
      </c>
    </row>
    <row r="4240" spans="2:2" ht="15.6">
      <c r="B4240" s="171">
        <v>-1890.033182641544</v>
      </c>
    </row>
    <row r="4241" spans="2:2" ht="15.6">
      <c r="B4241" s="171">
        <v>-1850.575263399594</v>
      </c>
    </row>
    <row r="4242" spans="2:2" ht="15.6">
      <c r="B4242" s="171">
        <v>-1630.7277197383642</v>
      </c>
    </row>
    <row r="4243" spans="2:2" ht="15.6">
      <c r="B4243" s="171">
        <v>-1299.6641728235302</v>
      </c>
    </row>
    <row r="4244" spans="2:2" ht="15.6">
      <c r="B4244" s="171">
        <v>-822.99545991410514</v>
      </c>
    </row>
    <row r="4245" spans="2:2" ht="15.6">
      <c r="B4245" s="171">
        <v>-1299.7345575892812</v>
      </c>
    </row>
    <row r="4246" spans="2:2" ht="15.6">
      <c r="B4246" s="171">
        <v>-1170.1702784032645</v>
      </c>
    </row>
    <row r="4247" spans="2:2" ht="15.6">
      <c r="B4247" s="171">
        <v>-1247.6445584142862</v>
      </c>
    </row>
    <row r="4248" spans="2:2" ht="15.6">
      <c r="B4248" s="171">
        <v>-1770.7253881993211</v>
      </c>
    </row>
    <row r="4249" spans="2:2" ht="15.6">
      <c r="B4249" s="171">
        <v>-1560.2641499566694</v>
      </c>
    </row>
    <row r="4250" spans="2:2" ht="15.6">
      <c r="B4250" s="171">
        <v>-1313.8846512278049</v>
      </c>
    </row>
    <row r="4251" spans="2:2" ht="15.6">
      <c r="B4251" s="171">
        <v>-1801.5769546167298</v>
      </c>
    </row>
    <row r="4252" spans="2:2" ht="15.6">
      <c r="B4252" s="171">
        <v>-1483.1056600276725</v>
      </c>
    </row>
    <row r="4253" spans="2:2" ht="15.6">
      <c r="B4253" s="171">
        <v>-1244.5372922603619</v>
      </c>
    </row>
    <row r="4254" spans="2:2" ht="15.6">
      <c r="B4254" s="171">
        <v>-1858.7369038211446</v>
      </c>
    </row>
    <row r="4255" spans="2:2" ht="15.6">
      <c r="B4255" s="171">
        <v>-2623.7259385701618</v>
      </c>
    </row>
    <row r="4256" spans="2:2" ht="15.6">
      <c r="B4256" s="171">
        <v>-1533.0398439864357</v>
      </c>
    </row>
    <row r="4257" spans="2:2" ht="15.6">
      <c r="B4257" s="171">
        <v>-1129.8109809549703</v>
      </c>
    </row>
    <row r="4258" spans="2:2" ht="15.6">
      <c r="B4258" s="171">
        <v>-1033.7811818861569</v>
      </c>
    </row>
    <row r="4259" spans="2:2" ht="15.6">
      <c r="B4259" s="171">
        <v>-2533.7208741775949</v>
      </c>
    </row>
    <row r="4260" spans="2:2" ht="15.6">
      <c r="B4260" s="171">
        <v>-1439.5957714982899</v>
      </c>
    </row>
    <row r="4261" spans="2:2" ht="15.6">
      <c r="B4261" s="171">
        <v>-1288.3226352213671</v>
      </c>
    </row>
    <row r="4262" spans="2:2" ht="15.6">
      <c r="B4262" s="171">
        <v>-757.75311664665514</v>
      </c>
    </row>
    <row r="4263" spans="2:2" ht="15.6">
      <c r="B4263" s="171">
        <v>-1547.1863300584591</v>
      </c>
    </row>
    <row r="4264" spans="2:2" ht="15.6">
      <c r="B4264" s="171">
        <v>-2084.5024141904642</v>
      </c>
    </row>
    <row r="4265" spans="2:2" ht="15.6">
      <c r="B4265" s="171">
        <v>-2414.6172482567217</v>
      </c>
    </row>
    <row r="4266" spans="2:2" ht="15.6">
      <c r="B4266" s="171">
        <v>-1066.694290601157</v>
      </c>
    </row>
    <row r="4267" spans="2:2" ht="15.6">
      <c r="B4267" s="171">
        <v>-1973.4288418343374</v>
      </c>
    </row>
    <row r="4268" spans="2:2" ht="15.6">
      <c r="B4268" s="171">
        <v>-1427.6381387930173</v>
      </c>
    </row>
    <row r="4269" spans="2:2" ht="15.6">
      <c r="B4269" s="171">
        <v>-1303.0575470590798</v>
      </c>
    </row>
    <row r="4270" spans="2:2" ht="15.6">
      <c r="B4270" s="171">
        <v>-1791.2106481960391</v>
      </c>
    </row>
    <row r="4271" spans="2:2" ht="15.6">
      <c r="B4271" s="171">
        <v>-1286.1760069948664</v>
      </c>
    </row>
    <row r="4272" spans="2:2" ht="15.6">
      <c r="B4272" s="171">
        <v>-1927.1549226692159</v>
      </c>
    </row>
    <row r="4273" spans="2:2" ht="15.6">
      <c r="B4273" s="171">
        <v>-1367.0592431521593</v>
      </c>
    </row>
    <row r="4274" spans="2:2" ht="15.6">
      <c r="B4274" s="171">
        <v>-1506.6088829149821</v>
      </c>
    </row>
    <row r="4275" spans="2:2" ht="15.6">
      <c r="B4275" s="171">
        <v>-1451.6979255003894</v>
      </c>
    </row>
    <row r="4276" spans="2:2" ht="15.6">
      <c r="B4276" s="171">
        <v>-1342.255788978367</v>
      </c>
    </row>
    <row r="4277" spans="2:2" ht="15.6">
      <c r="B4277" s="171">
        <v>-1340.4285504814436</v>
      </c>
    </row>
    <row r="4278" spans="2:2" ht="15.6">
      <c r="B4278" s="171">
        <v>-1201.6628602322376</v>
      </c>
    </row>
    <row r="4279" spans="2:2" ht="15.6">
      <c r="B4279" s="171">
        <v>-1030.237052925735</v>
      </c>
    </row>
    <row r="4280" spans="2:2" ht="15.6">
      <c r="B4280" s="171">
        <v>-2088.3305033147026</v>
      </c>
    </row>
    <row r="4281" spans="2:2" ht="15.6">
      <c r="B4281" s="171">
        <v>-2188.3286291866134</v>
      </c>
    </row>
    <row r="4282" spans="2:2" ht="15.6">
      <c r="B4282" s="171">
        <v>-1802.2716110480787</v>
      </c>
    </row>
    <row r="4283" spans="2:2" ht="15.6">
      <c r="B4283" s="171">
        <v>-1670.3299633831518</v>
      </c>
    </row>
    <row r="4284" spans="2:2" ht="15.6">
      <c r="B4284" s="171">
        <v>-1259.4679603661905</v>
      </c>
    </row>
    <row r="4285" spans="2:2" ht="15.6">
      <c r="B4285" s="171">
        <v>-2082.3414882650959</v>
      </c>
    </row>
    <row r="4286" spans="2:2" ht="15.6">
      <c r="B4286" s="171">
        <v>-1369.6587379358293</v>
      </c>
    </row>
    <row r="4287" spans="2:2" ht="15.6">
      <c r="B4287" s="171">
        <v>-1913.2663393831754</v>
      </c>
    </row>
    <row r="4288" spans="2:2" ht="15.6">
      <c r="B4288" s="171">
        <v>-1518.4937211072729</v>
      </c>
    </row>
    <row r="4289" spans="2:2" ht="15.6">
      <c r="B4289" s="171">
        <v>-1403.552789123682</v>
      </c>
    </row>
    <row r="4290" spans="2:2" ht="15.6">
      <c r="B4290" s="171">
        <v>-1232.2780668545006</v>
      </c>
    </row>
    <row r="4291" spans="2:2" ht="15.6">
      <c r="B4291" s="171">
        <v>-1297.8067500772408</v>
      </c>
    </row>
    <row r="4292" spans="2:2" ht="15.6">
      <c r="B4292" s="171">
        <v>-1178.2787486580332</v>
      </c>
    </row>
    <row r="4293" spans="2:2" ht="15.6">
      <c r="B4293" s="171">
        <v>-2438.3618315204549</v>
      </c>
    </row>
    <row r="4294" spans="2:2" ht="15.6">
      <c r="B4294" s="171">
        <v>-1610.0510473647985</v>
      </c>
    </row>
    <row r="4295" spans="2:2" ht="15.6">
      <c r="B4295" s="171">
        <v>-1700.7438758293376</v>
      </c>
    </row>
    <row r="4296" spans="2:2" ht="15.6">
      <c r="B4296" s="171">
        <v>-946.75096013884206</v>
      </c>
    </row>
    <row r="4297" spans="2:2" ht="15.6">
      <c r="B4297" s="171">
        <v>-1406.4254857233716</v>
      </c>
    </row>
    <row r="4298" spans="2:2" ht="15.6">
      <c r="B4298" s="171">
        <v>-1891.3998545972659</v>
      </c>
    </row>
    <row r="4299" spans="2:2" ht="15.6">
      <c r="B4299" s="171">
        <v>-2028.4295431439073</v>
      </c>
    </row>
    <row r="4300" spans="2:2" ht="15.6">
      <c r="B4300" s="171">
        <v>-1036.3839045544005</v>
      </c>
    </row>
    <row r="4301" spans="2:2" ht="15.6">
      <c r="B4301" s="171">
        <v>-1344.9023070967473</v>
      </c>
    </row>
    <row r="4302" spans="2:2" ht="15.6">
      <c r="B4302" s="171">
        <v>-1290.3702118666629</v>
      </c>
    </row>
    <row r="4303" spans="2:2" ht="15.6">
      <c r="B4303" s="171">
        <v>-2088.9214178444745</v>
      </c>
    </row>
    <row r="4304" spans="2:2" ht="15.6">
      <c r="B4304" s="171">
        <v>-2802.411602835874</v>
      </c>
    </row>
    <row r="4305" spans="2:2" ht="15.6">
      <c r="B4305" s="171">
        <v>-1438.7831787645614</v>
      </c>
    </row>
    <row r="4306" spans="2:2" ht="15.6">
      <c r="B4306" s="171">
        <v>-976.82251668103959</v>
      </c>
    </row>
    <row r="4307" spans="2:2" ht="15.6">
      <c r="B4307" s="171">
        <v>-2057.6460110428143</v>
      </c>
    </row>
    <row r="4308" spans="2:2" ht="15.6">
      <c r="B4308" s="171">
        <v>-1882.0935231492649</v>
      </c>
    </row>
    <row r="4309" spans="2:2" ht="15.6">
      <c r="B4309" s="171">
        <v>-2276.6102158176445</v>
      </c>
    </row>
    <row r="4310" spans="2:2" ht="15.6">
      <c r="B4310" s="171">
        <v>-1677.8252780678101</v>
      </c>
    </row>
    <row r="4311" spans="2:2" ht="15.6">
      <c r="B4311" s="171">
        <v>-1706.3569278979246</v>
      </c>
    </row>
    <row r="4312" spans="2:2" ht="15.6">
      <c r="B4312" s="171">
        <v>-1336.2924911783934</v>
      </c>
    </row>
    <row r="4313" spans="2:2" ht="15.6">
      <c r="B4313" s="171">
        <v>-1402.4508162106542</v>
      </c>
    </row>
    <row r="4314" spans="2:2" ht="15.6">
      <c r="B4314" s="171">
        <v>-1375.6536834307476</v>
      </c>
    </row>
    <row r="4315" spans="2:2" ht="15.6">
      <c r="B4315" s="171">
        <v>-1773.1093228603199</v>
      </c>
    </row>
    <row r="4316" spans="2:2" ht="15.6">
      <c r="B4316" s="171">
        <v>-1688.3613925382951</v>
      </c>
    </row>
    <row r="4317" spans="2:2" ht="15.6">
      <c r="B4317" s="171">
        <v>-1335.6712573958139</v>
      </c>
    </row>
    <row r="4318" spans="2:2" ht="15.6">
      <c r="B4318" s="171">
        <v>-1510.1944088021357</v>
      </c>
    </row>
    <row r="4319" spans="2:2" ht="15.6">
      <c r="B4319" s="171">
        <v>-2139.3440379696845</v>
      </c>
    </row>
    <row r="4320" spans="2:2" ht="15.6">
      <c r="B4320" s="171">
        <v>-2349.8817088888477</v>
      </c>
    </row>
    <row r="4321" spans="2:2" ht="15.6">
      <c r="B4321" s="171">
        <v>-1645.0963160711508</v>
      </c>
    </row>
    <row r="4322" spans="2:2" ht="15.6">
      <c r="B4322" s="171">
        <v>-2718.9073411591148</v>
      </c>
    </row>
    <row r="4323" spans="2:2" ht="15.6">
      <c r="B4323" s="171">
        <v>-1812.0279878241197</v>
      </c>
    </row>
    <row r="4324" spans="2:2" ht="15.6">
      <c r="B4324" s="171">
        <v>-1410.051826766778</v>
      </c>
    </row>
    <row r="4325" spans="2:2" ht="15.6">
      <c r="B4325" s="171">
        <v>-1379.0730955554363</v>
      </c>
    </row>
    <row r="4326" spans="2:2" ht="15.6">
      <c r="B4326" s="171">
        <v>-1274.2086399063719</v>
      </c>
    </row>
    <row r="4327" spans="2:2" ht="15.6">
      <c r="B4327" s="171">
        <v>-1622.2261194917789</v>
      </c>
    </row>
    <row r="4328" spans="2:2" ht="15.6">
      <c r="B4328" s="171">
        <v>-2371.067194668798</v>
      </c>
    </row>
    <row r="4329" spans="2:2" ht="15.6">
      <c r="B4329" s="171">
        <v>-1571.2167746397854</v>
      </c>
    </row>
    <row r="4330" spans="2:2" ht="15.6">
      <c r="B4330" s="171">
        <v>-1343.8624241376965</v>
      </c>
    </row>
    <row r="4331" spans="2:2" ht="15.6">
      <c r="B4331" s="171">
        <v>-1112.8517310308334</v>
      </c>
    </row>
    <row r="4332" spans="2:2" ht="15.6">
      <c r="B4332" s="171">
        <v>-1245.5624403772774</v>
      </c>
    </row>
    <row r="4333" spans="2:2" ht="15.6">
      <c r="B4333" s="171">
        <v>-1194.4767393745826</v>
      </c>
    </row>
    <row r="4334" spans="2:2" ht="15.6">
      <c r="B4334" s="171">
        <v>-1527.8826927960024</v>
      </c>
    </row>
    <row r="4335" spans="2:2" ht="15.6">
      <c r="B4335" s="171">
        <v>-1687.4082846193958</v>
      </c>
    </row>
    <row r="4336" spans="2:2" ht="15.6">
      <c r="B4336" s="171">
        <v>-1143.6008002528472</v>
      </c>
    </row>
    <row r="4337" spans="2:2" ht="15.6">
      <c r="B4337" s="171">
        <v>-965.08213835241236</v>
      </c>
    </row>
    <row r="4338" spans="2:2" ht="15.6">
      <c r="B4338" s="171">
        <v>-2398.3524105934698</v>
      </c>
    </row>
    <row r="4339" spans="2:2" ht="15.6">
      <c r="B4339" s="171">
        <v>-2009.9626319550061</v>
      </c>
    </row>
    <row r="4340" spans="2:2" ht="15.6">
      <c r="B4340" s="171">
        <v>-1902.1369668967332</v>
      </c>
    </row>
    <row r="4341" spans="2:2" ht="15.6">
      <c r="B4341" s="171">
        <v>-1970.1125994094104</v>
      </c>
    </row>
    <row r="4342" spans="2:2" ht="15.6">
      <c r="B4342" s="171">
        <v>-1443.7802720073432</v>
      </c>
    </row>
    <row r="4343" spans="2:2" ht="15.6">
      <c r="B4343" s="171">
        <v>-1641.2846823129084</v>
      </c>
    </row>
    <row r="4344" spans="2:2" ht="15.6">
      <c r="B4344" s="171">
        <v>-1987.6100161108563</v>
      </c>
    </row>
    <row r="4345" spans="2:2" ht="15.6">
      <c r="B4345" s="171">
        <v>-1655.5380368292524</v>
      </c>
    </row>
    <row r="4346" spans="2:2" ht="15.6">
      <c r="B4346" s="171">
        <v>-1386.4617123668077</v>
      </c>
    </row>
    <row r="4347" spans="2:2" ht="15.6">
      <c r="B4347" s="171">
        <v>-631.17666428737527</v>
      </c>
    </row>
    <row r="4348" spans="2:2" ht="15.6">
      <c r="B4348" s="171">
        <v>-1379.8121633394944</v>
      </c>
    </row>
    <row r="4349" spans="2:2" ht="15.6">
      <c r="B4349" s="171">
        <v>-1914.3784723657127</v>
      </c>
    </row>
    <row r="4350" spans="2:2" ht="15.6">
      <c r="B4350" s="171">
        <v>-2316.6284955198175</v>
      </c>
    </row>
    <row r="4351" spans="2:2" ht="15.6">
      <c r="B4351" s="171">
        <v>-1884.1056317957418</v>
      </c>
    </row>
    <row r="4352" spans="2:2" ht="15.6">
      <c r="B4352" s="171">
        <v>-1324.9587570055153</v>
      </c>
    </row>
    <row r="4353" spans="2:2" ht="15.6">
      <c r="B4353" s="171">
        <v>-1263.6613825310667</v>
      </c>
    </row>
    <row r="4354" spans="2:2" ht="15.6">
      <c r="B4354" s="171">
        <v>-1624.1057872168858</v>
      </c>
    </row>
    <row r="4355" spans="2:2" ht="15.6">
      <c r="B4355" s="171">
        <v>-1870.8122219834127</v>
      </c>
    </row>
    <row r="4356" spans="2:2" ht="15.6">
      <c r="B4356" s="171">
        <v>-1374.8604738717409</v>
      </c>
    </row>
    <row r="4357" spans="2:2" ht="15.6">
      <c r="B4357" s="171">
        <v>-1025.4872887368044</v>
      </c>
    </row>
    <row r="4358" spans="2:2" ht="15.6">
      <c r="B4358" s="171">
        <v>-1837.1351170920284</v>
      </c>
    </row>
    <row r="4359" spans="2:2" ht="15.6">
      <c r="B4359" s="171">
        <v>-2372.1320356281003</v>
      </c>
    </row>
    <row r="4360" spans="2:2" ht="15.6">
      <c r="B4360" s="171">
        <v>-1419.8588089315169</v>
      </c>
    </row>
    <row r="4361" spans="2:2" ht="15.6">
      <c r="B4361" s="171">
        <v>-1681.8160397957236</v>
      </c>
    </row>
    <row r="4362" spans="2:2" ht="15.6">
      <c r="B4362" s="171">
        <v>-1272.2487562026959</v>
      </c>
    </row>
    <row r="4363" spans="2:2" ht="15.6">
      <c r="B4363" s="171">
        <v>-1151.8812254920394</v>
      </c>
    </row>
    <row r="4364" spans="2:2" ht="15.6">
      <c r="B4364" s="171">
        <v>-1726.1773594108495</v>
      </c>
    </row>
    <row r="4365" spans="2:2" ht="15.6">
      <c r="B4365" s="171">
        <v>-2828.1776071831073</v>
      </c>
    </row>
    <row r="4366" spans="2:2" ht="15.6">
      <c r="B4366" s="171">
        <v>-1730.3230987484799</v>
      </c>
    </row>
    <row r="4367" spans="2:2" ht="15.6">
      <c r="B4367" s="171">
        <v>-1545.5321520665686</v>
      </c>
    </row>
    <row r="4368" spans="2:2" ht="15.6">
      <c r="B4368" s="171">
        <v>-2555.9936746031835</v>
      </c>
    </row>
    <row r="4369" spans="2:2" ht="15.6">
      <c r="B4369" s="171">
        <v>-1353.3469769430615</v>
      </c>
    </row>
    <row r="4370" spans="2:2" ht="15.6">
      <c r="B4370" s="171">
        <v>-1758.9607971119196</v>
      </c>
    </row>
    <row r="4371" spans="2:2" ht="15.6">
      <c r="B4371" s="171">
        <v>-1600.3923324123859</v>
      </c>
    </row>
    <row r="4372" spans="2:2" ht="15.6">
      <c r="B4372" s="171">
        <v>-1789.1835777715326</v>
      </c>
    </row>
    <row r="4373" spans="2:2" ht="15.6">
      <c r="B4373" s="171">
        <v>-2061.9739980142881</v>
      </c>
    </row>
    <row r="4374" spans="2:2" ht="15.6">
      <c r="B4374" s="171">
        <v>-1913.5762920396985</v>
      </c>
    </row>
    <row r="4375" spans="2:2" ht="15.6">
      <c r="B4375" s="171">
        <v>-2012.3746603136692</v>
      </c>
    </row>
    <row r="4376" spans="2:2" ht="15.6">
      <c r="B4376" s="171">
        <v>-1297.7187435744063</v>
      </c>
    </row>
    <row r="4377" spans="2:2" ht="15.6">
      <c r="B4377" s="171">
        <v>-2088.6974093939948</v>
      </c>
    </row>
    <row r="4378" spans="2:2" ht="15.6">
      <c r="B4378" s="171">
        <v>-1333.2507860266467</v>
      </c>
    </row>
    <row r="4379" spans="2:2" ht="15.6">
      <c r="B4379" s="171">
        <v>-1145.3320037713365</v>
      </c>
    </row>
    <row r="4380" spans="2:2" ht="15.6">
      <c r="B4380" s="171">
        <v>-1891.388606973758</v>
      </c>
    </row>
    <row r="4381" spans="2:2" ht="15.6">
      <c r="B4381" s="171">
        <v>-1219.0207926263276</v>
      </c>
    </row>
    <row r="4382" spans="2:2" ht="15.6">
      <c r="B4382" s="171">
        <v>-1860.4536856621926</v>
      </c>
    </row>
    <row r="4383" spans="2:2" ht="15.6">
      <c r="B4383" s="171">
        <v>-719.77109376014846</v>
      </c>
    </row>
    <row r="4384" spans="2:2" ht="15.6">
      <c r="B4384" s="171">
        <v>-1237.9997053728773</v>
      </c>
    </row>
    <row r="4385" spans="2:2" ht="15.6">
      <c r="B4385" s="171">
        <v>-1333.7052316909212</v>
      </c>
    </row>
    <row r="4386" spans="2:2" ht="15.6">
      <c r="B4386" s="171">
        <v>-1606.4379728295116</v>
      </c>
    </row>
    <row r="4387" spans="2:2" ht="15.6">
      <c r="B4387" s="171">
        <v>-1016.495797845437</v>
      </c>
    </row>
    <row r="4388" spans="2:2" ht="15.6">
      <c r="B4388" s="171">
        <v>-1313.3538992539111</v>
      </c>
    </row>
    <row r="4389" spans="2:2" ht="15.6">
      <c r="B4389" s="171">
        <v>-956.99792010085093</v>
      </c>
    </row>
    <row r="4390" spans="2:2" ht="15.6">
      <c r="B4390" s="171">
        <v>-1304.1760911475667</v>
      </c>
    </row>
    <row r="4391" spans="2:2" ht="15.6">
      <c r="B4391" s="171">
        <v>-1643.4088407582217</v>
      </c>
    </row>
    <row r="4392" spans="2:2" ht="15.6">
      <c r="B4392" s="171">
        <v>-1873.3771877514248</v>
      </c>
    </row>
    <row r="4393" spans="2:2" ht="15.6">
      <c r="B4393" s="171">
        <v>-1947.7645985921476</v>
      </c>
    </row>
    <row r="4394" spans="2:2" ht="15.6">
      <c r="B4394" s="171">
        <v>-1730.8502961962045</v>
      </c>
    </row>
    <row r="4395" spans="2:2" ht="15.6">
      <c r="B4395" s="171">
        <v>-1534.4317074273415</v>
      </c>
    </row>
    <row r="4396" spans="2:2" ht="15.6">
      <c r="B4396" s="171">
        <v>-1596.8106070986437</v>
      </c>
    </row>
    <row r="4397" spans="2:2" ht="15.6">
      <c r="B4397" s="171">
        <v>-1701.8033313768526</v>
      </c>
    </row>
    <row r="4398" spans="2:2" ht="15.6">
      <c r="B4398" s="171">
        <v>-1464.3349597910399</v>
      </c>
    </row>
    <row r="4399" spans="2:2" ht="15.6">
      <c r="B4399" s="171">
        <v>-1524.2153446629309</v>
      </c>
    </row>
    <row r="4400" spans="2:2" ht="15.6">
      <c r="B4400" s="171">
        <v>-1085.8539549323318</v>
      </c>
    </row>
    <row r="4401" spans="2:2" ht="15.6">
      <c r="B4401" s="171">
        <v>-1587.383177833379</v>
      </c>
    </row>
    <row r="4402" spans="2:2" ht="15.6">
      <c r="B4402" s="171">
        <v>-1681.4701909673092</v>
      </c>
    </row>
    <row r="4403" spans="2:2" ht="15.6">
      <c r="B4403" s="171">
        <v>-1263.1399166197441</v>
      </c>
    </row>
    <row r="4404" spans="2:2" ht="15.6">
      <c r="B4404" s="171">
        <v>-1488.7242054395808</v>
      </c>
    </row>
    <row r="4405" spans="2:2" ht="15.6">
      <c r="B4405" s="171">
        <v>-2020.0468055170616</v>
      </c>
    </row>
    <row r="4406" spans="2:2" ht="15.6">
      <c r="B4406" s="171">
        <v>-1370.3871639933832</v>
      </c>
    </row>
    <row r="4407" spans="2:2" ht="15.6">
      <c r="B4407" s="171">
        <v>-1118.7546555647334</v>
      </c>
    </row>
    <row r="4408" spans="2:2" ht="15.6">
      <c r="B4408" s="171">
        <v>-1339.6738592098975</v>
      </c>
    </row>
    <row r="4409" spans="2:2" ht="15.6">
      <c r="B4409" s="171">
        <v>-1164.2096066134527</v>
      </c>
    </row>
    <row r="4410" spans="2:2" ht="15.6">
      <c r="B4410" s="171">
        <v>-1653.3448563755387</v>
      </c>
    </row>
    <row r="4411" spans="2:2" ht="15.6">
      <c r="B4411" s="171">
        <v>-1497.9759669161049</v>
      </c>
    </row>
    <row r="4412" spans="2:2" ht="15.6">
      <c r="B4412" s="171">
        <v>-1035.8531356471108</v>
      </c>
    </row>
    <row r="4413" spans="2:2" ht="15.6">
      <c r="B4413" s="171">
        <v>-1117.7896449266</v>
      </c>
    </row>
    <row r="4414" spans="2:2" ht="15.6">
      <c r="B4414" s="171">
        <v>-1352.7201625977341</v>
      </c>
    </row>
    <row r="4415" spans="2:2" ht="15.6">
      <c r="B4415" s="171">
        <v>-1581.8697860779585</v>
      </c>
    </row>
    <row r="4416" spans="2:2" ht="15.6">
      <c r="B4416" s="171">
        <v>-1173.8582775565828</v>
      </c>
    </row>
    <row r="4417" spans="2:2" ht="15.6">
      <c r="B4417" s="171">
        <v>-1338.800103694886</v>
      </c>
    </row>
    <row r="4418" spans="2:2" ht="15.6">
      <c r="B4418" s="171">
        <v>-1406.0442473623862</v>
      </c>
    </row>
    <row r="4419" spans="2:2" ht="15.6">
      <c r="B4419" s="171">
        <v>-3296.1020546358804</v>
      </c>
    </row>
    <row r="4420" spans="2:2" ht="15.6">
      <c r="B4420" s="171">
        <v>-2266.2105988856206</v>
      </c>
    </row>
    <row r="4421" spans="2:2" ht="15.6">
      <c r="B4421" s="171">
        <v>-1334.7606326031553</v>
      </c>
    </row>
    <row r="4422" spans="2:2" ht="15.6">
      <c r="B4422" s="171">
        <v>-1613.192191117339</v>
      </c>
    </row>
    <row r="4423" spans="2:2" ht="15.6">
      <c r="B4423" s="171">
        <v>-1647.0333172511137</v>
      </c>
    </row>
    <row r="4424" spans="2:2" ht="15.6">
      <c r="B4424" s="171">
        <v>-1691.8250965021657</v>
      </c>
    </row>
    <row r="4425" spans="2:2" ht="15.6">
      <c r="B4425" s="171">
        <v>-2097.8845037233773</v>
      </c>
    </row>
    <row r="4426" spans="2:2" ht="15.6">
      <c r="B4426" s="171">
        <v>-1607.7633771443443</v>
      </c>
    </row>
    <row r="4427" spans="2:2" ht="15.6">
      <c r="B4427" s="171">
        <v>-1368.1101687470309</v>
      </c>
    </row>
    <row r="4428" spans="2:2" ht="15.6">
      <c r="B4428" s="171">
        <v>-1334.3481900700842</v>
      </c>
    </row>
    <row r="4429" spans="2:2" ht="15.6">
      <c r="B4429" s="171">
        <v>-1665.9107160584433</v>
      </c>
    </row>
    <row r="4430" spans="2:2" ht="15.6">
      <c r="B4430" s="171">
        <v>-1928.1492414914733</v>
      </c>
    </row>
    <row r="4431" spans="2:2" ht="15.6">
      <c r="B4431" s="171">
        <v>-2092.4996953073023</v>
      </c>
    </row>
    <row r="4432" spans="2:2" ht="15.6">
      <c r="B4432" s="171">
        <v>-1507.2332135069394</v>
      </c>
    </row>
    <row r="4433" spans="2:2" ht="15.6">
      <c r="B4433" s="171">
        <v>-1013.7276298138299</v>
      </c>
    </row>
    <row r="4434" spans="2:2" ht="15.6">
      <c r="B4434" s="171">
        <v>-1962.5126836724958</v>
      </c>
    </row>
    <row r="4435" spans="2:2" ht="15.6">
      <c r="B4435" s="171">
        <v>-1444.6452938472908</v>
      </c>
    </row>
    <row r="4436" spans="2:2" ht="15.6">
      <c r="B4436" s="171">
        <v>-1530.3813774823318</v>
      </c>
    </row>
    <row r="4437" spans="2:2" ht="15.6">
      <c r="B4437" s="171">
        <v>-1149.5215530722405</v>
      </c>
    </row>
    <row r="4438" spans="2:2" ht="15.6">
      <c r="B4438" s="171">
        <v>-1380.5127396879657</v>
      </c>
    </row>
    <row r="4439" spans="2:2" ht="15.6">
      <c r="B4439" s="171">
        <v>-936.66366432057714</v>
      </c>
    </row>
    <row r="4440" spans="2:2" ht="15.6">
      <c r="B4440" s="171">
        <v>-1556.6286128734823</v>
      </c>
    </row>
    <row r="4441" spans="2:2" ht="15.6">
      <c r="B4441" s="171">
        <v>-774.67729958394841</v>
      </c>
    </row>
    <row r="4442" spans="2:2" ht="15.6">
      <c r="B4442" s="171">
        <v>-1771.6533574147838</v>
      </c>
    </row>
    <row r="4443" spans="2:2" ht="15.6">
      <c r="B4443" s="171">
        <v>-1744.710995639871</v>
      </c>
    </row>
    <row r="4444" spans="2:2" ht="15.6">
      <c r="B4444" s="171">
        <v>-1717.199829918477</v>
      </c>
    </row>
    <row r="4445" spans="2:2" ht="15.6">
      <c r="B4445" s="171">
        <v>-1421.6367172340281</v>
      </c>
    </row>
    <row r="4446" spans="2:2" ht="15.6">
      <c r="B4446" s="171">
        <v>-2188.5085527460164</v>
      </c>
    </row>
    <row r="4447" spans="2:2" ht="15.6">
      <c r="B4447" s="171">
        <v>-1260.0926527625033</v>
      </c>
    </row>
    <row r="4448" spans="2:2" ht="15.6">
      <c r="B4448" s="171">
        <v>-827.91434530819902</v>
      </c>
    </row>
    <row r="4449" spans="2:2" ht="15.6">
      <c r="B4449" s="171">
        <v>-1231.1028138298368</v>
      </c>
    </row>
    <row r="4450" spans="2:2" ht="15.6">
      <c r="B4450" s="171">
        <v>-1200.1872820509893</v>
      </c>
    </row>
    <row r="4451" spans="2:2" ht="15.6">
      <c r="B4451" s="171">
        <v>-1623.523780544399</v>
      </c>
    </row>
    <row r="4452" spans="2:2" ht="15.6">
      <c r="B4452" s="171">
        <v>-1087.5388675510612</v>
      </c>
    </row>
    <row r="4453" spans="2:2" ht="15.6">
      <c r="B4453" s="171">
        <v>-2623.5349260215135</v>
      </c>
    </row>
    <row r="4454" spans="2:2" ht="15.6">
      <c r="B4454" s="171">
        <v>-888.20913567879597</v>
      </c>
    </row>
    <row r="4455" spans="2:2" ht="15.6">
      <c r="B4455" s="171">
        <v>-2977.3810236339755</v>
      </c>
    </row>
    <row r="4456" spans="2:2" ht="15.6">
      <c r="B4456" s="171">
        <v>-1350.1122668405965</v>
      </c>
    </row>
    <row r="4457" spans="2:2" ht="15.6">
      <c r="B4457" s="171">
        <v>-1822.1490096914013</v>
      </c>
    </row>
    <row r="4458" spans="2:2" ht="15.6">
      <c r="B4458" s="171">
        <v>-1914.7125400967129</v>
      </c>
    </row>
    <row r="4459" spans="2:2" ht="15.6">
      <c r="B4459" s="171">
        <v>-1947.452520675746</v>
      </c>
    </row>
    <row r="4460" spans="2:2" ht="15.6">
      <c r="B4460" s="171">
        <v>-1683.4494242763833</v>
      </c>
    </row>
    <row r="4461" spans="2:2" ht="15.6">
      <c r="B4461" s="171">
        <v>-1314.9126561008527</v>
      </c>
    </row>
    <row r="4462" spans="2:2" ht="15.6">
      <c r="B4462" s="171">
        <v>-2003.6686030979351</v>
      </c>
    </row>
    <row r="4463" spans="2:2" ht="15.6">
      <c r="B4463" s="171">
        <v>-1814.7235441650423</v>
      </c>
    </row>
    <row r="4464" spans="2:2" ht="15.6">
      <c r="B4464" s="171">
        <v>-1893.013191476766</v>
      </c>
    </row>
    <row r="4465" spans="2:2" ht="15.6">
      <c r="B4465" s="171">
        <v>-1790.4232605891436</v>
      </c>
    </row>
    <row r="4466" spans="2:2" ht="15.6">
      <c r="B4466" s="171">
        <v>-1555.6908034769099</v>
      </c>
    </row>
    <row r="4467" spans="2:2" ht="15.6">
      <c r="B4467" s="171">
        <v>-1302.1861573601686</v>
      </c>
    </row>
    <row r="4468" spans="2:2" ht="15.6">
      <c r="B4468" s="171">
        <v>-1128.9394456345128</v>
      </c>
    </row>
    <row r="4469" spans="2:2" ht="15.6">
      <c r="B4469" s="171">
        <v>-882.14205515530978</v>
      </c>
    </row>
    <row r="4470" spans="2:2" ht="15.6">
      <c r="B4470" s="171">
        <v>-1243.0274001585894</v>
      </c>
    </row>
    <row r="4471" spans="2:2" ht="15.6">
      <c r="B4471" s="171">
        <v>-1563.9271739333253</v>
      </c>
    </row>
    <row r="4472" spans="2:2" ht="15.6">
      <c r="B4472" s="171">
        <v>-1249.3002450450754</v>
      </c>
    </row>
    <row r="4473" spans="2:2" ht="15.6">
      <c r="B4473" s="171">
        <v>-1913.6164593447679</v>
      </c>
    </row>
    <row r="4474" spans="2:2" ht="15.6">
      <c r="B4474" s="171">
        <v>-1458.3192672503517</v>
      </c>
    </row>
    <row r="4475" spans="2:2" ht="15.6">
      <c r="B4475" s="171">
        <v>-2517.1434428558186</v>
      </c>
    </row>
    <row r="4476" spans="2:2" ht="15.6">
      <c r="B4476" s="171">
        <v>-1754.2955214632798</v>
      </c>
    </row>
    <row r="4477" spans="2:2" ht="15.6">
      <c r="B4477" s="171">
        <v>-1115.768137708189</v>
      </c>
    </row>
    <row r="4478" spans="2:2" ht="15.6">
      <c r="B4478" s="171">
        <v>-2068.7463846341561</v>
      </c>
    </row>
    <row r="4479" spans="2:2" ht="15.6">
      <c r="B4479" s="171">
        <v>-1630.5973154781514</v>
      </c>
    </row>
    <row r="4480" spans="2:2" ht="15.6">
      <c r="B4480" s="171">
        <v>-1552.2234810751088</v>
      </c>
    </row>
    <row r="4481" spans="2:2" ht="15.6">
      <c r="B4481" s="171">
        <v>-1416.3548920142121</v>
      </c>
    </row>
    <row r="4482" spans="2:2" ht="15.6">
      <c r="B4482" s="171">
        <v>-1375.334240804041</v>
      </c>
    </row>
    <row r="4483" spans="2:2" ht="15.6">
      <c r="B4483" s="171">
        <v>-2625.7549634012526</v>
      </c>
    </row>
    <row r="4484" spans="2:2" ht="15.6">
      <c r="B4484" s="171">
        <v>-1191.2333619192011</v>
      </c>
    </row>
    <row r="4485" spans="2:2" ht="15.6">
      <c r="B4485" s="171">
        <v>-1604.2392051475933</v>
      </c>
    </row>
    <row r="4486" spans="2:2" ht="15.6">
      <c r="B4486" s="171">
        <v>-1631.1908908525766</v>
      </c>
    </row>
    <row r="4487" spans="2:2" ht="15.6">
      <c r="B4487" s="171">
        <v>-1090.1252915593975</v>
      </c>
    </row>
    <row r="4488" spans="2:2" ht="15.6">
      <c r="B4488" s="171">
        <v>-1311.5439803992281</v>
      </c>
    </row>
    <row r="4489" spans="2:2" ht="15.6">
      <c r="B4489" s="171">
        <v>-1591.2851332874568</v>
      </c>
    </row>
    <row r="4490" spans="2:2" ht="15.6">
      <c r="B4490" s="171">
        <v>-1571.6952609035638</v>
      </c>
    </row>
    <row r="4491" spans="2:2" ht="15.6">
      <c r="B4491" s="171">
        <v>-1020.913288943303</v>
      </c>
    </row>
    <row r="4492" spans="2:2" ht="15.6">
      <c r="B4492" s="171">
        <v>-1825.8385797841256</v>
      </c>
    </row>
    <row r="4493" spans="2:2" ht="15.6">
      <c r="B4493" s="171">
        <v>-1147.8664470990611</v>
      </c>
    </row>
    <row r="4494" spans="2:2" ht="15.6">
      <c r="B4494" s="171">
        <v>-1363.0646861904597</v>
      </c>
    </row>
    <row r="4495" spans="2:2" ht="15.6">
      <c r="B4495" s="171">
        <v>-1923.8212623638688</v>
      </c>
    </row>
    <row r="4496" spans="2:2" ht="15.6">
      <c r="B4496" s="171">
        <v>-2012.4889219035495</v>
      </c>
    </row>
    <row r="4497" spans="2:2" ht="15.6">
      <c r="B4497" s="171">
        <v>-1345.3557718925049</v>
      </c>
    </row>
    <row r="4498" spans="2:2" ht="15.6">
      <c r="B4498" s="171">
        <v>-1023.4332779072566</v>
      </c>
    </row>
    <row r="4499" spans="2:2" ht="15.6">
      <c r="B4499" s="171">
        <v>-1944.624570868405</v>
      </c>
    </row>
    <row r="4500" spans="2:2" ht="15.6">
      <c r="B4500" s="171">
        <v>-1843.8759266489642</v>
      </c>
    </row>
    <row r="4501" spans="2:2" ht="15.6">
      <c r="B4501" s="171">
        <v>-2166.9864936667068</v>
      </c>
    </row>
    <row r="4502" spans="2:2" ht="15.6">
      <c r="B4502" s="171">
        <v>-1347.3511216522916</v>
      </c>
    </row>
    <row r="4503" spans="2:2" ht="15.6">
      <c r="B4503" s="171">
        <v>-1641.2031915763469</v>
      </c>
    </row>
    <row r="4504" spans="2:2" ht="15.6">
      <c r="B4504" s="171">
        <v>-1423.6899871204566</v>
      </c>
    </row>
    <row r="4505" spans="2:2" ht="15.6">
      <c r="B4505" s="171">
        <v>-1271.6395594296689</v>
      </c>
    </row>
    <row r="4506" spans="2:2" ht="15.6">
      <c r="B4506" s="171">
        <v>-1797.3736359934946</v>
      </c>
    </row>
    <row r="4507" spans="2:2" ht="15.6">
      <c r="B4507" s="171">
        <v>-1978.8355567634771</v>
      </c>
    </row>
    <row r="4508" spans="2:2" ht="15.6">
      <c r="B4508" s="171">
        <v>-1016.9505202793424</v>
      </c>
    </row>
    <row r="4509" spans="2:2" ht="15.6">
      <c r="B4509" s="171">
        <v>-1401.455145090064</v>
      </c>
    </row>
    <row r="4510" spans="2:2" ht="15.6">
      <c r="B4510" s="171">
        <v>-737.49573381793277</v>
      </c>
    </row>
    <row r="4511" spans="2:2" ht="15.6">
      <c r="B4511" s="171">
        <v>-1867.155468156586</v>
      </c>
    </row>
    <row r="4512" spans="2:2" ht="15.6">
      <c r="B4512" s="171">
        <v>-2012.0021153073631</v>
      </c>
    </row>
    <row r="4513" spans="2:2" ht="15.6">
      <c r="B4513" s="171">
        <v>-1505.3239223187315</v>
      </c>
    </row>
    <row r="4514" spans="2:2" ht="15.6">
      <c r="B4514" s="171">
        <v>-1365.8001445851487</v>
      </c>
    </row>
    <row r="4515" spans="2:2" ht="15.6">
      <c r="B4515" s="171">
        <v>-1654.4791060406928</v>
      </c>
    </row>
    <row r="4516" spans="2:2" ht="15.6">
      <c r="B4516" s="171">
        <v>-972.27926015808043</v>
      </c>
    </row>
    <row r="4517" spans="2:2" ht="15.6">
      <c r="B4517" s="171">
        <v>-2187.7151838164596</v>
      </c>
    </row>
    <row r="4518" spans="2:2" ht="15.6">
      <c r="B4518" s="171">
        <v>-1424.2945467690311</v>
      </c>
    </row>
    <row r="4519" spans="2:2" ht="15.6">
      <c r="B4519" s="171">
        <v>-2168.4702544416082</v>
      </c>
    </row>
    <row r="4520" spans="2:2" ht="15.6">
      <c r="B4520" s="171">
        <v>-2523.247015414574</v>
      </c>
    </row>
    <row r="4521" spans="2:2" ht="15.6">
      <c r="B4521" s="171">
        <v>-1695.388076304067</v>
      </c>
    </row>
    <row r="4522" spans="2:2" ht="15.6">
      <c r="B4522" s="171">
        <v>-1232.2389056604491</v>
      </c>
    </row>
    <row r="4523" spans="2:2" ht="15.6">
      <c r="B4523" s="171">
        <v>-1350.3774681765487</v>
      </c>
    </row>
    <row r="4524" spans="2:2" ht="15.6">
      <c r="B4524" s="171">
        <v>-1351.6713422607475</v>
      </c>
    </row>
    <row r="4525" spans="2:2" ht="15.6">
      <c r="B4525" s="171">
        <v>-1621.4170888685619</v>
      </c>
    </row>
    <row r="4526" spans="2:2" ht="15.6">
      <c r="B4526" s="171">
        <v>-1674.6812908575246</v>
      </c>
    </row>
    <row r="4527" spans="2:2" ht="15.6">
      <c r="B4527" s="171">
        <v>-1178.1528162707948</v>
      </c>
    </row>
    <row r="4528" spans="2:2" ht="15.6">
      <c r="B4528" s="171">
        <v>-976.98083871250265</v>
      </c>
    </row>
    <row r="4529" spans="2:2" ht="15.6">
      <c r="B4529" s="171">
        <v>-1938.9821805978047</v>
      </c>
    </row>
    <row r="4530" spans="2:2" ht="15.6">
      <c r="B4530" s="171">
        <v>-959.58754722655794</v>
      </c>
    </row>
    <row r="4531" spans="2:2" ht="15.6">
      <c r="B4531" s="171">
        <v>-1830.4436638361879</v>
      </c>
    </row>
    <row r="4532" spans="2:2" ht="15.6">
      <c r="B4532" s="171">
        <v>-1891.7056465906801</v>
      </c>
    </row>
    <row r="4533" spans="2:2" ht="15.6">
      <c r="B4533" s="171">
        <v>-1170.4847978681496</v>
      </c>
    </row>
    <row r="4534" spans="2:2" ht="15.6">
      <c r="B4534" s="171">
        <v>-823.9729899457401</v>
      </c>
    </row>
    <row r="4535" spans="2:2" ht="15.6">
      <c r="B4535" s="171">
        <v>-1449.8559435552888</v>
      </c>
    </row>
    <row r="4536" spans="2:2" ht="15.6">
      <c r="B4536" s="171">
        <v>-1209.0242852611068</v>
      </c>
    </row>
    <row r="4537" spans="2:2" ht="15.6">
      <c r="B4537" s="171">
        <v>-1943.359299825433</v>
      </c>
    </row>
    <row r="4538" spans="2:2" ht="15.6">
      <c r="B4538" s="171">
        <v>-2185.6352107648781</v>
      </c>
    </row>
    <row r="4539" spans="2:2" ht="15.6">
      <c r="B4539" s="171">
        <v>-1909.7835296277151</v>
      </c>
    </row>
    <row r="4540" spans="2:2" ht="15.6">
      <c r="B4540" s="171">
        <v>-1262.8702925583309</v>
      </c>
    </row>
    <row r="4541" spans="2:2" ht="15.6">
      <c r="B4541" s="171">
        <v>-1501.292769948619</v>
      </c>
    </row>
    <row r="4542" spans="2:2" ht="15.6">
      <c r="B4542" s="171">
        <v>-1875.7062925651148</v>
      </c>
    </row>
    <row r="4543" spans="2:2" ht="15.6">
      <c r="B4543" s="171">
        <v>-988.1170726758653</v>
      </c>
    </row>
    <row r="4544" spans="2:2" ht="15.6">
      <c r="B4544" s="171">
        <v>-1508.2355436814639</v>
      </c>
    </row>
    <row r="4545" spans="2:2" ht="15.6">
      <c r="B4545" s="171">
        <v>-1266.7119520375484</v>
      </c>
    </row>
    <row r="4546" spans="2:2" ht="15.6">
      <c r="B4546" s="171">
        <v>-1053.1314194018025</v>
      </c>
    </row>
    <row r="4547" spans="2:2" ht="15.6">
      <c r="B4547" s="171">
        <v>-1427.4869714060742</v>
      </c>
    </row>
    <row r="4548" spans="2:2" ht="15.6">
      <c r="B4548" s="171">
        <v>-2079.0055498676438</v>
      </c>
    </row>
    <row r="4549" spans="2:2" ht="15.6">
      <c r="B4549" s="171">
        <v>-1404.624397218374</v>
      </c>
    </row>
    <row r="4550" spans="2:2" ht="15.6">
      <c r="B4550" s="171">
        <v>-1064.2383856026606</v>
      </c>
    </row>
    <row r="4551" spans="2:2" ht="15.6">
      <c r="B4551" s="171">
        <v>-1059.5357897274787</v>
      </c>
    </row>
    <row r="4552" spans="2:2" ht="15.6">
      <c r="B4552" s="171">
        <v>-1397.2030160049908</v>
      </c>
    </row>
    <row r="4553" spans="2:2" ht="15.6">
      <c r="B4553" s="171">
        <v>-1480.8157872761094</v>
      </c>
    </row>
    <row r="4554" spans="2:2" ht="15.6">
      <c r="B4554" s="171">
        <v>-1440.5760980646505</v>
      </c>
    </row>
    <row r="4555" spans="2:2" ht="15.6">
      <c r="B4555" s="171">
        <v>-1758.9939825502513</v>
      </c>
    </row>
    <row r="4556" spans="2:2" ht="15.6">
      <c r="B4556" s="171">
        <v>-1890.5466583102675</v>
      </c>
    </row>
    <row r="4557" spans="2:2" ht="15.6">
      <c r="B4557" s="171">
        <v>-1448.3443169281209</v>
      </c>
    </row>
    <row r="4558" spans="2:2" ht="15.6">
      <c r="B4558" s="171">
        <v>-1781.3597959202364</v>
      </c>
    </row>
    <row r="4559" spans="2:2" ht="15.6">
      <c r="B4559" s="171">
        <v>-1531.9356222393974</v>
      </c>
    </row>
    <row r="4560" spans="2:2" ht="15.6">
      <c r="B4560" s="171">
        <v>-1331.7264263931327</v>
      </c>
    </row>
    <row r="4561" spans="2:2" ht="15.6">
      <c r="B4561" s="171">
        <v>-1986.6664111661696</v>
      </c>
    </row>
    <row r="4562" spans="2:2" ht="15.6">
      <c r="B4562" s="171">
        <v>-1436.5046150801647</v>
      </c>
    </row>
    <row r="4563" spans="2:2" ht="15.6">
      <c r="B4563" s="171">
        <v>-1241.7976707153402</v>
      </c>
    </row>
    <row r="4564" spans="2:2" ht="15.6">
      <c r="B4564" s="171">
        <v>-1537.5173510401851</v>
      </c>
    </row>
    <row r="4565" spans="2:2" ht="15.6">
      <c r="B4565" s="171">
        <v>-1068.0728956435134</v>
      </c>
    </row>
    <row r="4566" spans="2:2" ht="15.6">
      <c r="B4566" s="171">
        <v>-1002.7855141742933</v>
      </c>
    </row>
    <row r="4567" spans="2:2" ht="15.6">
      <c r="B4567" s="171">
        <v>-1445.0819692280934</v>
      </c>
    </row>
    <row r="4568" spans="2:2" ht="15.6">
      <c r="B4568" s="171">
        <v>-1798.4798343402913</v>
      </c>
    </row>
    <row r="4569" spans="2:2" ht="15.6">
      <c r="B4569" s="171">
        <v>-1780.7863331898416</v>
      </c>
    </row>
    <row r="4570" spans="2:2" ht="15.6">
      <c r="B4570" s="171">
        <v>-1921.027032198095</v>
      </c>
    </row>
    <row r="4571" spans="2:2" ht="15.6">
      <c r="B4571" s="171">
        <v>-2332.1788163406191</v>
      </c>
    </row>
    <row r="4572" spans="2:2" ht="15.6">
      <c r="B4572" s="171">
        <v>-1778.869180314053</v>
      </c>
    </row>
    <row r="4573" spans="2:2" ht="15.6">
      <c r="B4573" s="171">
        <v>-2033.6591424543863</v>
      </c>
    </row>
    <row r="4574" spans="2:2" ht="15.6">
      <c r="B4574" s="171">
        <v>-1616.2323477269024</v>
      </c>
    </row>
    <row r="4575" spans="2:2" ht="15.6">
      <c r="B4575" s="171">
        <v>-1577.633676583785</v>
      </c>
    </row>
    <row r="4576" spans="2:2" ht="15.6">
      <c r="B4576" s="171">
        <v>-1543.8575888701635</v>
      </c>
    </row>
    <row r="4577" spans="2:2" ht="15.6">
      <c r="B4577" s="171">
        <v>-985.94589721129501</v>
      </c>
    </row>
    <row r="4578" spans="2:2" ht="15.6">
      <c r="B4578" s="171">
        <v>-745.89261901557552</v>
      </c>
    </row>
    <row r="4579" spans="2:2" ht="15.6">
      <c r="B4579" s="171">
        <v>-1899.9929173620712</v>
      </c>
    </row>
    <row r="4580" spans="2:2" ht="15.6">
      <c r="B4580" s="171">
        <v>-1815.5254089952541</v>
      </c>
    </row>
    <row r="4581" spans="2:2" ht="15.6">
      <c r="B4581" s="171">
        <v>-2054.6893998667033</v>
      </c>
    </row>
    <row r="4582" spans="2:2" ht="15.6">
      <c r="B4582" s="171">
        <v>-1352.9557076596741</v>
      </c>
    </row>
    <row r="4583" spans="2:2" ht="15.6">
      <c r="B4583" s="171">
        <v>-931.94369950391376</v>
      </c>
    </row>
    <row r="4584" spans="2:2" ht="15.6">
      <c r="B4584" s="171">
        <v>-1326.079609626187</v>
      </c>
    </row>
    <row r="4585" spans="2:2" ht="15.6">
      <c r="B4585" s="171">
        <v>-1588.0319844553937</v>
      </c>
    </row>
    <row r="4586" spans="2:2" ht="15.6">
      <c r="B4586" s="171">
        <v>-2026.4553176798981</v>
      </c>
    </row>
    <row r="4587" spans="2:2" ht="15.6">
      <c r="B4587" s="171">
        <v>-1702.3909159819514</v>
      </c>
    </row>
    <row r="4588" spans="2:2" ht="15.6">
      <c r="B4588" s="171">
        <v>-1833.0584627106252</v>
      </c>
    </row>
    <row r="4589" spans="2:2" ht="15.6">
      <c r="B4589" s="171">
        <v>-1519.793551682835</v>
      </c>
    </row>
    <row r="4590" spans="2:2" ht="15.6">
      <c r="B4590" s="171">
        <v>-1568.9289270440079</v>
      </c>
    </row>
    <row r="4591" spans="2:2" ht="15.6">
      <c r="B4591" s="171">
        <v>-1090.7751223324631</v>
      </c>
    </row>
    <row r="4592" spans="2:2" ht="15.6">
      <c r="B4592" s="171">
        <v>-958.6437967637961</v>
      </c>
    </row>
    <row r="4593" spans="2:2" ht="15.6">
      <c r="B4593" s="171">
        <v>-886.63739800745691</v>
      </c>
    </row>
    <row r="4594" spans="2:2" ht="15.6">
      <c r="B4594" s="171">
        <v>-1754.1934216761847</v>
      </c>
    </row>
    <row r="4595" spans="2:2" ht="15.6">
      <c r="B4595" s="171">
        <v>-1249.758290851199</v>
      </c>
    </row>
    <row r="4596" spans="2:2" ht="15.6">
      <c r="B4596" s="171">
        <v>-2187.4148608093469</v>
      </c>
    </row>
    <row r="4597" spans="2:2" ht="15.6">
      <c r="B4597" s="171">
        <v>-1055.5248177287185</v>
      </c>
    </row>
    <row r="4598" spans="2:2" ht="15.6">
      <c r="B4598" s="171">
        <v>-1396.8511349034279</v>
      </c>
    </row>
    <row r="4599" spans="2:2" ht="15.6">
      <c r="B4599" s="171">
        <v>-1251.0782582679387</v>
      </c>
    </row>
    <row r="4600" spans="2:2" ht="15.6">
      <c r="B4600" s="171">
        <v>-1290.460198670203</v>
      </c>
    </row>
    <row r="4601" spans="2:2" ht="15.6">
      <c r="B4601" s="171">
        <v>-2274.19943043066</v>
      </c>
    </row>
    <row r="4602" spans="2:2" ht="15.6">
      <c r="B4602" s="171">
        <v>-1035.7819099022472</v>
      </c>
    </row>
    <row r="4603" spans="2:2" ht="15.6">
      <c r="B4603" s="171">
        <v>-1195.2095113515963</v>
      </c>
    </row>
    <row r="4604" spans="2:2" ht="15.6">
      <c r="B4604" s="171">
        <v>-1397.4966798878347</v>
      </c>
    </row>
    <row r="4605" spans="2:2" ht="15.6">
      <c r="B4605" s="171">
        <v>-1991.7453775306928</v>
      </c>
    </row>
    <row r="4606" spans="2:2" ht="15.6">
      <c r="B4606" s="171">
        <v>-1146.3981598327118</v>
      </c>
    </row>
    <row r="4607" spans="2:2" ht="15.6">
      <c r="B4607" s="171">
        <v>-1973.3955815293048</v>
      </c>
    </row>
    <row r="4608" spans="2:2" ht="15.6">
      <c r="B4608" s="171">
        <v>-2294.280817179073</v>
      </c>
    </row>
    <row r="4609" spans="2:2" ht="15.6">
      <c r="B4609" s="171">
        <v>-1294.6861859437615</v>
      </c>
    </row>
    <row r="4610" spans="2:2" ht="15.6">
      <c r="B4610" s="171">
        <v>-1521.596525522983</v>
      </c>
    </row>
    <row r="4611" spans="2:2" ht="15.6">
      <c r="B4611" s="171">
        <v>-2040.6555283426919</v>
      </c>
    </row>
    <row r="4612" spans="2:2" ht="15.6">
      <c r="B4612" s="171">
        <v>-997.53026712803808</v>
      </c>
    </row>
    <row r="4613" spans="2:2" ht="15.6">
      <c r="B4613" s="171">
        <v>-1584.0632887695501</v>
      </c>
    </row>
    <row r="4614" spans="2:2" ht="15.6">
      <c r="B4614" s="171">
        <v>-780.64264641072543</v>
      </c>
    </row>
    <row r="4615" spans="2:2" ht="15.6">
      <c r="B4615" s="171">
        <v>-1380.3629051146922</v>
      </c>
    </row>
    <row r="4616" spans="2:2" ht="15.6">
      <c r="B4616" s="171">
        <v>-1664.5541020153059</v>
      </c>
    </row>
    <row r="4617" spans="2:2" ht="15.6">
      <c r="B4617" s="171">
        <v>-2359.4445905785024</v>
      </c>
    </row>
    <row r="4618" spans="2:2" ht="15.6">
      <c r="B4618" s="171">
        <v>-2352.1768521568042</v>
      </c>
    </row>
    <row r="4619" spans="2:2" ht="15.6">
      <c r="B4619" s="171">
        <v>-1702.7056771519851</v>
      </c>
    </row>
    <row r="4620" spans="2:2" ht="15.6">
      <c r="B4620" s="171">
        <v>-994.55484174876688</v>
      </c>
    </row>
    <row r="4621" spans="2:2" ht="15.6">
      <c r="B4621" s="171">
        <v>-2038.5608147861703</v>
      </c>
    </row>
    <row r="4622" spans="2:2" ht="15.6">
      <c r="B4622" s="171">
        <v>-1592.3943918611299</v>
      </c>
    </row>
    <row r="4623" spans="2:2" ht="15.6">
      <c r="B4623" s="171">
        <v>-1505.1887724728651</v>
      </c>
    </row>
    <row r="4624" spans="2:2" ht="15.6">
      <c r="B4624" s="171">
        <v>-2335.2688772107549</v>
      </c>
    </row>
    <row r="4625" spans="2:2" ht="15.6">
      <c r="B4625" s="171">
        <v>-1553.4333429180442</v>
      </c>
    </row>
    <row r="4626" spans="2:2" ht="15.6">
      <c r="B4626" s="171">
        <v>-1592.461905939683</v>
      </c>
    </row>
    <row r="4627" spans="2:2" ht="15.6">
      <c r="B4627" s="171">
        <v>-2458.2859525949448</v>
      </c>
    </row>
    <row r="4628" spans="2:2" ht="15.6">
      <c r="B4628" s="171">
        <v>-1485.6980500983723</v>
      </c>
    </row>
    <row r="4629" spans="2:2" ht="15.6">
      <c r="B4629" s="171">
        <v>-1047.9455992120281</v>
      </c>
    </row>
    <row r="4630" spans="2:2" ht="15.6">
      <c r="B4630" s="171">
        <v>-2295.0493250880145</v>
      </c>
    </row>
    <row r="4631" spans="2:2" ht="15.6">
      <c r="B4631" s="171">
        <v>-1713.8313568591279</v>
      </c>
    </row>
    <row r="4632" spans="2:2" ht="15.6">
      <c r="B4632" s="171">
        <v>-1108.8879646592382</v>
      </c>
    </row>
    <row r="4633" spans="2:2" ht="15.6">
      <c r="B4633" s="171">
        <v>-1841.4234239811162</v>
      </c>
    </row>
    <row r="4634" spans="2:2" ht="15.6">
      <c r="B4634" s="171">
        <v>-1723.4357423296992</v>
      </c>
    </row>
    <row r="4635" spans="2:2" ht="15.6">
      <c r="B4635" s="171">
        <v>-1546.5399866677151</v>
      </c>
    </row>
    <row r="4636" spans="2:2" ht="15.6">
      <c r="B4636" s="171">
        <v>-1417.0833893331674</v>
      </c>
    </row>
    <row r="4637" spans="2:2" ht="15.6">
      <c r="B4637" s="171">
        <v>-1464.4666472869496</v>
      </c>
    </row>
    <row r="4638" spans="2:2" ht="15.6">
      <c r="B4638" s="171">
        <v>-2286.284341110199</v>
      </c>
    </row>
    <row r="4639" spans="2:2" ht="15.6">
      <c r="B4639" s="171">
        <v>-1484.6691503742309</v>
      </c>
    </row>
    <row r="4640" spans="2:2" ht="15.6">
      <c r="B4640" s="171">
        <v>-1923.273184062014</v>
      </c>
    </row>
    <row r="4641" spans="2:2" ht="15.6">
      <c r="B4641" s="171">
        <v>-1075.1251019478423</v>
      </c>
    </row>
    <row r="4642" spans="2:2" ht="15.6">
      <c r="B4642" s="171">
        <v>-1420.0183935885855</v>
      </c>
    </row>
    <row r="4643" spans="2:2" ht="15.6">
      <c r="B4643" s="171">
        <v>-1021.6525406592489</v>
      </c>
    </row>
    <row r="4644" spans="2:2" ht="15.6">
      <c r="B4644" s="171">
        <v>-1355.5780929738289</v>
      </c>
    </row>
    <row r="4645" spans="2:2" ht="15.6">
      <c r="B4645" s="171">
        <v>-1562.8072829600912</v>
      </c>
    </row>
    <row r="4646" spans="2:2" ht="15.6">
      <c r="B4646" s="171">
        <v>-2004.3723229674115</v>
      </c>
    </row>
    <row r="4647" spans="2:2" ht="15.6">
      <c r="B4647" s="171">
        <v>-1464.2132214148091</v>
      </c>
    </row>
    <row r="4648" spans="2:2" ht="15.6">
      <c r="B4648" s="171">
        <v>-1640.9675715126323</v>
      </c>
    </row>
    <row r="4649" spans="2:2" ht="15.6">
      <c r="B4649" s="171">
        <v>-1881.2881142468291</v>
      </c>
    </row>
    <row r="4650" spans="2:2" ht="15.6">
      <c r="B4650" s="171">
        <v>-1060.7897684595368</v>
      </c>
    </row>
    <row r="4651" spans="2:2" ht="15.6">
      <c r="B4651" s="171">
        <v>-1564.7758825871977</v>
      </c>
    </row>
    <row r="4652" spans="2:2" ht="15.6">
      <c r="B4652" s="171">
        <v>-1613.017317264949</v>
      </c>
    </row>
    <row r="4653" spans="2:2" ht="15.6">
      <c r="B4653" s="171">
        <v>-1132.9566027098381</v>
      </c>
    </row>
    <row r="4654" spans="2:2" ht="15.6">
      <c r="B4654" s="171">
        <v>-1233.6976458750557</v>
      </c>
    </row>
    <row r="4655" spans="2:2" ht="15.6">
      <c r="B4655" s="171">
        <v>-1684.9529049433379</v>
      </c>
    </row>
    <row r="4656" spans="2:2" ht="15.6">
      <c r="B4656" s="171">
        <v>-1073.4716076078944</v>
      </c>
    </row>
    <row r="4657" spans="2:2" ht="15.6">
      <c r="B4657" s="171">
        <v>-922.05368331756927</v>
      </c>
    </row>
    <row r="4658" spans="2:2" ht="15.6">
      <c r="B4658" s="171">
        <v>-1702.2410827884376</v>
      </c>
    </row>
    <row r="4659" spans="2:2" ht="15.6">
      <c r="B4659" s="171">
        <v>-1786.7341504097949</v>
      </c>
    </row>
    <row r="4660" spans="2:2" ht="15.6">
      <c r="B4660" s="171">
        <v>-1691.4563970089348</v>
      </c>
    </row>
    <row r="4661" spans="2:2" ht="15.6">
      <c r="B4661" s="171">
        <v>-1484.4920795912619</v>
      </c>
    </row>
    <row r="4662" spans="2:2" ht="15.6">
      <c r="B4662" s="171">
        <v>-2159.3176974215994</v>
      </c>
    </row>
    <row r="4663" spans="2:2" ht="15.6">
      <c r="B4663" s="171">
        <v>-1426.8032714228277</v>
      </c>
    </row>
    <row r="4664" spans="2:2" ht="15.6">
      <c r="B4664" s="171">
        <v>-2002.3758898563376</v>
      </c>
    </row>
    <row r="4665" spans="2:2" ht="15.6">
      <c r="B4665" s="171">
        <v>-1855.5698537132585</v>
      </c>
    </row>
    <row r="4666" spans="2:2" ht="15.6">
      <c r="B4666" s="171">
        <v>-1857.6010169023223</v>
      </c>
    </row>
    <row r="4667" spans="2:2" ht="15.6">
      <c r="B4667" s="171">
        <v>-1493.0340968140074</v>
      </c>
    </row>
    <row r="4668" spans="2:2" ht="15.6">
      <c r="B4668" s="171">
        <v>-1444.2125067031991</v>
      </c>
    </row>
    <row r="4669" spans="2:2" ht="15.6">
      <c r="B4669" s="171">
        <v>-1022.1926793615506</v>
      </c>
    </row>
    <row r="4670" spans="2:2" ht="15.6">
      <c r="B4670" s="171">
        <v>-1560.3933153072844</v>
      </c>
    </row>
    <row r="4671" spans="2:2" ht="15.6">
      <c r="B4671" s="171">
        <v>-1249.8929376498907</v>
      </c>
    </row>
    <row r="4672" spans="2:2" ht="15.6">
      <c r="B4672" s="171">
        <v>-1214.9665755766532</v>
      </c>
    </row>
    <row r="4673" spans="2:2" ht="15.6">
      <c r="B4673" s="171">
        <v>-1692.2026162170841</v>
      </c>
    </row>
    <row r="4674" spans="2:2" ht="15.6">
      <c r="B4674" s="171">
        <v>-1737.6853274437221</v>
      </c>
    </row>
    <row r="4675" spans="2:2" ht="15.6">
      <c r="B4675" s="171">
        <v>-1540.5604106038572</v>
      </c>
    </row>
    <row r="4676" spans="2:2" ht="15.6">
      <c r="B4676" s="171">
        <v>-1611.4294129677944</v>
      </c>
    </row>
    <row r="4677" spans="2:2" ht="15.6">
      <c r="B4677" s="171">
        <v>-1384.1452838301618</v>
      </c>
    </row>
    <row r="4678" spans="2:2" ht="15.6">
      <c r="B4678" s="171">
        <v>-1201.6917673716639</v>
      </c>
    </row>
    <row r="4679" spans="2:2" ht="15.6">
      <c r="B4679" s="171">
        <v>-1918.3615800492844</v>
      </c>
    </row>
    <row r="4680" spans="2:2" ht="15.6">
      <c r="B4680" s="171">
        <v>-1322.5901929915149</v>
      </c>
    </row>
    <row r="4681" spans="2:2" ht="15.6">
      <c r="B4681" s="171">
        <v>-1302.7141290417912</v>
      </c>
    </row>
    <row r="4682" spans="2:2" ht="15.6">
      <c r="B4682" s="171">
        <v>-1927.9060147973942</v>
      </c>
    </row>
    <row r="4683" spans="2:2" ht="15.6">
      <c r="B4683" s="171">
        <v>-1870.6282209512913</v>
      </c>
    </row>
    <row r="4684" spans="2:2" ht="15.6">
      <c r="B4684" s="171">
        <v>-1316.2332059372911</v>
      </c>
    </row>
    <row r="4685" spans="2:2" ht="15.6">
      <c r="B4685" s="171">
        <v>-1392.514704139219</v>
      </c>
    </row>
    <row r="4686" spans="2:2" ht="15.6">
      <c r="B4686" s="171">
        <v>-1864.3757246768664</v>
      </c>
    </row>
    <row r="4687" spans="2:2" ht="15.6">
      <c r="B4687" s="171">
        <v>-1412.535645977498</v>
      </c>
    </row>
    <row r="4688" spans="2:2" ht="15.6">
      <c r="B4688" s="171">
        <v>-1397.6260488715436</v>
      </c>
    </row>
    <row r="4689" spans="2:2" ht="15.6">
      <c r="B4689" s="171">
        <v>-2470.4658486851313</v>
      </c>
    </row>
    <row r="4690" spans="2:2" ht="15.6">
      <c r="B4690" s="171">
        <v>-1967.4424119316554</v>
      </c>
    </row>
    <row r="4691" spans="2:2" ht="15.6">
      <c r="B4691" s="171">
        <v>-1265.2546025520605</v>
      </c>
    </row>
    <row r="4692" spans="2:2" ht="15.6">
      <c r="B4692" s="171">
        <v>-1203.3134602603234</v>
      </c>
    </row>
    <row r="4693" spans="2:2" ht="15.6">
      <c r="B4693" s="171">
        <v>-1296.0984224934707</v>
      </c>
    </row>
    <row r="4694" spans="2:2" ht="15.6">
      <c r="B4694" s="171">
        <v>-2257.5884046531055</v>
      </c>
    </row>
    <row r="4695" spans="2:2" ht="15.6">
      <c r="B4695" s="171">
        <v>-2273.4179784194203</v>
      </c>
    </row>
    <row r="4696" spans="2:2" ht="15.6">
      <c r="B4696" s="171">
        <v>-1028.5391340000997</v>
      </c>
    </row>
    <row r="4697" spans="2:2" ht="15.6">
      <c r="B4697" s="171">
        <v>-2493.6966826570233</v>
      </c>
    </row>
    <row r="4698" spans="2:2" ht="15.6">
      <c r="B4698" s="171">
        <v>-1720.6627502195065</v>
      </c>
    </row>
    <row r="4699" spans="2:2" ht="15.6">
      <c r="B4699" s="171">
        <v>-813.66326661932931</v>
      </c>
    </row>
    <row r="4700" spans="2:2" ht="15.6">
      <c r="B4700" s="171">
        <v>-1644.2615314489387</v>
      </c>
    </row>
    <row r="4701" spans="2:2" ht="15.6">
      <c r="B4701" s="171">
        <v>-1533.6995453680277</v>
      </c>
    </row>
    <row r="4702" spans="2:2" ht="15.6">
      <c r="B4702" s="171">
        <v>-1452.1338522384397</v>
      </c>
    </row>
    <row r="4703" spans="2:2" ht="15.6">
      <c r="B4703" s="171">
        <v>-1205.3267302372435</v>
      </c>
    </row>
    <row r="4704" spans="2:2" ht="15.6">
      <c r="B4704" s="171">
        <v>-1578.1966878005351</v>
      </c>
    </row>
    <row r="4705" spans="2:2" ht="15.6">
      <c r="B4705" s="171">
        <v>-1434.5299356360997</v>
      </c>
    </row>
    <row r="4706" spans="2:2" ht="15.6">
      <c r="B4706" s="171">
        <v>-1411.6039330151789</v>
      </c>
    </row>
    <row r="4707" spans="2:2" ht="15.6">
      <c r="B4707" s="171">
        <v>-1617.2490290037167</v>
      </c>
    </row>
    <row r="4708" spans="2:2" ht="15.6">
      <c r="B4708" s="171">
        <v>-2264.3028432502865</v>
      </c>
    </row>
    <row r="4709" spans="2:2" ht="15.6">
      <c r="B4709" s="171">
        <v>-1304.771472114875</v>
      </c>
    </row>
    <row r="4710" spans="2:2" ht="15.6">
      <c r="B4710" s="171">
        <v>-1653.0576212411647</v>
      </c>
    </row>
    <row r="4711" spans="2:2" ht="15.6">
      <c r="B4711" s="171">
        <v>-1506.8606723891744</v>
      </c>
    </row>
    <row r="4712" spans="2:2" ht="15.6">
      <c r="B4712" s="171">
        <v>-1423.2887842502582</v>
      </c>
    </row>
    <row r="4713" spans="2:2" ht="15.6">
      <c r="B4713" s="171">
        <v>-1118.5788921377011</v>
      </c>
    </row>
    <row r="4714" spans="2:2" ht="15.6">
      <c r="B4714" s="171">
        <v>-1074.4055840510841</v>
      </c>
    </row>
    <row r="4715" spans="2:2" ht="15.6">
      <c r="B4715" s="171">
        <v>-2081.9713867726837</v>
      </c>
    </row>
    <row r="4716" spans="2:2" ht="15.6">
      <c r="B4716" s="171">
        <v>-1956.1110443564667</v>
      </c>
    </row>
    <row r="4717" spans="2:2" ht="15.6">
      <c r="B4717" s="171">
        <v>-1299.2713960080737</v>
      </c>
    </row>
    <row r="4718" spans="2:2" ht="15.6">
      <c r="B4718" s="171">
        <v>-1554.2632456719291</v>
      </c>
    </row>
    <row r="4719" spans="2:2" ht="15.6">
      <c r="B4719" s="171">
        <v>-1476.9831640312846</v>
      </c>
    </row>
    <row r="4720" spans="2:2" ht="15.6">
      <c r="B4720" s="171">
        <v>-1567.0369694975425</v>
      </c>
    </row>
    <row r="4721" spans="2:2" ht="15.6">
      <c r="B4721" s="171">
        <v>-1406.3304677853703</v>
      </c>
    </row>
    <row r="4722" spans="2:2" ht="15.6">
      <c r="B4722" s="171">
        <v>-1693.3503005002085</v>
      </c>
    </row>
    <row r="4723" spans="2:2" ht="15.6">
      <c r="B4723" s="171">
        <v>-1279.6236789591637</v>
      </c>
    </row>
    <row r="4724" spans="2:2" ht="15.6">
      <c r="B4724" s="171">
        <v>-1220.386221440094</v>
      </c>
    </row>
    <row r="4725" spans="2:2" ht="15.6">
      <c r="B4725" s="171">
        <v>-1342.4173248106631</v>
      </c>
    </row>
    <row r="4726" spans="2:2" ht="15.6">
      <c r="B4726" s="171">
        <v>-1967.7742744970328</v>
      </c>
    </row>
    <row r="4727" spans="2:2" ht="15.6">
      <c r="B4727" s="171">
        <v>-1707.2263830295642</v>
      </c>
    </row>
    <row r="4728" spans="2:2" ht="15.6">
      <c r="B4728" s="171">
        <v>-1991.9777058068771</v>
      </c>
    </row>
    <row r="4729" spans="2:2" ht="15.6">
      <c r="B4729" s="171">
        <v>-1765.3334362158914</v>
      </c>
    </row>
    <row r="4730" spans="2:2" ht="15.6">
      <c r="B4730" s="171">
        <v>-1174.7384382555822</v>
      </c>
    </row>
    <row r="4731" spans="2:2" ht="15.6">
      <c r="B4731" s="171">
        <v>-2043.0837651547872</v>
      </c>
    </row>
    <row r="4732" spans="2:2" ht="15.6">
      <c r="B4732" s="171">
        <v>-1192.2290513908367</v>
      </c>
    </row>
    <row r="4733" spans="2:2" ht="15.6">
      <c r="B4733" s="171">
        <v>-1568.2768645930989</v>
      </c>
    </row>
    <row r="4734" spans="2:2" ht="15.6">
      <c r="B4734" s="171">
        <v>-1790.8354222289088</v>
      </c>
    </row>
    <row r="4735" spans="2:2" ht="15.6">
      <c r="B4735" s="171">
        <v>-1112.5480729498845</v>
      </c>
    </row>
    <row r="4736" spans="2:2" ht="15.6">
      <c r="B4736" s="171">
        <v>-1787.4203730100248</v>
      </c>
    </row>
    <row r="4737" spans="2:2" ht="15.6">
      <c r="B4737" s="171">
        <v>-1197.6021788471105</v>
      </c>
    </row>
    <row r="4738" spans="2:2" ht="15.6">
      <c r="B4738" s="171">
        <v>-1774.2693248099249</v>
      </c>
    </row>
    <row r="4739" spans="2:2" ht="15.6">
      <c r="B4739" s="171">
        <v>-1312.4776062604299</v>
      </c>
    </row>
    <row r="4740" spans="2:2" ht="15.6">
      <c r="B4740" s="171">
        <v>-2115.9575079537567</v>
      </c>
    </row>
    <row r="4741" spans="2:2" ht="15.6">
      <c r="B4741" s="171">
        <v>-2087.9773982211382</v>
      </c>
    </row>
    <row r="4742" spans="2:2" ht="15.6">
      <c r="B4742" s="171">
        <v>-1410.2662377679835</v>
      </c>
    </row>
    <row r="4743" spans="2:2" ht="15.6">
      <c r="B4743" s="171">
        <v>-1313.9342314726784</v>
      </c>
    </row>
    <row r="4744" spans="2:2" ht="15.6">
      <c r="B4744" s="171">
        <v>-1812.5843012121536</v>
      </c>
    </row>
    <row r="4745" spans="2:2" ht="15.6">
      <c r="B4745" s="171">
        <v>-1457.7775942504707</v>
      </c>
    </row>
    <row r="4746" spans="2:2" ht="15.6">
      <c r="B4746" s="171">
        <v>-1415.9458953272133</v>
      </c>
    </row>
    <row r="4747" spans="2:2" ht="15.6">
      <c r="B4747" s="171">
        <v>-2390.3439192846845</v>
      </c>
    </row>
    <row r="4748" spans="2:2" ht="15.6">
      <c r="B4748" s="171">
        <v>-1859.0805121105375</v>
      </c>
    </row>
    <row r="4749" spans="2:2" ht="15.6">
      <c r="B4749" s="171">
        <v>-1460.2487140299081</v>
      </c>
    </row>
    <row r="4750" spans="2:2" ht="15.6">
      <c r="B4750" s="171">
        <v>-1165.9315637738443</v>
      </c>
    </row>
    <row r="4751" spans="2:2" ht="15.6">
      <c r="B4751" s="171">
        <v>-1226.8953856220539</v>
      </c>
    </row>
    <row r="4752" spans="2:2" ht="15.6">
      <c r="B4752" s="171">
        <v>-1303.0194735459816</v>
      </c>
    </row>
    <row r="4753" spans="2:2" ht="15.6">
      <c r="B4753" s="171">
        <v>-1860.7529610578767</v>
      </c>
    </row>
    <row r="4754" spans="2:2" ht="15.6">
      <c r="B4754" s="171">
        <v>-1722.5771837999087</v>
      </c>
    </row>
    <row r="4755" spans="2:2" ht="15.6">
      <c r="B4755" s="171">
        <v>-1757.4259835368566</v>
      </c>
    </row>
    <row r="4756" spans="2:2" ht="15.6">
      <c r="B4756" s="171">
        <v>-2181.1236956830903</v>
      </c>
    </row>
    <row r="4757" spans="2:2" ht="15.6">
      <c r="B4757" s="171">
        <v>-1561.1104490800628</v>
      </c>
    </row>
    <row r="4758" spans="2:2" ht="15.6">
      <c r="B4758" s="171">
        <v>-1393.7727722245963</v>
      </c>
    </row>
    <row r="4759" spans="2:2" ht="15.6">
      <c r="B4759" s="171">
        <v>-1024.6773095025505</v>
      </c>
    </row>
    <row r="4760" spans="2:2" ht="15.6">
      <c r="B4760" s="171">
        <v>-1379.0545200293388</v>
      </c>
    </row>
    <row r="4761" spans="2:2" ht="15.6">
      <c r="B4761" s="171">
        <v>-2320.8569010140386</v>
      </c>
    </row>
    <row r="4762" spans="2:2" ht="15.6">
      <c r="B4762" s="171">
        <v>-1745.3654136376617</v>
      </c>
    </row>
    <row r="4763" spans="2:2" ht="15.6">
      <c r="B4763" s="171">
        <v>-1265.9874899909935</v>
      </c>
    </row>
    <row r="4764" spans="2:2" ht="15.6">
      <c r="B4764" s="171">
        <v>-1353.524787761299</v>
      </c>
    </row>
    <row r="4765" spans="2:2" ht="15.6">
      <c r="B4765" s="171">
        <v>-784.35774096229454</v>
      </c>
    </row>
    <row r="4766" spans="2:2" ht="15.6">
      <c r="B4766" s="171">
        <v>-1268.2569176554966</v>
      </c>
    </row>
    <row r="4767" spans="2:2" ht="15.6">
      <c r="B4767" s="171">
        <v>-1472.6802724357835</v>
      </c>
    </row>
    <row r="4768" spans="2:2" ht="15.6">
      <c r="B4768" s="171">
        <v>-2388.5390963823747</v>
      </c>
    </row>
    <row r="4769" spans="2:2" ht="15.6">
      <c r="B4769" s="171">
        <v>-1663.2117691473325</v>
      </c>
    </row>
    <row r="4770" spans="2:2" ht="15.6">
      <c r="B4770" s="171">
        <v>-1525.3506397565652</v>
      </c>
    </row>
    <row r="4771" spans="2:2" ht="15.6">
      <c r="B4771" s="171">
        <v>-1800.8002240007118</v>
      </c>
    </row>
    <row r="4772" spans="2:2" ht="15.6">
      <c r="B4772" s="171">
        <v>-1537.7493973901587</v>
      </c>
    </row>
    <row r="4773" spans="2:2" ht="15.6">
      <c r="B4773" s="171">
        <v>-1495.8037276030407</v>
      </c>
    </row>
    <row r="4774" spans="2:2" ht="15.6">
      <c r="B4774" s="171">
        <v>-2278.1002968691801</v>
      </c>
    </row>
    <row r="4775" spans="2:2" ht="15.6">
      <c r="B4775" s="171">
        <v>-1498.7187187520508</v>
      </c>
    </row>
    <row r="4776" spans="2:2" ht="15.6">
      <c r="B4776" s="171">
        <v>-1487.1656296655585</v>
      </c>
    </row>
    <row r="4777" spans="2:2" ht="15.6">
      <c r="B4777" s="171">
        <v>-797.38673749038139</v>
      </c>
    </row>
    <row r="4778" spans="2:2" ht="15.6">
      <c r="B4778" s="171">
        <v>-985.63663325339792</v>
      </c>
    </row>
    <row r="4779" spans="2:2" ht="15.6">
      <c r="B4779" s="171">
        <v>-1274.0411801949392</v>
      </c>
    </row>
    <row r="4780" spans="2:2" ht="15.6">
      <c r="B4780" s="171">
        <v>-2306.0145090665483</v>
      </c>
    </row>
    <row r="4781" spans="2:2" ht="15.6">
      <c r="B4781" s="171">
        <v>-1917.4111160523535</v>
      </c>
    </row>
    <row r="4782" spans="2:2" ht="15.6">
      <c r="B4782" s="171">
        <v>-1989.2578574731465</v>
      </c>
    </row>
    <row r="4783" spans="2:2" ht="15.6">
      <c r="B4783" s="171">
        <v>-1182.019988774432</v>
      </c>
    </row>
    <row r="4784" spans="2:2" ht="15.6">
      <c r="B4784" s="171">
        <v>-1742.9275047009082</v>
      </c>
    </row>
    <row r="4785" spans="2:2" ht="15.6">
      <c r="B4785" s="171">
        <v>-1881.7206997231756</v>
      </c>
    </row>
    <row r="4786" spans="2:2" ht="15.6">
      <c r="B4786" s="171">
        <v>-1804.9260484454423</v>
      </c>
    </row>
    <row r="4787" spans="2:2" ht="15.6">
      <c r="B4787" s="171">
        <v>-874.76259347475764</v>
      </c>
    </row>
    <row r="4788" spans="2:2" ht="15.6">
      <c r="B4788" s="171">
        <v>-1938.4067057148509</v>
      </c>
    </row>
    <row r="4789" spans="2:2" ht="15.6">
      <c r="B4789" s="171">
        <v>-1779.8054273896587</v>
      </c>
    </row>
    <row r="4790" spans="2:2" ht="15.6">
      <c r="B4790" s="171">
        <v>-1732.2584205445405</v>
      </c>
    </row>
    <row r="4791" spans="2:2" ht="15.6">
      <c r="B4791" s="171">
        <v>-1913.8552396479022</v>
      </c>
    </row>
    <row r="4792" spans="2:2" ht="15.6">
      <c r="B4792" s="171">
        <v>-1314.8443970627254</v>
      </c>
    </row>
    <row r="4793" spans="2:2" ht="15.6">
      <c r="B4793" s="171">
        <v>-1633.636169792388</v>
      </c>
    </row>
    <row r="4794" spans="2:2" ht="15.6">
      <c r="B4794" s="171">
        <v>-1936.8628513152089</v>
      </c>
    </row>
    <row r="4795" spans="2:2" ht="15.6">
      <c r="B4795" s="171">
        <v>-1194.8588898218115</v>
      </c>
    </row>
    <row r="4796" spans="2:2" ht="15.6">
      <c r="B4796" s="171">
        <v>-1485.0507138843266</v>
      </c>
    </row>
    <row r="4797" spans="2:2" ht="15.6">
      <c r="B4797" s="171">
        <v>-1709.1730406320401</v>
      </c>
    </row>
    <row r="4798" spans="2:2" ht="15.6">
      <c r="B4798" s="171">
        <v>-1646.1802535119498</v>
      </c>
    </row>
    <row r="4799" spans="2:2" ht="15.6">
      <c r="B4799" s="171">
        <v>-2194.9653939916266</v>
      </c>
    </row>
    <row r="4800" spans="2:2" ht="15.6">
      <c r="B4800" s="171">
        <v>-1801.0882635733117</v>
      </c>
    </row>
    <row r="4801" spans="2:2" ht="15.6">
      <c r="B4801" s="171">
        <v>-2009.9407931541239</v>
      </c>
    </row>
    <row r="4802" spans="2:2" ht="15.6">
      <c r="B4802" s="171">
        <v>-1852.5584876848125</v>
      </c>
    </row>
    <row r="4803" spans="2:2" ht="15.6">
      <c r="B4803" s="171">
        <v>-1287.9091550308522</v>
      </c>
    </row>
    <row r="4804" spans="2:2" ht="15.6">
      <c r="B4804" s="171">
        <v>-1892.524463606384</v>
      </c>
    </row>
    <row r="4805" spans="2:2" ht="15.6">
      <c r="B4805" s="171">
        <v>-1444.0384070267626</v>
      </c>
    </row>
    <row r="4806" spans="2:2" ht="15.6">
      <c r="B4806" s="171">
        <v>-1951.5705435349537</v>
      </c>
    </row>
    <row r="4807" spans="2:2" ht="15.6">
      <c r="B4807" s="171">
        <v>-1742.3718233490229</v>
      </c>
    </row>
    <row r="4808" spans="2:2" ht="15.6">
      <c r="B4808" s="171">
        <v>-1423.7304357256921</v>
      </c>
    </row>
    <row r="4809" spans="2:2" ht="15.6">
      <c r="B4809" s="171">
        <v>-1195.3247870814621</v>
      </c>
    </row>
    <row r="4810" spans="2:2" ht="15.6">
      <c r="B4810" s="171">
        <v>-2123.0612791974863</v>
      </c>
    </row>
    <row r="4811" spans="2:2" ht="15.6">
      <c r="B4811" s="171">
        <v>-1340.2581570844839</v>
      </c>
    </row>
    <row r="4812" spans="2:2" ht="15.6">
      <c r="B4812" s="171">
        <v>-972.92855594519426</v>
      </c>
    </row>
    <row r="4813" spans="2:2" ht="15.6">
      <c r="B4813" s="171">
        <v>-1988.3015457130878</v>
      </c>
    </row>
    <row r="4814" spans="2:2" ht="15.6">
      <c r="B4814" s="171">
        <v>-1819.9568282712826</v>
      </c>
    </row>
    <row r="4815" spans="2:2" ht="15.6">
      <c r="B4815" s="171">
        <v>-1576.9712951493461</v>
      </c>
    </row>
    <row r="4816" spans="2:2" ht="15.6">
      <c r="B4816" s="171">
        <v>-1485.5087188175753</v>
      </c>
    </row>
    <row r="4817" spans="2:2" ht="15.6">
      <c r="B4817" s="171">
        <v>-1249.9477673222241</v>
      </c>
    </row>
    <row r="4818" spans="2:2" ht="15.6">
      <c r="B4818" s="171">
        <v>-1583.0426142676097</v>
      </c>
    </row>
    <row r="4819" spans="2:2" ht="15.6">
      <c r="B4819" s="171">
        <v>-1455.0222957380577</v>
      </c>
    </row>
    <row r="4820" spans="2:2" ht="15.6">
      <c r="B4820" s="171">
        <v>-1310.3632781356221</v>
      </c>
    </row>
    <row r="4821" spans="2:2" ht="15.6">
      <c r="B4821" s="171">
        <v>-1776.867514086953</v>
      </c>
    </row>
    <row r="4822" spans="2:2" ht="15.6">
      <c r="B4822" s="171">
        <v>-873.90024711471199</v>
      </c>
    </row>
    <row r="4823" spans="2:2" ht="15.6">
      <c r="B4823" s="171">
        <v>-1399.7112953881824</v>
      </c>
    </row>
    <row r="4824" spans="2:2" ht="15.6">
      <c r="B4824" s="171">
        <v>-1683.0901162114028</v>
      </c>
    </row>
    <row r="4825" spans="2:2" ht="15.6">
      <c r="B4825" s="171">
        <v>-1602.8905969270572</v>
      </c>
    </row>
    <row r="4826" spans="2:2" ht="15.6">
      <c r="B4826" s="171">
        <v>-1901.0161217863949</v>
      </c>
    </row>
    <row r="4827" spans="2:2" ht="15.6">
      <c r="B4827" s="171">
        <v>-1397.2841151833363</v>
      </c>
    </row>
    <row r="4828" spans="2:2" ht="15.6">
      <c r="B4828" s="171">
        <v>-2109.4626187548447</v>
      </c>
    </row>
    <row r="4829" spans="2:2" ht="15.6">
      <c r="B4829" s="171">
        <v>-1980.4465725567909</v>
      </c>
    </row>
    <row r="4830" spans="2:2" ht="15.6">
      <c r="B4830" s="171">
        <v>-1646.0183751592056</v>
      </c>
    </row>
    <row r="4831" spans="2:2" ht="15.6">
      <c r="B4831" s="171">
        <v>-1388.7788755623351</v>
      </c>
    </row>
    <row r="4832" spans="2:2" ht="15.6">
      <c r="B4832" s="171">
        <v>-1723.0380830917757</v>
      </c>
    </row>
    <row r="4833" spans="2:2" ht="15.6">
      <c r="B4833" s="171">
        <v>-1562.4666978916405</v>
      </c>
    </row>
    <row r="4834" spans="2:2" ht="15.6">
      <c r="B4834" s="171">
        <v>-1832.5373992977993</v>
      </c>
    </row>
    <row r="4835" spans="2:2" ht="15.6">
      <c r="B4835" s="171">
        <v>-2198.2200820863372</v>
      </c>
    </row>
    <row r="4836" spans="2:2" ht="15.6">
      <c r="B4836" s="171">
        <v>-1648.054704071219</v>
      </c>
    </row>
    <row r="4837" spans="2:2" ht="15.6">
      <c r="B4837" s="171">
        <v>-1422.7298446717716</v>
      </c>
    </row>
    <row r="4838" spans="2:2" ht="15.6">
      <c r="B4838" s="171">
        <v>-1597.243161087752</v>
      </c>
    </row>
    <row r="4839" spans="2:2" ht="15.6">
      <c r="B4839" s="171">
        <v>-2096.8097028078587</v>
      </c>
    </row>
    <row r="4840" spans="2:2" ht="15.6">
      <c r="B4840" s="171">
        <v>-2221.9128334767752</v>
      </c>
    </row>
    <row r="4841" spans="2:2" ht="15.6">
      <c r="B4841" s="171">
        <v>-1526.0831042927177</v>
      </c>
    </row>
    <row r="4842" spans="2:2" ht="15.6">
      <c r="B4842" s="171">
        <v>-1606.8900645409815</v>
      </c>
    </row>
    <row r="4843" spans="2:2" ht="15.6">
      <c r="B4843" s="171">
        <v>-2602.6723602496832</v>
      </c>
    </row>
    <row r="4844" spans="2:2" ht="15.6">
      <c r="B4844" s="171">
        <v>-2458.076586531427</v>
      </c>
    </row>
    <row r="4845" spans="2:2" ht="15.6">
      <c r="B4845" s="171">
        <v>-1672.7225934409814</v>
      </c>
    </row>
    <row r="4846" spans="2:2" ht="15.6">
      <c r="B4846" s="171">
        <v>-1513.179760361741</v>
      </c>
    </row>
    <row r="4847" spans="2:2" ht="15.6">
      <c r="B4847" s="171">
        <v>-1392.0215711258163</v>
      </c>
    </row>
    <row r="4848" spans="2:2" ht="15.6">
      <c r="B4848" s="171">
        <v>-1611.064719070288</v>
      </c>
    </row>
    <row r="4849" spans="2:2" ht="15.6">
      <c r="B4849" s="171">
        <v>-1239.2216284418503</v>
      </c>
    </row>
    <row r="4850" spans="2:2" ht="15.6">
      <c r="B4850" s="171">
        <v>-2461.7745230062283</v>
      </c>
    </row>
    <row r="4851" spans="2:2" ht="15.6">
      <c r="B4851" s="171">
        <v>-1381.3713654045985</v>
      </c>
    </row>
    <row r="4852" spans="2:2" ht="15.6">
      <c r="B4852" s="171">
        <v>-2021.5541303428183</v>
      </c>
    </row>
    <row r="4853" spans="2:2" ht="15.6">
      <c r="B4853" s="171">
        <v>-1490.5432156008419</v>
      </c>
    </row>
    <row r="4854" spans="2:2" ht="15.6">
      <c r="B4854" s="171">
        <v>-1250.4912844994872</v>
      </c>
    </row>
    <row r="4855" spans="2:2" ht="15.6">
      <c r="B4855" s="171">
        <v>-1474.7637106420261</v>
      </c>
    </row>
    <row r="4856" spans="2:2" ht="15.6">
      <c r="B4856" s="171">
        <v>-1280.9839230974371</v>
      </c>
    </row>
    <row r="4857" spans="2:2" ht="15.6">
      <c r="B4857" s="171">
        <v>-1764.4923826098729</v>
      </c>
    </row>
    <row r="4858" spans="2:2" ht="15.6">
      <c r="B4858" s="171">
        <v>-1588.3912107070687</v>
      </c>
    </row>
    <row r="4859" spans="2:2" ht="15.6">
      <c r="B4859" s="171">
        <v>-1477.9915497674845</v>
      </c>
    </row>
    <row r="4860" spans="2:2" ht="15.6">
      <c r="B4860" s="171">
        <v>-2088.6928792247872</v>
      </c>
    </row>
    <row r="4861" spans="2:2" ht="15.6">
      <c r="B4861" s="171">
        <v>-1507.6535555636538</v>
      </c>
    </row>
    <row r="4862" spans="2:2" ht="15.6">
      <c r="B4862" s="171">
        <v>-1457.9918761932654</v>
      </c>
    </row>
    <row r="4863" spans="2:2" ht="15.6">
      <c r="B4863" s="171">
        <v>-2127.1714565469565</v>
      </c>
    </row>
    <row r="4864" spans="2:2" ht="15.6">
      <c r="B4864" s="171">
        <v>-1760.4054510756821</v>
      </c>
    </row>
    <row r="4865" spans="2:2" ht="15.6">
      <c r="B4865" s="171">
        <v>-1380.0522933229709</v>
      </c>
    </row>
    <row r="4866" spans="2:2" ht="15.6">
      <c r="B4866" s="171">
        <v>-1375.4915992334868</v>
      </c>
    </row>
    <row r="4867" spans="2:2" ht="15.6">
      <c r="B4867" s="171">
        <v>-2255.1042297938088</v>
      </c>
    </row>
    <row r="4868" spans="2:2" ht="15.6">
      <c r="B4868" s="171">
        <v>-1637.1659136832245</v>
      </c>
    </row>
    <row r="4869" spans="2:2" ht="15.6">
      <c r="B4869" s="171">
        <v>-1907.3687797665177</v>
      </c>
    </row>
    <row r="4870" spans="2:2" ht="15.6">
      <c r="B4870" s="171">
        <v>-1464.6543114543711</v>
      </c>
    </row>
    <row r="4871" spans="2:2" ht="15.6">
      <c r="B4871" s="171">
        <v>-1478.5011773150661</v>
      </c>
    </row>
    <row r="4872" spans="2:2" ht="15.6">
      <c r="B4872" s="171">
        <v>-1874.0157295162312</v>
      </c>
    </row>
    <row r="4873" spans="2:2" ht="15.6">
      <c r="B4873" s="171">
        <v>-1515.9527380538711</v>
      </c>
    </row>
    <row r="4874" spans="2:2" ht="15.6">
      <c r="B4874" s="171">
        <v>-1579.1501581360799</v>
      </c>
    </row>
    <row r="4875" spans="2:2" ht="15.6">
      <c r="B4875" s="171">
        <v>-1416.3893905851232</v>
      </c>
    </row>
    <row r="4876" spans="2:2" ht="15.6">
      <c r="B4876" s="171">
        <v>-1715.7208211144894</v>
      </c>
    </row>
    <row r="4877" spans="2:2" ht="15.6">
      <c r="B4877" s="171">
        <v>-1964.3887095447249</v>
      </c>
    </row>
    <row r="4878" spans="2:2" ht="15.6">
      <c r="B4878" s="171">
        <v>-1604.2985144881579</v>
      </c>
    </row>
    <row r="4879" spans="2:2" ht="15.6">
      <c r="B4879" s="171">
        <v>-1487.1210658103264</v>
      </c>
    </row>
    <row r="4880" spans="2:2" ht="15.6">
      <c r="B4880" s="171">
        <v>-1453.8885584127006</v>
      </c>
    </row>
    <row r="4881" spans="2:2" ht="15.6">
      <c r="B4881" s="171">
        <v>-1661.6816203970288</v>
      </c>
    </row>
    <row r="4882" spans="2:2" ht="15.6">
      <c r="B4882" s="171">
        <v>-1866.3950354299188</v>
      </c>
    </row>
    <row r="4883" spans="2:2" ht="15.6">
      <c r="B4883" s="171">
        <v>-2045.6533448164814</v>
      </c>
    </row>
    <row r="4884" spans="2:2" ht="15.6">
      <c r="B4884" s="171">
        <v>-1572.0305114816874</v>
      </c>
    </row>
    <row r="4885" spans="2:2" ht="15.6">
      <c r="B4885" s="171">
        <v>-1515.6347951935597</v>
      </c>
    </row>
    <row r="4886" spans="2:2" ht="15.6">
      <c r="B4886" s="171">
        <v>-1560.2777871650219</v>
      </c>
    </row>
    <row r="4887" spans="2:2" ht="15.6">
      <c r="B4887" s="171">
        <v>-2045.9204679399522</v>
      </c>
    </row>
    <row r="4888" spans="2:2" ht="15.6">
      <c r="B4888" s="171">
        <v>-1477.8719547561091</v>
      </c>
    </row>
    <row r="4889" spans="2:2" ht="15.6">
      <c r="B4889" s="171">
        <v>-1285.2944709800399</v>
      </c>
    </row>
    <row r="4890" spans="2:2" ht="15.6">
      <c r="B4890" s="171">
        <v>-1823.3865843374529</v>
      </c>
    </row>
    <row r="4891" spans="2:2" ht="15.6">
      <c r="B4891" s="171">
        <v>-1491.9953392516718</v>
      </c>
    </row>
    <row r="4892" spans="2:2" ht="15.6">
      <c r="B4892" s="171">
        <v>-1351.9659571071338</v>
      </c>
    </row>
    <row r="4893" spans="2:2" ht="15.6">
      <c r="B4893" s="171">
        <v>-1949.0676163361579</v>
      </c>
    </row>
    <row r="4894" spans="2:2" ht="15.6">
      <c r="B4894" s="171">
        <v>-1195.4274479405742</v>
      </c>
    </row>
    <row r="4895" spans="2:2" ht="15.6">
      <c r="B4895" s="171">
        <v>-1732.4135563398072</v>
      </c>
    </row>
    <row r="4896" spans="2:2" ht="15.6">
      <c r="B4896" s="171">
        <v>-1672.7230868297859</v>
      </c>
    </row>
    <row r="4897" spans="2:2" ht="15.6">
      <c r="B4897" s="171">
        <v>-839.58089391619853</v>
      </c>
    </row>
    <row r="4898" spans="2:2" ht="15.6">
      <c r="B4898" s="171">
        <v>-1453.9039543106678</v>
      </c>
    </row>
    <row r="4899" spans="2:2" ht="15.6">
      <c r="B4899" s="171">
        <v>-1991.1307260088934</v>
      </c>
    </row>
    <row r="4900" spans="2:2" ht="15.6">
      <c r="B4900" s="171">
        <v>-1283.3484915586027</v>
      </c>
    </row>
    <row r="4901" spans="2:2" ht="15.6">
      <c r="B4901" s="171">
        <v>-1597.4476344981802</v>
      </c>
    </row>
    <row r="4902" spans="2:2" ht="15.6">
      <c r="B4902" s="171">
        <v>-1776.9903028642243</v>
      </c>
    </row>
    <row r="4903" spans="2:2" ht="15.6">
      <c r="B4903" s="171">
        <v>-1787.4449612226633</v>
      </c>
    </row>
    <row r="4904" spans="2:2" ht="15.6">
      <c r="B4904" s="171">
        <v>-1603.7535391793735</v>
      </c>
    </row>
    <row r="4905" spans="2:2" ht="15.6">
      <c r="B4905" s="171">
        <v>-1306.1292645705842</v>
      </c>
    </row>
    <row r="4906" spans="2:2" ht="15.6">
      <c r="B4906" s="171">
        <v>-1531.1565766062658</v>
      </c>
    </row>
    <row r="4907" spans="2:2" ht="15.6">
      <c r="B4907" s="171">
        <v>-1484.4080477410691</v>
      </c>
    </row>
    <row r="4908" spans="2:2" ht="15.6">
      <c r="B4908" s="171">
        <v>-764.5255100918497</v>
      </c>
    </row>
    <row r="4909" spans="2:2" ht="15.6">
      <c r="B4909" s="171">
        <v>-1521.9814196673306</v>
      </c>
    </row>
    <row r="4910" spans="2:2" ht="15.6">
      <c r="B4910" s="171">
        <v>-1866.2929402685725</v>
      </c>
    </row>
    <row r="4911" spans="2:2" ht="15.6">
      <c r="B4911" s="171">
        <v>-1946.5362241290288</v>
      </c>
    </row>
    <row r="4912" spans="2:2" ht="15.6">
      <c r="B4912" s="171">
        <v>-1438.6831418583793</v>
      </c>
    </row>
    <row r="4913" spans="2:2" ht="15.6">
      <c r="B4913" s="171">
        <v>-863.43633318346235</v>
      </c>
    </row>
    <row r="4914" spans="2:2" ht="15.6">
      <c r="B4914" s="171">
        <v>-1588.1247560113065</v>
      </c>
    </row>
    <row r="4915" spans="2:2" ht="15.6">
      <c r="B4915" s="171">
        <v>-1567.8084500076441</v>
      </c>
    </row>
    <row r="4916" spans="2:2" ht="15.6">
      <c r="B4916" s="171">
        <v>-1419.8804793593254</v>
      </c>
    </row>
    <row r="4917" spans="2:2" ht="15.6">
      <c r="B4917" s="171">
        <v>-1420.5175943752877</v>
      </c>
    </row>
    <row r="4918" spans="2:2" ht="15.6">
      <c r="B4918" s="171">
        <v>-1329.651811097021</v>
      </c>
    </row>
    <row r="4919" spans="2:2" ht="15.6">
      <c r="B4919" s="171">
        <v>-1256.4558913068606</v>
      </c>
    </row>
    <row r="4920" spans="2:2" ht="15.6">
      <c r="B4920" s="171">
        <v>-1419.8673573954591</v>
      </c>
    </row>
    <row r="4921" spans="2:2" ht="15.6">
      <c r="B4921" s="171">
        <v>-1516.7017736917696</v>
      </c>
    </row>
    <row r="4922" spans="2:2" ht="15.6">
      <c r="B4922" s="171">
        <v>-1254.0304553063283</v>
      </c>
    </row>
    <row r="4923" spans="2:2" ht="15.6">
      <c r="B4923" s="171">
        <v>-1679.2595773170201</v>
      </c>
    </row>
    <row r="4924" spans="2:2" ht="15.6">
      <c r="B4924" s="171">
        <v>-1154.3928742592225</v>
      </c>
    </row>
    <row r="4925" spans="2:2" ht="15.6">
      <c r="B4925" s="171">
        <v>-1729.3857649721378</v>
      </c>
    </row>
    <row r="4926" spans="2:2" ht="15.6">
      <c r="B4926" s="171">
        <v>-1458.9143971527201</v>
      </c>
    </row>
    <row r="4927" spans="2:2" ht="15.6">
      <c r="B4927" s="171">
        <v>-1921.5063588998246</v>
      </c>
    </row>
    <row r="4928" spans="2:2" ht="15.6">
      <c r="B4928" s="171">
        <v>-1233.5657923696865</v>
      </c>
    </row>
    <row r="4929" spans="2:2" ht="15.6">
      <c r="B4929" s="171">
        <v>-1000.9099078885841</v>
      </c>
    </row>
    <row r="4930" spans="2:2" ht="15.6">
      <c r="B4930" s="171">
        <v>-1770.3032217012815</v>
      </c>
    </row>
    <row r="4931" spans="2:2" ht="15.6">
      <c r="B4931" s="171">
        <v>-2130.4304175748339</v>
      </c>
    </row>
    <row r="4932" spans="2:2" ht="15.6">
      <c r="B4932" s="171">
        <v>-1688.7320021357436</v>
      </c>
    </row>
    <row r="4933" spans="2:2" ht="15.6">
      <c r="B4933" s="171">
        <v>-1462.7848413749998</v>
      </c>
    </row>
    <row r="4934" spans="2:2" ht="15.6">
      <c r="B4934" s="171">
        <v>-1389.2378583490033</v>
      </c>
    </row>
    <row r="4935" spans="2:2" ht="15.6">
      <c r="B4935" s="171">
        <v>-1213.9704675941628</v>
      </c>
    </row>
    <row r="4936" spans="2:2" ht="15.6">
      <c r="B4936" s="171">
        <v>-1873.3569915179596</v>
      </c>
    </row>
    <row r="4937" spans="2:2" ht="15.6">
      <c r="B4937" s="171">
        <v>-1261.2164894752773</v>
      </c>
    </row>
    <row r="4938" spans="2:2" ht="15.6">
      <c r="B4938" s="171">
        <v>-1622.3514874335212</v>
      </c>
    </row>
    <row r="4939" spans="2:2" ht="15.6">
      <c r="B4939" s="171">
        <v>-1546.7772787282215</v>
      </c>
    </row>
    <row r="4940" spans="2:2" ht="15.6">
      <c r="B4940" s="171">
        <v>-1695.3457706051859</v>
      </c>
    </row>
    <row r="4941" spans="2:2" ht="15.6">
      <c r="B4941" s="171">
        <v>-1883.9412145296437</v>
      </c>
    </row>
    <row r="4942" spans="2:2" ht="15.6">
      <c r="B4942" s="171">
        <v>-2473.2411300605054</v>
      </c>
    </row>
    <row r="4943" spans="2:2" ht="15.6">
      <c r="B4943" s="171">
        <v>-1839.8809334130704</v>
      </c>
    </row>
    <row r="4944" spans="2:2" ht="15.6">
      <c r="B4944" s="171">
        <v>-1289.507673679876</v>
      </c>
    </row>
    <row r="4945" spans="2:2" ht="15.6">
      <c r="B4945" s="171">
        <v>-1508.7149465959876</v>
      </c>
    </row>
    <row r="4946" spans="2:2" ht="15.6">
      <c r="B4946" s="171">
        <v>-1749.6427582267731</v>
      </c>
    </row>
    <row r="4947" spans="2:2" ht="15.6">
      <c r="B4947" s="171">
        <v>-2700.2252624810653</v>
      </c>
    </row>
    <row r="4948" spans="2:2" ht="15.6">
      <c r="B4948" s="171">
        <v>-1337.7127633113594</v>
      </c>
    </row>
    <row r="4949" spans="2:2" ht="15.6">
      <c r="B4949" s="171">
        <v>-1581.4758826686871</v>
      </c>
    </row>
    <row r="4950" spans="2:2" ht="15.6">
      <c r="B4950" s="171">
        <v>-2034.8224057362852</v>
      </c>
    </row>
    <row r="4951" spans="2:2" ht="15.6">
      <c r="B4951" s="171">
        <v>-2065.1438838601803</v>
      </c>
    </row>
    <row r="4952" spans="2:2" ht="15.6">
      <c r="B4952" s="171">
        <v>-1402.5000587657664</v>
      </c>
    </row>
    <row r="4953" spans="2:2" ht="15.6">
      <c r="B4953" s="171">
        <v>-1669.2668190435484</v>
      </c>
    </row>
    <row r="4954" spans="2:2" ht="15.6">
      <c r="B4954" s="171">
        <v>-2072.6516550980441</v>
      </c>
    </row>
    <row r="4955" spans="2:2" ht="15.6">
      <c r="B4955" s="171">
        <v>-1732.2215876024375</v>
      </c>
    </row>
    <row r="4956" spans="2:2" ht="15.6">
      <c r="B4956" s="171">
        <v>-1773.5830375774387</v>
      </c>
    </row>
    <row r="4957" spans="2:2" ht="15.6">
      <c r="B4957" s="171">
        <v>-996.01337742411124</v>
      </c>
    </row>
    <row r="4958" spans="2:2" ht="15.6">
      <c r="B4958" s="171">
        <v>-1614.3263725911102</v>
      </c>
    </row>
    <row r="4959" spans="2:2" ht="15.6">
      <c r="B4959" s="171">
        <v>-1622.8929385617053</v>
      </c>
    </row>
    <row r="4960" spans="2:2" ht="15.6">
      <c r="B4960" s="171">
        <v>-1255.5191106119648</v>
      </c>
    </row>
    <row r="4961" spans="2:2" ht="15.6">
      <c r="B4961" s="171">
        <v>-1494.8451711126665</v>
      </c>
    </row>
    <row r="4962" spans="2:2" ht="15.6">
      <c r="B4962" s="171">
        <v>-1619.4092670345799</v>
      </c>
    </row>
    <row r="4963" spans="2:2" ht="15.6">
      <c r="B4963" s="171">
        <v>-1616.1034705073837</v>
      </c>
    </row>
    <row r="4964" spans="2:2" ht="15.6">
      <c r="B4964" s="171">
        <v>-1665.6953870189295</v>
      </c>
    </row>
    <row r="4965" spans="2:2" ht="15.6">
      <c r="B4965" s="171">
        <v>-1816.9968660685431</v>
      </c>
    </row>
    <row r="4966" spans="2:2" ht="15.6">
      <c r="B4966" s="171">
        <v>-1432.3635224781451</v>
      </c>
    </row>
    <row r="4967" spans="2:2" ht="15.6">
      <c r="B4967" s="171">
        <v>-1761.2158480670189</v>
      </c>
    </row>
    <row r="4968" spans="2:2" ht="15.6">
      <c r="B4968" s="171">
        <v>-1656.9927094759746</v>
      </c>
    </row>
    <row r="4969" spans="2:2" ht="15.6">
      <c r="B4969" s="171">
        <v>-2059.2597400158384</v>
      </c>
    </row>
    <row r="4970" spans="2:2" ht="15.6">
      <c r="B4970" s="171">
        <v>-1132.5681770157757</v>
      </c>
    </row>
    <row r="4971" spans="2:2" ht="15.6">
      <c r="B4971" s="171">
        <v>-684.53724384272323</v>
      </c>
    </row>
    <row r="4972" spans="2:2" ht="15.6">
      <c r="B4972" s="171">
        <v>-2278.2497791272672</v>
      </c>
    </row>
    <row r="4973" spans="2:2" ht="15.6">
      <c r="B4973" s="171">
        <v>-1559.1303057193572</v>
      </c>
    </row>
    <row r="4974" spans="2:2" ht="15.6">
      <c r="B4974" s="171">
        <v>-1101.5805123855694</v>
      </c>
    </row>
    <row r="4975" spans="2:2" ht="15.6">
      <c r="B4975" s="171">
        <v>-2240.061270770279</v>
      </c>
    </row>
    <row r="4976" spans="2:2" ht="15.6">
      <c r="B4976" s="171">
        <v>-2088.9357177984457</v>
      </c>
    </row>
    <row r="4977" spans="2:2" ht="15.6">
      <c r="B4977" s="171">
        <v>-1203.5694115933536</v>
      </c>
    </row>
    <row r="4978" spans="2:2" ht="15.6">
      <c r="B4978" s="171">
        <v>-1711.5838510866629</v>
      </c>
    </row>
    <row r="4979" spans="2:2" ht="15.6">
      <c r="B4979" s="171">
        <v>-2784.9569889082363</v>
      </c>
    </row>
    <row r="4980" spans="2:2" ht="15.6">
      <c r="B4980" s="171">
        <v>-1695.4186662291715</v>
      </c>
    </row>
    <row r="4981" spans="2:2" ht="15.6">
      <c r="B4981" s="171">
        <v>-1422.49042105632</v>
      </c>
    </row>
    <row r="4982" spans="2:2" ht="15.6">
      <c r="B4982" s="171">
        <v>-1200.7485846509669</v>
      </c>
    </row>
    <row r="4983" spans="2:2" ht="15.6">
      <c r="B4983" s="171">
        <v>-2436.3764816352787</v>
      </c>
    </row>
    <row r="4984" spans="2:2" ht="15.6">
      <c r="B4984" s="171">
        <v>-1596.1287193985856</v>
      </c>
    </row>
    <row r="4985" spans="2:2" ht="15.6">
      <c r="B4985" s="171">
        <v>-1943.0636915461437</v>
      </c>
    </row>
    <row r="4986" spans="2:2" ht="15.6">
      <c r="B4986" s="171">
        <v>-1387.2534667375746</v>
      </c>
    </row>
    <row r="4987" spans="2:2" ht="15.6">
      <c r="B4987" s="171">
        <v>-1917.142665709438</v>
      </c>
    </row>
    <row r="4988" spans="2:2" ht="15.6">
      <c r="B4988" s="171">
        <v>-1329.0461061281519</v>
      </c>
    </row>
    <row r="4989" spans="2:2" ht="15.6">
      <c r="B4989" s="171">
        <v>-1437.2557770803651</v>
      </c>
    </row>
    <row r="4990" spans="2:2" ht="15.6">
      <c r="B4990" s="171">
        <v>-1011.7128671699178</v>
      </c>
    </row>
    <row r="4991" spans="2:2" ht="15.6">
      <c r="B4991" s="171">
        <v>-1083.9516696437138</v>
      </c>
    </row>
    <row r="4992" spans="2:2" ht="15.6">
      <c r="B4992" s="171">
        <v>-1568.4159935150012</v>
      </c>
    </row>
    <row r="4993" spans="2:2" ht="15.6">
      <c r="B4993" s="171">
        <v>-1869.0653648388702</v>
      </c>
    </row>
    <row r="4994" spans="2:2" ht="15.6">
      <c r="B4994" s="171">
        <v>-2282.5625982162474</v>
      </c>
    </row>
    <row r="4995" spans="2:2" ht="15.6">
      <c r="B4995" s="171">
        <v>-1482.5267962483513</v>
      </c>
    </row>
    <row r="4996" spans="2:2" ht="15.6">
      <c r="B4996" s="171">
        <v>-2191.2085241271752</v>
      </c>
    </row>
    <row r="4997" spans="2:2" ht="15.6">
      <c r="B4997" s="171">
        <v>-1596.449590759793</v>
      </c>
    </row>
    <row r="4998" spans="2:2" ht="15.6">
      <c r="B4998" s="171">
        <v>-1701.0054024959966</v>
      </c>
    </row>
    <row r="4999" spans="2:2" ht="15.6">
      <c r="B4999" s="171">
        <v>-845.71150318320065</v>
      </c>
    </row>
    <row r="5000" spans="2:2" ht="15.6">
      <c r="B5000" s="171">
        <v>-2645.5703491298809</v>
      </c>
    </row>
    <row r="5001" spans="2:2" ht="15.6">
      <c r="B5001" s="171">
        <v>-1561.9198440944344</v>
      </c>
    </row>
    <row r="5002" spans="2:2" ht="15.6">
      <c r="B5002" s="171">
        <v>-949.76030062339919</v>
      </c>
    </row>
    <row r="5003" spans="2:2" ht="15.6">
      <c r="B5003" s="171">
        <v>-1557.3410187059053</v>
      </c>
    </row>
    <row r="5004" spans="2:2" ht="15.6">
      <c r="B5004" s="171">
        <v>-1963.1428917286667</v>
      </c>
    </row>
    <row r="5005" spans="2:2" ht="15.6">
      <c r="B5005" s="171">
        <v>-1856.0893120064682</v>
      </c>
    </row>
    <row r="5006" spans="2:2" ht="15.6">
      <c r="B5006" s="171">
        <v>-1194.6904087927073</v>
      </c>
    </row>
    <row r="5007" spans="2:2" ht="15.6">
      <c r="B5007" s="171">
        <v>-1889.3642172232289</v>
      </c>
    </row>
    <row r="5008" spans="2:2" ht="15.6">
      <c r="B5008" s="171">
        <v>-930.80330933636174</v>
      </c>
    </row>
    <row r="5009" spans="2:2" ht="15.6">
      <c r="B5009" s="171">
        <v>-1270.0138401531942</v>
      </c>
    </row>
    <row r="5010" spans="2:2" ht="15.6">
      <c r="B5010" s="171">
        <v>-1644.3525571312657</v>
      </c>
    </row>
    <row r="5011" spans="2:2" ht="15.6">
      <c r="B5011" s="171">
        <v>-1301.3608644574174</v>
      </c>
    </row>
    <row r="5012" spans="2:2" ht="15.6">
      <c r="B5012" s="171">
        <v>-2326.74607866015</v>
      </c>
    </row>
    <row r="5013" spans="2:2" ht="15.6">
      <c r="B5013" s="171">
        <v>-1954.0800695370619</v>
      </c>
    </row>
    <row r="5014" spans="2:2" ht="15.6">
      <c r="B5014" s="171">
        <v>-1274.9254821467869</v>
      </c>
    </row>
    <row r="5015" spans="2:2" ht="15.6">
      <c r="B5015" s="171">
        <v>-2433.7539492808019</v>
      </c>
    </row>
    <row r="5016" spans="2:2" ht="15.6">
      <c r="B5016" s="171">
        <v>-1517.8708502457098</v>
      </c>
    </row>
    <row r="5017" spans="2:2" ht="15.6">
      <c r="B5017" s="171">
        <v>-2257.2447425277082</v>
      </c>
    </row>
    <row r="5018" spans="2:2" ht="15.6">
      <c r="B5018" s="171">
        <v>-1042.1512418150073</v>
      </c>
    </row>
    <row r="5019" spans="2:2" ht="15.6">
      <c r="B5019" s="171">
        <v>-1342.0830520906479</v>
      </c>
    </row>
    <row r="5020" spans="2:2" ht="15.6">
      <c r="B5020" s="171">
        <v>-1135.0028261095952</v>
      </c>
    </row>
    <row r="5021" spans="2:2" ht="15.6">
      <c r="B5021" s="171">
        <v>-1712.777664366052</v>
      </c>
    </row>
    <row r="5022" spans="2:2" ht="15.6">
      <c r="B5022" s="171">
        <v>-1538.3431801058655</v>
      </c>
    </row>
    <row r="5023" spans="2:2" ht="15.6">
      <c r="B5023" s="171">
        <v>-1524.2431748348172</v>
      </c>
    </row>
    <row r="5024" spans="2:2" ht="15.6">
      <c r="B5024" s="171">
        <v>-1122.3601459895251</v>
      </c>
    </row>
    <row r="5025" spans="2:2" ht="15.6">
      <c r="B5025" s="171">
        <v>-1734.2020468073154</v>
      </c>
    </row>
    <row r="5026" spans="2:2" ht="15.6">
      <c r="B5026" s="171">
        <v>-2069.0015192414439</v>
      </c>
    </row>
    <row r="5027" spans="2:2" ht="15.6">
      <c r="B5027" s="171">
        <v>-673.89713892766781</v>
      </c>
    </row>
    <row r="5028" spans="2:2" ht="15.6">
      <c r="B5028" s="171">
        <v>-1001.9215621523603</v>
      </c>
    </row>
    <row r="5029" spans="2:2" ht="15.6">
      <c r="B5029" s="171">
        <v>-1838.3980100468807</v>
      </c>
    </row>
    <row r="5030" spans="2:2" ht="15.6">
      <c r="B5030" s="171">
        <v>-1847.7280620611659</v>
      </c>
    </row>
    <row r="5031" spans="2:2" ht="15.6">
      <c r="B5031" s="171">
        <v>-1987.7866443389125</v>
      </c>
    </row>
    <row r="5032" spans="2:2" ht="15.6">
      <c r="B5032" s="171">
        <v>-1214.6817067249581</v>
      </c>
    </row>
    <row r="5033" spans="2:2" ht="15.6">
      <c r="B5033" s="171">
        <v>-1009.5856901980469</v>
      </c>
    </row>
    <row r="5034" spans="2:2" ht="15.6">
      <c r="B5034" s="171">
        <v>-1238.9388086907495</v>
      </c>
    </row>
    <row r="5035" spans="2:2" ht="15.6">
      <c r="B5035" s="171">
        <v>-1937.511838086823</v>
      </c>
    </row>
    <row r="5036" spans="2:2" ht="15.6">
      <c r="B5036" s="171">
        <v>-1744.2829567361573</v>
      </c>
    </row>
    <row r="5037" spans="2:2" ht="15.6">
      <c r="B5037" s="171">
        <v>-1916.7575751989853</v>
      </c>
    </row>
    <row r="5038" spans="2:2" ht="15.6">
      <c r="B5038" s="171">
        <v>-1173.143087256952</v>
      </c>
    </row>
    <row r="5039" spans="2:2" ht="15.6">
      <c r="B5039" s="171">
        <v>-1830.5154287118621</v>
      </c>
    </row>
    <row r="5040" spans="2:2" ht="15.6">
      <c r="B5040" s="171">
        <v>-1853.8054971725728</v>
      </c>
    </row>
    <row r="5041" spans="2:2" ht="15.6">
      <c r="B5041" s="171">
        <v>-1099.5835708840134</v>
      </c>
    </row>
    <row r="5042" spans="2:2" ht="15.6">
      <c r="B5042" s="171">
        <v>-1248.482695528583</v>
      </c>
    </row>
    <row r="5043" spans="2:2" ht="15.6">
      <c r="B5043" s="171">
        <v>-1960.4789122745942</v>
      </c>
    </row>
    <row r="5044" spans="2:2" ht="15.6">
      <c r="B5044" s="171">
        <v>-1569.7270290105209</v>
      </c>
    </row>
    <row r="5045" spans="2:2" ht="15.6">
      <c r="B5045" s="171">
        <v>-2044.9076199141182</v>
      </c>
    </row>
    <row r="5046" spans="2:2" ht="15.6">
      <c r="B5046" s="171">
        <v>-1505.7585692376711</v>
      </c>
    </row>
    <row r="5047" spans="2:2" ht="15.6">
      <c r="B5047" s="171">
        <v>-1014.6272416083752</v>
      </c>
    </row>
    <row r="5048" spans="2:2" ht="15.6">
      <c r="B5048" s="171">
        <v>-1827.4714755599884</v>
      </c>
    </row>
    <row r="5049" spans="2:2" ht="15.6">
      <c r="B5049" s="171">
        <v>-875.86991302671981</v>
      </c>
    </row>
    <row r="5050" spans="2:2" ht="15.6">
      <c r="B5050" s="171">
        <v>-1831.0883481647595</v>
      </c>
    </row>
    <row r="5051" spans="2:2" ht="15.6">
      <c r="B5051" s="171">
        <v>-1737.1744436598146</v>
      </c>
    </row>
    <row r="5052" spans="2:2" ht="15.6">
      <c r="B5052" s="171">
        <v>-1290.5553989513321</v>
      </c>
    </row>
    <row r="5053" spans="2:2" ht="15.6">
      <c r="B5053" s="171">
        <v>-564.56131360660743</v>
      </c>
    </row>
    <row r="5054" spans="2:2" ht="15.6">
      <c r="B5054" s="171">
        <v>-1648.5380027527633</v>
      </c>
    </row>
    <row r="5055" spans="2:2" ht="15.6">
      <c r="B5055" s="171">
        <v>-1704.0380728872474</v>
      </c>
    </row>
    <row r="5056" spans="2:2" ht="15.6">
      <c r="B5056" s="171">
        <v>-1322.0036487808495</v>
      </c>
    </row>
    <row r="5057" spans="2:2" ht="15.6">
      <c r="B5057" s="171">
        <v>-1737.7984237514283</v>
      </c>
    </row>
    <row r="5058" spans="2:2" ht="15.6">
      <c r="B5058" s="171">
        <v>-1355.7783371788812</v>
      </c>
    </row>
    <row r="5059" spans="2:2" ht="15.6">
      <c r="B5059" s="171">
        <v>-2032.9781865759073</v>
      </c>
    </row>
    <row r="5060" spans="2:2" ht="15.6">
      <c r="B5060" s="171">
        <v>-1910.9122515662989</v>
      </c>
    </row>
    <row r="5061" spans="2:2" ht="15.6">
      <c r="B5061" s="171">
        <v>-1863.9861072971344</v>
      </c>
    </row>
    <row r="5062" spans="2:2" ht="15.6">
      <c r="B5062" s="171">
        <v>-1453.8643554461603</v>
      </c>
    </row>
    <row r="5063" spans="2:2" ht="15.6">
      <c r="B5063" s="171">
        <v>-1932.2263137817799</v>
      </c>
    </row>
    <row r="5064" spans="2:2" ht="15.6">
      <c r="B5064" s="171">
        <v>-1322.1136992350976</v>
      </c>
    </row>
    <row r="5065" spans="2:2" ht="15.6">
      <c r="B5065" s="171">
        <v>-1388.5847928537682</v>
      </c>
    </row>
    <row r="5066" spans="2:2" ht="15.6">
      <c r="B5066" s="171">
        <v>-1288.9428033627657</v>
      </c>
    </row>
    <row r="5067" spans="2:2" ht="15.6">
      <c r="B5067" s="171">
        <v>-1820.356082039295</v>
      </c>
    </row>
    <row r="5068" spans="2:2" ht="15.6">
      <c r="B5068" s="171">
        <v>-1011.5304968594355</v>
      </c>
    </row>
    <row r="5069" spans="2:2" ht="15.6">
      <c r="B5069" s="171">
        <v>-1690.0304979827681</v>
      </c>
    </row>
    <row r="5070" spans="2:2" ht="15.6">
      <c r="B5070" s="171">
        <v>-1682.2842814142778</v>
      </c>
    </row>
    <row r="5071" spans="2:2" ht="15.6">
      <c r="B5071" s="171">
        <v>-1834.809625525892</v>
      </c>
    </row>
    <row r="5072" spans="2:2" ht="15.6">
      <c r="B5072" s="171">
        <v>-2591.5112201485213</v>
      </c>
    </row>
    <row r="5073" spans="2:2" ht="15.6">
      <c r="B5073" s="171">
        <v>-1247.5132221098752</v>
      </c>
    </row>
    <row r="5074" spans="2:2" ht="15.6">
      <c r="B5074" s="171">
        <v>-1268.5509627323756</v>
      </c>
    </row>
    <row r="5075" spans="2:2" ht="15.6">
      <c r="B5075" s="171">
        <v>-2117.13954595629</v>
      </c>
    </row>
    <row r="5076" spans="2:2" ht="15.6">
      <c r="B5076" s="171">
        <v>-1867.4109918431641</v>
      </c>
    </row>
    <row r="5077" spans="2:2" ht="15.6">
      <c r="B5077" s="171">
        <v>-1693.1606004999753</v>
      </c>
    </row>
    <row r="5078" spans="2:2" ht="15.6">
      <c r="B5078" s="171">
        <v>-1296.3654778446053</v>
      </c>
    </row>
    <row r="5079" spans="2:2" ht="15.6">
      <c r="B5079" s="171">
        <v>-1737.0836326962994</v>
      </c>
    </row>
    <row r="5080" spans="2:2" ht="15.6">
      <c r="B5080" s="171">
        <v>-1434.2461487183259</v>
      </c>
    </row>
    <row r="5081" spans="2:2" ht="15.6">
      <c r="B5081" s="171">
        <v>-1493.1027373411193</v>
      </c>
    </row>
    <row r="5082" spans="2:2" ht="15.6">
      <c r="B5082" s="171">
        <v>-1668.0577037048686</v>
      </c>
    </row>
    <row r="5083" spans="2:2" ht="15.6">
      <c r="B5083" s="171">
        <v>-922.36273336981856</v>
      </c>
    </row>
    <row r="5084" spans="2:2" ht="15.6">
      <c r="B5084" s="171">
        <v>-2488.7277884344462</v>
      </c>
    </row>
    <row r="5085" spans="2:2" ht="15.6">
      <c r="B5085" s="171">
        <v>-1855.5502461981423</v>
      </c>
    </row>
    <row r="5086" spans="2:2" ht="15.6">
      <c r="B5086" s="171">
        <v>-1244.6043238849863</v>
      </c>
    </row>
    <row r="5087" spans="2:2" ht="15.6">
      <c r="B5087" s="171">
        <v>-1486.8613615890968</v>
      </c>
    </row>
    <row r="5088" spans="2:2" ht="15.6">
      <c r="B5088" s="171">
        <v>-1358.8852746703187</v>
      </c>
    </row>
    <row r="5089" spans="2:2" ht="15.6">
      <c r="B5089" s="171">
        <v>-1790.9624240467529</v>
      </c>
    </row>
    <row r="5090" spans="2:2" ht="15.6">
      <c r="B5090" s="171">
        <v>-1830.9472209143266</v>
      </c>
    </row>
    <row r="5091" spans="2:2" ht="15.6">
      <c r="B5091" s="171">
        <v>-1841.2176051128431</v>
      </c>
    </row>
    <row r="5092" spans="2:2" ht="15.6">
      <c r="B5092" s="171">
        <v>-1838.2334721559278</v>
      </c>
    </row>
    <row r="5093" spans="2:2" ht="15.6">
      <c r="B5093" s="171">
        <v>-1499.7246693463981</v>
      </c>
    </row>
    <row r="5094" spans="2:2" ht="15.6">
      <c r="B5094" s="171">
        <v>-1333.5421960963697</v>
      </c>
    </row>
    <row r="5095" spans="2:2" ht="15.6">
      <c r="B5095" s="171">
        <v>-1448.9276588766038</v>
      </c>
    </row>
    <row r="5096" spans="2:2" ht="15.6">
      <c r="B5096" s="171">
        <v>-1537.1273326287228</v>
      </c>
    </row>
    <row r="5097" spans="2:2" ht="15.6">
      <c r="B5097" s="171">
        <v>-2256.2777658379364</v>
      </c>
    </row>
    <row r="5098" spans="2:2" ht="15.6">
      <c r="B5098" s="171">
        <v>-1475.6374732994786</v>
      </c>
    </row>
    <row r="5099" spans="2:2" ht="15.6">
      <c r="B5099" s="171">
        <v>-1806.1743392847902</v>
      </c>
    </row>
    <row r="5100" spans="2:2" ht="15.6">
      <c r="B5100" s="171">
        <v>-1661.2913169139174</v>
      </c>
    </row>
    <row r="5101" spans="2:2" ht="15.6">
      <c r="B5101" s="171">
        <v>-1048.9543299456232</v>
      </c>
    </row>
    <row r="5102" spans="2:2" ht="15.6">
      <c r="B5102" s="171">
        <v>-2407.7933399892554</v>
      </c>
    </row>
    <row r="5103" spans="2:2" ht="15.6">
      <c r="B5103" s="171">
        <v>-1628.7310543891915</v>
      </c>
    </row>
    <row r="5104" spans="2:2" ht="15.6">
      <c r="B5104" s="171">
        <v>-2047.3371043657612</v>
      </c>
    </row>
    <row r="5105" spans="2:2" ht="15.6">
      <c r="B5105" s="171">
        <v>-2228.0856515267087</v>
      </c>
    </row>
    <row r="5106" spans="2:2" ht="15.6">
      <c r="B5106" s="171">
        <v>-1213.4507558096848</v>
      </c>
    </row>
    <row r="5107" spans="2:2" ht="15.6">
      <c r="B5107" s="171">
        <v>-3051.9525813227656</v>
      </c>
    </row>
    <row r="5108" spans="2:2" ht="15.6">
      <c r="B5108" s="171">
        <v>-1307.2216692414293</v>
      </c>
    </row>
    <row r="5109" spans="2:2" ht="15.6">
      <c r="B5109" s="171">
        <v>-1547.1414203124179</v>
      </c>
    </row>
    <row r="5110" spans="2:2" ht="15.6">
      <c r="B5110" s="171">
        <v>-778.14576918694422</v>
      </c>
    </row>
    <row r="5111" spans="2:2" ht="15.6">
      <c r="B5111" s="171">
        <v>-1575.4938465754778</v>
      </c>
    </row>
    <row r="5112" spans="2:2" ht="15.6">
      <c r="B5112" s="171">
        <v>-1462.4648111187744</v>
      </c>
    </row>
    <row r="5113" spans="2:2" ht="15.6">
      <c r="B5113" s="171">
        <v>-1797.360314969118</v>
      </c>
    </row>
    <row r="5114" spans="2:2" ht="15.6">
      <c r="B5114" s="171">
        <v>-1299.1216215408854</v>
      </c>
    </row>
    <row r="5115" spans="2:2" ht="15.6">
      <c r="B5115" s="171">
        <v>-2345.8323107277893</v>
      </c>
    </row>
    <row r="5116" spans="2:2" ht="15.6">
      <c r="B5116" s="171">
        <v>-1965.4623094171443</v>
      </c>
    </row>
    <row r="5117" spans="2:2" ht="15.6">
      <c r="B5117" s="171">
        <v>-1393.9644106853093</v>
      </c>
    </row>
    <row r="5118" spans="2:2" ht="15.6">
      <c r="B5118" s="171">
        <v>-1457.9323127516725</v>
      </c>
    </row>
    <row r="5119" spans="2:2" ht="15.6">
      <c r="B5119" s="171">
        <v>-2345.0384174030482</v>
      </c>
    </row>
    <row r="5120" spans="2:2" ht="15.6">
      <c r="B5120" s="171">
        <v>-1240.0531988712064</v>
      </c>
    </row>
    <row r="5121" spans="2:2" ht="15.6">
      <c r="B5121" s="171">
        <v>-1236.3800167755453</v>
      </c>
    </row>
    <row r="5122" spans="2:2" ht="15.6">
      <c r="B5122" s="171">
        <v>-1834.0309671223581</v>
      </c>
    </row>
    <row r="5123" spans="2:2" ht="15.6">
      <c r="B5123" s="171">
        <v>-1103.9082968445769</v>
      </c>
    </row>
    <row r="5124" spans="2:2" ht="15.6">
      <c r="B5124" s="171">
        <v>-2180.7709651448786</v>
      </c>
    </row>
    <row r="5125" spans="2:2" ht="15.6">
      <c r="B5125" s="171">
        <v>-1345.5144352787759</v>
      </c>
    </row>
    <row r="5126" spans="2:2" ht="15.6">
      <c r="B5126" s="171">
        <v>-1802.8696999811839</v>
      </c>
    </row>
    <row r="5127" spans="2:2" ht="15.6">
      <c r="B5127" s="171">
        <v>-1868.5244302986448</v>
      </c>
    </row>
    <row r="5128" spans="2:2" ht="15.6">
      <c r="B5128" s="171">
        <v>-1550.781250071105</v>
      </c>
    </row>
    <row r="5129" spans="2:2" ht="15.6">
      <c r="B5129" s="171">
        <v>-1682.8825540638593</v>
      </c>
    </row>
    <row r="5130" spans="2:2" ht="15.6">
      <c r="B5130" s="171">
        <v>-1692.2587023362114</v>
      </c>
    </row>
    <row r="5131" spans="2:2" ht="15.6">
      <c r="B5131" s="171">
        <v>-1924.9167989019602</v>
      </c>
    </row>
    <row r="5132" spans="2:2" ht="15.6">
      <c r="B5132" s="171">
        <v>-1390.5191536681598</v>
      </c>
    </row>
    <row r="5133" spans="2:2" ht="15.6">
      <c r="B5133" s="171">
        <v>-1559.8065452643252</v>
      </c>
    </row>
    <row r="5134" spans="2:2" ht="15.6">
      <c r="B5134" s="171">
        <v>-1888.1132343200402</v>
      </c>
    </row>
    <row r="5135" spans="2:2" ht="15.6">
      <c r="B5135" s="171">
        <v>-719.06665970958284</v>
      </c>
    </row>
    <row r="5136" spans="2:2" ht="15.6">
      <c r="B5136" s="171">
        <v>-1612.2764139378071</v>
      </c>
    </row>
    <row r="5137" spans="2:2" ht="15.6">
      <c r="B5137" s="171">
        <v>-1468.4631645541344</v>
      </c>
    </row>
    <row r="5138" spans="2:2" ht="15.6">
      <c r="B5138" s="171">
        <v>-1287.0332537679242</v>
      </c>
    </row>
    <row r="5139" spans="2:2" ht="15.6">
      <c r="B5139" s="171">
        <v>-1462.8905110792055</v>
      </c>
    </row>
    <row r="5140" spans="2:2" ht="15.6">
      <c r="B5140" s="171">
        <v>-1364.9067972788018</v>
      </c>
    </row>
    <row r="5141" spans="2:2" ht="15.6">
      <c r="B5141" s="171">
        <v>-1267.2251155840663</v>
      </c>
    </row>
    <row r="5142" spans="2:2" ht="15.6">
      <c r="B5142" s="171">
        <v>-1714.2767712051382</v>
      </c>
    </row>
    <row r="5143" spans="2:2" ht="15.6">
      <c r="B5143" s="171">
        <v>-1194.7896848291334</v>
      </c>
    </row>
    <row r="5144" spans="2:2" ht="15.6">
      <c r="B5144" s="171">
        <v>-1424.8834293742541</v>
      </c>
    </row>
    <row r="5145" spans="2:2" ht="15.6">
      <c r="B5145" s="171">
        <v>-2287.0813391222973</v>
      </c>
    </row>
    <row r="5146" spans="2:2" ht="15.6">
      <c r="B5146" s="171">
        <v>-1583.9056069642097</v>
      </c>
    </row>
    <row r="5147" spans="2:2" ht="15.6">
      <c r="B5147" s="171">
        <v>-1794.7324115846775</v>
      </c>
    </row>
    <row r="5148" spans="2:2" ht="15.6">
      <c r="B5148" s="171">
        <v>-2095.5332225133025</v>
      </c>
    </row>
    <row r="5149" spans="2:2" ht="15.6">
      <c r="B5149" s="171">
        <v>-1274.6907896926482</v>
      </c>
    </row>
    <row r="5150" spans="2:2" ht="15.6">
      <c r="B5150" s="171">
        <v>-1601.0024791531591</v>
      </c>
    </row>
    <row r="5151" spans="2:2" ht="15.6">
      <c r="B5151" s="171">
        <v>-1434.1504727584572</v>
      </c>
    </row>
    <row r="5152" spans="2:2" ht="15.6">
      <c r="B5152" s="171">
        <v>-2124.5343503567656</v>
      </c>
    </row>
    <row r="5153" spans="2:2" ht="15.6">
      <c r="B5153" s="171">
        <v>-1596.9120989498856</v>
      </c>
    </row>
    <row r="5154" spans="2:2" ht="15.6">
      <c r="B5154" s="171">
        <v>-1060.4080606068233</v>
      </c>
    </row>
    <row r="5155" spans="2:2" ht="15.6">
      <c r="B5155" s="171">
        <v>-2081.8354869065265</v>
      </c>
    </row>
    <row r="5156" spans="2:2" ht="15.6">
      <c r="B5156" s="171">
        <v>-1394.3158641294328</v>
      </c>
    </row>
    <row r="5157" spans="2:2" ht="15.6">
      <c r="B5157" s="171">
        <v>-1454.8932783555206</v>
      </c>
    </row>
    <row r="5158" spans="2:2" ht="15.6">
      <c r="B5158" s="171">
        <v>-1032.294613035187</v>
      </c>
    </row>
    <row r="5159" spans="2:2" ht="15.6">
      <c r="B5159" s="171">
        <v>-1182.3809429078715</v>
      </c>
    </row>
    <row r="5160" spans="2:2" ht="15.6">
      <c r="B5160" s="171">
        <v>-1464.2949764453469</v>
      </c>
    </row>
    <row r="5161" spans="2:2" ht="15.6">
      <c r="B5161" s="171">
        <v>-1678.0369197072837</v>
      </c>
    </row>
    <row r="5162" spans="2:2" ht="15.6">
      <c r="B5162" s="171">
        <v>-1633.3427521450917</v>
      </c>
    </row>
    <row r="5163" spans="2:2" ht="15.6">
      <c r="B5163" s="171">
        <v>-1638.2404222438317</v>
      </c>
    </row>
    <row r="5164" spans="2:2" ht="15.6">
      <c r="B5164" s="171">
        <v>-1461.2394643701705</v>
      </c>
    </row>
    <row r="5165" spans="2:2" ht="15.6">
      <c r="B5165" s="171">
        <v>-2077.0367645444121</v>
      </c>
    </row>
    <row r="5166" spans="2:2" ht="15.6">
      <c r="B5166" s="171">
        <v>-1297.2172194712659</v>
      </c>
    </row>
    <row r="5167" spans="2:2" ht="15.6">
      <c r="B5167" s="171">
        <v>-2011.8835752067869</v>
      </c>
    </row>
    <row r="5168" spans="2:2" ht="15.6">
      <c r="B5168" s="171">
        <v>-2204.0701390083395</v>
      </c>
    </row>
    <row r="5169" spans="2:2" ht="15.6">
      <c r="B5169" s="171">
        <v>-1818.3252218440716</v>
      </c>
    </row>
    <row r="5170" spans="2:2" ht="15.6">
      <c r="B5170" s="171">
        <v>-1762.168914287291</v>
      </c>
    </row>
    <row r="5171" spans="2:2" ht="15.6">
      <c r="B5171" s="171">
        <v>-1765.5398593651939</v>
      </c>
    </row>
    <row r="5172" spans="2:2" ht="15.6">
      <c r="B5172" s="171">
        <v>-2107.3237783466147</v>
      </c>
    </row>
    <row r="5173" spans="2:2" ht="15.6">
      <c r="B5173" s="171">
        <v>-2526.5066344799634</v>
      </c>
    </row>
    <row r="5174" spans="2:2" ht="15.6">
      <c r="B5174" s="171">
        <v>-1950.7835263101579</v>
      </c>
    </row>
    <row r="5175" spans="2:2" ht="15.6">
      <c r="B5175" s="171">
        <v>-1692.6850474180262</v>
      </c>
    </row>
    <row r="5176" spans="2:2" ht="15.6">
      <c r="B5176" s="171">
        <v>-1914.2550533020708</v>
      </c>
    </row>
    <row r="5177" spans="2:2" ht="15.6">
      <c r="B5177" s="171">
        <v>-1271.8091205322241</v>
      </c>
    </row>
    <row r="5178" spans="2:2" ht="15.6">
      <c r="B5178" s="171">
        <v>-1286.1875465818866</v>
      </c>
    </row>
    <row r="5179" spans="2:2" ht="15.6">
      <c r="B5179" s="171">
        <v>-1224.21691819168</v>
      </c>
    </row>
    <row r="5180" spans="2:2" ht="15.6">
      <c r="B5180" s="171">
        <v>-1856.6246827869913</v>
      </c>
    </row>
    <row r="5181" spans="2:2" ht="15.6">
      <c r="B5181" s="171">
        <v>-1478.6501495086113</v>
      </c>
    </row>
    <row r="5182" spans="2:2" ht="15.6">
      <c r="B5182" s="171">
        <v>-2077.3383699937403</v>
      </c>
    </row>
    <row r="5183" spans="2:2" ht="15.6">
      <c r="B5183" s="171">
        <v>-1674.2188632219636</v>
      </c>
    </row>
    <row r="5184" spans="2:2" ht="15.6">
      <c r="B5184" s="171">
        <v>-1996.1286888545437</v>
      </c>
    </row>
    <row r="5185" spans="2:2" ht="15.6">
      <c r="B5185" s="171">
        <v>-1233.111878154979</v>
      </c>
    </row>
    <row r="5186" spans="2:2" ht="15.6">
      <c r="B5186" s="171">
        <v>-1271.6441971102754</v>
      </c>
    </row>
    <row r="5187" spans="2:2" ht="15.6">
      <c r="B5187" s="171">
        <v>-1820.4919066158368</v>
      </c>
    </row>
    <row r="5188" spans="2:2" ht="15.6">
      <c r="B5188" s="171">
        <v>-1806.6319010124503</v>
      </c>
    </row>
    <row r="5189" spans="2:2" ht="15.6">
      <c r="B5189" s="171">
        <v>-1439.0878245824124</v>
      </c>
    </row>
    <row r="5190" spans="2:2" ht="15.6">
      <c r="B5190" s="171">
        <v>-1926.012715134214</v>
      </c>
    </row>
    <row r="5191" spans="2:2" ht="15.6">
      <c r="B5191" s="171">
        <v>-1589.3532633424081</v>
      </c>
    </row>
    <row r="5192" spans="2:2" ht="15.6">
      <c r="B5192" s="171">
        <v>-1048.6644263853857</v>
      </c>
    </row>
    <row r="5193" spans="2:2" ht="15.6">
      <c r="B5193" s="171">
        <v>-1521.7978150629199</v>
      </c>
    </row>
    <row r="5194" spans="2:2" ht="15.6">
      <c r="B5194" s="171">
        <v>-1828.118255217958</v>
      </c>
    </row>
    <row r="5195" spans="2:2" ht="15.6">
      <c r="B5195" s="171">
        <v>-820.21185120229723</v>
      </c>
    </row>
    <row r="5196" spans="2:2" ht="15.6">
      <c r="B5196" s="171">
        <v>-2243.6622863256589</v>
      </c>
    </row>
    <row r="5197" spans="2:2" ht="15.6">
      <c r="B5197" s="171">
        <v>-1709.5206829472083</v>
      </c>
    </row>
    <row r="5198" spans="2:2" ht="15.6">
      <c r="B5198" s="171">
        <v>-1151.3053500808189</v>
      </c>
    </row>
    <row r="5199" spans="2:2" ht="15.6">
      <c r="B5199" s="171">
        <v>-1215.0525682958851</v>
      </c>
    </row>
    <row r="5200" spans="2:2" ht="15.6">
      <c r="B5200" s="171">
        <v>-1916.1728311729462</v>
      </c>
    </row>
    <row r="5201" spans="2:2" ht="15.6">
      <c r="B5201" s="171">
        <v>-1909.7485286628194</v>
      </c>
    </row>
    <row r="5202" spans="2:2" ht="15.6">
      <c r="B5202" s="171">
        <v>-1799.7187910840762</v>
      </c>
    </row>
    <row r="5203" spans="2:2" ht="15.6">
      <c r="B5203" s="171">
        <v>-1880.6621559082646</v>
      </c>
    </row>
    <row r="5204" spans="2:2" ht="15.6">
      <c r="B5204" s="171">
        <v>-1626.1654159619873</v>
      </c>
    </row>
    <row r="5205" spans="2:2" ht="15.6">
      <c r="B5205" s="171">
        <v>-1887.6894298740217</v>
      </c>
    </row>
    <row r="5206" spans="2:2" ht="15.6">
      <c r="B5206" s="171">
        <v>-1550.2806269771811</v>
      </c>
    </row>
    <row r="5207" spans="2:2" ht="15.6">
      <c r="B5207" s="171">
        <v>-1437.1365603197878</v>
      </c>
    </row>
    <row r="5208" spans="2:2" ht="15.6">
      <c r="B5208" s="171">
        <v>-1864.4339463777414</v>
      </c>
    </row>
    <row r="5209" spans="2:2" ht="15.6">
      <c r="B5209" s="171">
        <v>-629.42771190548126</v>
      </c>
    </row>
    <row r="5210" spans="2:2" ht="15.6">
      <c r="B5210" s="171">
        <v>-1673.2783240683971</v>
      </c>
    </row>
    <row r="5211" spans="2:2" ht="15.6">
      <c r="B5211" s="171">
        <v>-1542.9757670872939</v>
      </c>
    </row>
    <row r="5212" spans="2:2" ht="15.6">
      <c r="B5212" s="171">
        <v>-1579.2977708524513</v>
      </c>
    </row>
    <row r="5213" spans="2:2" ht="15.6">
      <c r="B5213" s="171">
        <v>-958.74903400832716</v>
      </c>
    </row>
    <row r="5214" spans="2:2" ht="15.6">
      <c r="B5214" s="171">
        <v>-1976.9541933990272</v>
      </c>
    </row>
    <row r="5215" spans="2:2" ht="15.6">
      <c r="B5215" s="171">
        <v>-2064.2402574139915</v>
      </c>
    </row>
    <row r="5216" spans="2:2" ht="15.6">
      <c r="B5216" s="171">
        <v>-1332.525208668699</v>
      </c>
    </row>
    <row r="5217" spans="2:2" ht="15.6">
      <c r="B5217" s="171">
        <v>-1357.0198253253434</v>
      </c>
    </row>
    <row r="5218" spans="2:2" ht="15.6">
      <c r="B5218" s="171">
        <v>-571.48155871533197</v>
      </c>
    </row>
    <row r="5219" spans="2:2" ht="15.6">
      <c r="B5219" s="171">
        <v>-2949.8423003358321</v>
      </c>
    </row>
    <row r="5220" spans="2:2" ht="15.6">
      <c r="B5220" s="171">
        <v>-2501.553074316681</v>
      </c>
    </row>
    <row r="5221" spans="2:2" ht="15.6">
      <c r="B5221" s="171">
        <v>-1411.6039625582573</v>
      </c>
    </row>
    <row r="5222" spans="2:2" ht="15.6">
      <c r="B5222" s="171">
        <v>-1483.3366720989677</v>
      </c>
    </row>
    <row r="5223" spans="2:2" ht="15.6">
      <c r="B5223" s="171">
        <v>-1559.5891930205685</v>
      </c>
    </row>
    <row r="5224" spans="2:2" ht="15.6">
      <c r="B5224" s="171">
        <v>-1578.0681083070551</v>
      </c>
    </row>
    <row r="5225" spans="2:2" ht="15.6">
      <c r="B5225" s="171">
        <v>-1352.1830778430349</v>
      </c>
    </row>
    <row r="5226" spans="2:2" ht="15.6">
      <c r="B5226" s="171">
        <v>-1301.1568929698899</v>
      </c>
    </row>
    <row r="5227" spans="2:2" ht="15.6">
      <c r="B5227" s="171">
        <v>-1791.6776842244672</v>
      </c>
    </row>
    <row r="5228" spans="2:2" ht="15.6">
      <c r="B5228" s="171">
        <v>-1991.3696834594689</v>
      </c>
    </row>
    <row r="5229" spans="2:2" ht="15.6">
      <c r="B5229" s="171">
        <v>-1609.6514926030363</v>
      </c>
    </row>
    <row r="5230" spans="2:2" ht="15.6">
      <c r="B5230" s="171">
        <v>-2078.0541395028199</v>
      </c>
    </row>
    <row r="5231" spans="2:2" ht="15.6">
      <c r="B5231" s="171">
        <v>-958.94513681419858</v>
      </c>
    </row>
    <row r="5232" spans="2:2" ht="15.6">
      <c r="B5232" s="171">
        <v>-1512.1092318201677</v>
      </c>
    </row>
    <row r="5233" spans="2:2" ht="15.6">
      <c r="B5233" s="171">
        <v>-1513.260841199409</v>
      </c>
    </row>
    <row r="5234" spans="2:2" ht="15.6">
      <c r="B5234" s="171">
        <v>-583.61938922543482</v>
      </c>
    </row>
    <row r="5235" spans="2:2" ht="15.6">
      <c r="B5235" s="171">
        <v>-1794.5326825512175</v>
      </c>
    </row>
    <row r="5236" spans="2:2" ht="15.6">
      <c r="B5236" s="171">
        <v>-2174.4581158325705</v>
      </c>
    </row>
    <row r="5237" spans="2:2" ht="15.6">
      <c r="B5237" s="171">
        <v>-1789.1275953650065</v>
      </c>
    </row>
    <row r="5238" spans="2:2" ht="15.6">
      <c r="B5238" s="171">
        <v>-2314.8539311957411</v>
      </c>
    </row>
    <row r="5239" spans="2:2" ht="15.6">
      <c r="B5239" s="171">
        <v>-1380.2796437665534</v>
      </c>
    </row>
    <row r="5240" spans="2:2" ht="15.6">
      <c r="B5240" s="171">
        <v>-934.83349854429832</v>
      </c>
    </row>
    <row r="5241" spans="2:2" ht="15.6">
      <c r="B5241" s="171">
        <v>-1062.0095671368767</v>
      </c>
    </row>
    <row r="5242" spans="2:2" ht="15.6">
      <c r="B5242" s="171">
        <v>-1302.1062438902736</v>
      </c>
    </row>
    <row r="5243" spans="2:2" ht="15.6">
      <c r="B5243" s="171">
        <v>-1462.4570784482412</v>
      </c>
    </row>
    <row r="5244" spans="2:2" ht="15.6">
      <c r="B5244" s="171">
        <v>-2034.1602058870583</v>
      </c>
    </row>
    <row r="5245" spans="2:2" ht="15.6">
      <c r="B5245" s="171">
        <v>-2166.9826305710758</v>
      </c>
    </row>
    <row r="5246" spans="2:2" ht="15.6">
      <c r="B5246" s="171">
        <v>-1329.6474448826309</v>
      </c>
    </row>
    <row r="5247" spans="2:2" ht="15.6">
      <c r="B5247" s="171">
        <v>-1687.5044728052419</v>
      </c>
    </row>
    <row r="5248" spans="2:2" ht="15.6">
      <c r="B5248" s="171">
        <v>-2017.9468902029143</v>
      </c>
    </row>
    <row r="5249" spans="2:2" ht="15.6">
      <c r="B5249" s="171">
        <v>-1195.9466043476839</v>
      </c>
    </row>
    <row r="5250" spans="2:2" ht="15.6">
      <c r="B5250" s="171">
        <v>-1633.8287715527808</v>
      </c>
    </row>
    <row r="5251" spans="2:2" ht="15.6">
      <c r="B5251" s="171">
        <v>-1485.2021808921554</v>
      </c>
    </row>
    <row r="5252" spans="2:2" ht="15.6">
      <c r="B5252" s="171">
        <v>-1141.8044382580472</v>
      </c>
    </row>
    <row r="5253" spans="2:2" ht="15.6">
      <c r="B5253" s="171">
        <v>-1179.4991690626368</v>
      </c>
    </row>
    <row r="5254" spans="2:2" ht="15.6">
      <c r="B5254" s="171">
        <v>-1525.1932940714673</v>
      </c>
    </row>
    <row r="5255" spans="2:2" ht="15.6">
      <c r="B5255" s="171">
        <v>-2213.0070189171465</v>
      </c>
    </row>
    <row r="5256" spans="2:2" ht="15.6">
      <c r="B5256" s="171">
        <v>-1329.4310252218515</v>
      </c>
    </row>
    <row r="5257" spans="2:2" ht="15.6">
      <c r="B5257" s="171">
        <v>-2476.8170655409017</v>
      </c>
    </row>
    <row r="5258" spans="2:2" ht="15.6">
      <c r="B5258" s="171">
        <v>-1358.2857751523411</v>
      </c>
    </row>
    <row r="5259" spans="2:2" ht="15.6">
      <c r="B5259" s="171">
        <v>-1786.2827695747319</v>
      </c>
    </row>
    <row r="5260" spans="2:2" ht="15.6">
      <c r="B5260" s="171">
        <v>-2334.1814121431262</v>
      </c>
    </row>
    <row r="5261" spans="2:2" ht="15.6">
      <c r="B5261" s="171">
        <v>-1504.4407059406744</v>
      </c>
    </row>
    <row r="5262" spans="2:2" ht="15.6">
      <c r="B5262" s="171">
        <v>-1614.4489998007916</v>
      </c>
    </row>
    <row r="5263" spans="2:2" ht="15.6">
      <c r="B5263" s="171">
        <v>-2210.3153982990539</v>
      </c>
    </row>
    <row r="5264" spans="2:2" ht="15.6">
      <c r="B5264" s="171">
        <v>-1467.126810702691</v>
      </c>
    </row>
    <row r="5265" spans="2:2" ht="15.6">
      <c r="B5265" s="171">
        <v>-1425.8065132466695</v>
      </c>
    </row>
    <row r="5266" spans="2:2" ht="15.6">
      <c r="B5266" s="171">
        <v>-2351.5121462944467</v>
      </c>
    </row>
    <row r="5267" spans="2:2" ht="15.6">
      <c r="B5267" s="171">
        <v>-1275.3055240454771</v>
      </c>
    </row>
    <row r="5268" spans="2:2" ht="15.6">
      <c r="B5268" s="171">
        <v>-1265.6808449446407</v>
      </c>
    </row>
    <row r="5269" spans="2:2" ht="15.6">
      <c r="B5269" s="171">
        <v>-1488.9040979676693</v>
      </c>
    </row>
    <row r="5270" spans="2:2" ht="15.6">
      <c r="B5270" s="171">
        <v>-1761.5678735664462</v>
      </c>
    </row>
    <row r="5271" spans="2:2" ht="15.6">
      <c r="B5271" s="171">
        <v>-1176.9250823201583</v>
      </c>
    </row>
    <row r="5272" spans="2:2" ht="15.6">
      <c r="B5272" s="171">
        <v>-2797.6993794285272</v>
      </c>
    </row>
    <row r="5273" spans="2:2" ht="15.6">
      <c r="B5273" s="171">
        <v>-1927.7560928620746</v>
      </c>
    </row>
    <row r="5274" spans="2:2" ht="15.6">
      <c r="B5274" s="171">
        <v>-1848.9065649839397</v>
      </c>
    </row>
    <row r="5275" spans="2:2" ht="15.6">
      <c r="B5275" s="171">
        <v>-2382.9763669305084</v>
      </c>
    </row>
    <row r="5276" spans="2:2" ht="15.6">
      <c r="B5276" s="171">
        <v>-1631.1350539910686</v>
      </c>
    </row>
    <row r="5277" spans="2:2" ht="15.6">
      <c r="B5277" s="171">
        <v>-1583.8902926492037</v>
      </c>
    </row>
    <row r="5278" spans="2:2" ht="15.6">
      <c r="B5278" s="171">
        <v>-2050.6321963744476</v>
      </c>
    </row>
    <row r="5279" spans="2:2" ht="15.6">
      <c r="B5279" s="171">
        <v>-1188.2518304403898</v>
      </c>
    </row>
    <row r="5280" spans="2:2" ht="15.6">
      <c r="B5280" s="171">
        <v>-1045.7146612320355</v>
      </c>
    </row>
    <row r="5281" spans="2:2" ht="15.6">
      <c r="B5281" s="171">
        <v>-1435.7983421677989</v>
      </c>
    </row>
    <row r="5282" spans="2:2" ht="15.6">
      <c r="B5282" s="171">
        <v>-1459.5650008795992</v>
      </c>
    </row>
    <row r="5283" spans="2:2" ht="15.6">
      <c r="B5283" s="171">
        <v>-2448.7012263677098</v>
      </c>
    </row>
    <row r="5284" spans="2:2" ht="15.6">
      <c r="B5284" s="171">
        <v>-1317.3527594418279</v>
      </c>
    </row>
    <row r="5285" spans="2:2" ht="15.6">
      <c r="B5285" s="171">
        <v>-1315.4512140523079</v>
      </c>
    </row>
    <row r="5286" spans="2:2" ht="15.6">
      <c r="B5286" s="171">
        <v>-1571.8104784363843</v>
      </c>
    </row>
    <row r="5287" spans="2:2" ht="15.6">
      <c r="B5287" s="171">
        <v>-1641.731485703534</v>
      </c>
    </row>
    <row r="5288" spans="2:2" ht="15.6">
      <c r="B5288" s="171">
        <v>-1401.9171886468457</v>
      </c>
    </row>
    <row r="5289" spans="2:2" ht="15.6">
      <c r="B5289" s="171">
        <v>-3229.7523296009158</v>
      </c>
    </row>
    <row r="5290" spans="2:2" ht="15.6">
      <c r="B5290" s="171">
        <v>-1159.0964420803214</v>
      </c>
    </row>
    <row r="5291" spans="2:2" ht="15.6">
      <c r="B5291" s="171">
        <v>-1579.5739688960718</v>
      </c>
    </row>
    <row r="5292" spans="2:2" ht="15.6">
      <c r="B5292" s="171">
        <v>-1136.3550173599908</v>
      </c>
    </row>
    <row r="5293" spans="2:2" ht="15.6">
      <c r="B5293" s="171">
        <v>-1263.6279082002131</v>
      </c>
    </row>
    <row r="5294" spans="2:2" ht="15.6">
      <c r="B5294" s="171">
        <v>-1378.4341562576683</v>
      </c>
    </row>
    <row r="5295" spans="2:2" ht="15.6">
      <c r="B5295" s="171">
        <v>-1735.7290432212981</v>
      </c>
    </row>
    <row r="5296" spans="2:2" ht="15.6">
      <c r="B5296" s="171">
        <v>-1922.3958462068924</v>
      </c>
    </row>
    <row r="5297" spans="2:2" ht="15.6">
      <c r="B5297" s="171">
        <v>-1951.3439770255075</v>
      </c>
    </row>
    <row r="5298" spans="2:2" ht="15.6">
      <c r="B5298" s="171">
        <v>-2363.1543055098759</v>
      </c>
    </row>
    <row r="5299" spans="2:2" ht="15.6">
      <c r="B5299" s="171">
        <v>-1485.2649279989423</v>
      </c>
    </row>
    <row r="5300" spans="2:2" ht="15.6">
      <c r="B5300" s="171">
        <v>-1073.8018767644724</v>
      </c>
    </row>
    <row r="5301" spans="2:2" ht="15.6">
      <c r="B5301" s="171">
        <v>-2470.2426043241853</v>
      </c>
    </row>
    <row r="5302" spans="2:2" ht="15.6">
      <c r="B5302" s="171">
        <v>-1667.5451965144632</v>
      </c>
    </row>
    <row r="5303" spans="2:2" ht="15.6">
      <c r="B5303" s="171">
        <v>-1734.5874034516514</v>
      </c>
    </row>
    <row r="5304" spans="2:2" ht="15.6">
      <c r="B5304" s="171">
        <v>-1063.1878421098177</v>
      </c>
    </row>
    <row r="5305" spans="2:2" ht="15.6">
      <c r="B5305" s="171">
        <v>-1498.5034139194333</v>
      </c>
    </row>
    <row r="5306" spans="2:2" ht="15.6">
      <c r="B5306" s="171">
        <v>-1916.3942971189495</v>
      </c>
    </row>
    <row r="5307" spans="2:2" ht="15.6">
      <c r="B5307" s="171">
        <v>-2817.6582107938393</v>
      </c>
    </row>
    <row r="5308" spans="2:2" ht="15.6">
      <c r="B5308" s="171">
        <v>-1215.2966004988893</v>
      </c>
    </row>
    <row r="5309" spans="2:2" ht="15.6">
      <c r="B5309" s="171">
        <v>-1195.3381605019422</v>
      </c>
    </row>
    <row r="5310" spans="2:2" ht="15.6">
      <c r="B5310" s="171">
        <v>-1811.5215331055886</v>
      </c>
    </row>
    <row r="5311" spans="2:2" ht="15.6">
      <c r="B5311" s="171">
        <v>-2148.8902861127435</v>
      </c>
    </row>
    <row r="5312" spans="2:2" ht="15.6">
      <c r="B5312" s="171">
        <v>-1748.1308572760483</v>
      </c>
    </row>
    <row r="5313" spans="2:2" ht="15.6">
      <c r="B5313" s="171">
        <v>-1806.6712889855366</v>
      </c>
    </row>
    <row r="5314" spans="2:2" ht="15.6">
      <c r="B5314" s="171">
        <v>-2115.9390524025598</v>
      </c>
    </row>
    <row r="5315" spans="2:2" ht="15.6">
      <c r="B5315" s="171">
        <v>-1296.6742888741246</v>
      </c>
    </row>
    <row r="5316" spans="2:2" ht="15.6">
      <c r="B5316" s="171">
        <v>-1088.9867839575716</v>
      </c>
    </row>
    <row r="5317" spans="2:2" ht="15.6">
      <c r="B5317" s="171">
        <v>-1798.6474256939068</v>
      </c>
    </row>
    <row r="5318" spans="2:2" ht="15.6">
      <c r="B5318" s="171">
        <v>-3035.9218699831299</v>
      </c>
    </row>
    <row r="5319" spans="2:2" ht="15.6">
      <c r="B5319" s="171">
        <v>-1832.9300363937155</v>
      </c>
    </row>
    <row r="5320" spans="2:2" ht="15.6">
      <c r="B5320" s="171">
        <v>-1614.2513267005359</v>
      </c>
    </row>
    <row r="5321" spans="2:2" ht="15.6">
      <c r="B5321" s="171">
        <v>-1035.434949439516</v>
      </c>
    </row>
    <row r="5322" spans="2:2" ht="15.6">
      <c r="B5322" s="171">
        <v>-1266.605804564053</v>
      </c>
    </row>
    <row r="5323" spans="2:2" ht="15.6">
      <c r="B5323" s="171">
        <v>-1593.4492121087353</v>
      </c>
    </row>
    <row r="5324" spans="2:2" ht="15.6">
      <c r="B5324" s="171">
        <v>-1833.1232839210554</v>
      </c>
    </row>
    <row r="5325" spans="2:2" ht="15.6">
      <c r="B5325" s="171">
        <v>-1428.1178163335553</v>
      </c>
    </row>
    <row r="5326" spans="2:2" ht="15.6">
      <c r="B5326" s="171">
        <v>-1291.3602166019746</v>
      </c>
    </row>
    <row r="5327" spans="2:2" ht="15.6">
      <c r="B5327" s="171">
        <v>-1915.1887272041113</v>
      </c>
    </row>
    <row r="5328" spans="2:2" ht="15.6">
      <c r="B5328" s="171">
        <v>-2263.7578845833755</v>
      </c>
    </row>
    <row r="5329" spans="2:2" ht="15.6">
      <c r="B5329" s="171">
        <v>-1656.3851997604029</v>
      </c>
    </row>
    <row r="5330" spans="2:2" ht="15.6">
      <c r="B5330" s="171">
        <v>-1826.1517636193798</v>
      </c>
    </row>
    <row r="5331" spans="2:2" ht="15.6">
      <c r="B5331" s="171">
        <v>-1266.9204094650006</v>
      </c>
    </row>
    <row r="5332" spans="2:2" ht="15.6">
      <c r="B5332" s="171">
        <v>-2605.1040190538188</v>
      </c>
    </row>
    <row r="5333" spans="2:2" ht="15.6">
      <c r="B5333" s="171">
        <v>-1520.4734688532874</v>
      </c>
    </row>
    <row r="5334" spans="2:2" ht="15.6">
      <c r="B5334" s="171">
        <v>-1826.9088752925363</v>
      </c>
    </row>
    <row r="5335" spans="2:2" ht="15.6">
      <c r="B5335" s="171">
        <v>-1111.4410684445907</v>
      </c>
    </row>
    <row r="5336" spans="2:2" ht="15.6">
      <c r="B5336" s="171">
        <v>-1224.5675257408679</v>
      </c>
    </row>
    <row r="5337" spans="2:2" ht="15.6">
      <c r="B5337" s="171">
        <v>-1482.4775537092833</v>
      </c>
    </row>
    <row r="5338" spans="2:2" ht="15.6">
      <c r="B5338" s="171">
        <v>-1715.7239953120056</v>
      </c>
    </row>
    <row r="5339" spans="2:2" ht="15.6">
      <c r="B5339" s="171">
        <v>-1941.5962871112656</v>
      </c>
    </row>
    <row r="5340" spans="2:2" ht="15.6">
      <c r="B5340" s="171">
        <v>-1476.0200232913294</v>
      </c>
    </row>
    <row r="5341" spans="2:2" ht="15.6">
      <c r="B5341" s="171">
        <v>-1463.8083157739359</v>
      </c>
    </row>
    <row r="5342" spans="2:2" ht="15.6">
      <c r="B5342" s="171">
        <v>-1894.2127485015153</v>
      </c>
    </row>
    <row r="5343" spans="2:2" ht="15.6">
      <c r="B5343" s="171">
        <v>-1966.2082356103208</v>
      </c>
    </row>
    <row r="5344" spans="2:2" ht="15.6">
      <c r="B5344" s="171">
        <v>-1974.1873082103293</v>
      </c>
    </row>
    <row r="5345" spans="2:2" ht="15.6">
      <c r="B5345" s="171">
        <v>-1446.2218013569102</v>
      </c>
    </row>
    <row r="5346" spans="2:2" ht="15.6">
      <c r="B5346" s="171">
        <v>-1615.6134263936799</v>
      </c>
    </row>
    <row r="5347" spans="2:2" ht="15.6">
      <c r="B5347" s="171">
        <v>-1382.9939061823427</v>
      </c>
    </row>
    <row r="5348" spans="2:2" ht="15.6">
      <c r="B5348" s="171">
        <v>-1428.2381087083647</v>
      </c>
    </row>
    <row r="5349" spans="2:2" ht="15.6">
      <c r="B5349" s="171">
        <v>-1006.5790023741672</v>
      </c>
    </row>
    <row r="5350" spans="2:2" ht="15.6">
      <c r="B5350" s="171">
        <v>-1414.8229052890672</v>
      </c>
    </row>
    <row r="5351" spans="2:2" ht="15.6">
      <c r="B5351" s="171">
        <v>-1620.1909298113947</v>
      </c>
    </row>
    <row r="5352" spans="2:2" ht="15.6">
      <c r="B5352" s="171">
        <v>-1671.6115408746377</v>
      </c>
    </row>
    <row r="5353" spans="2:2" ht="15.6">
      <c r="B5353" s="171">
        <v>-1475.9022431019243</v>
      </c>
    </row>
    <row r="5354" spans="2:2" ht="15.6">
      <c r="B5354" s="171">
        <v>-1497.697921226734</v>
      </c>
    </row>
    <row r="5355" spans="2:2" ht="15.6">
      <c r="B5355" s="171">
        <v>-1388.4645935540989</v>
      </c>
    </row>
    <row r="5356" spans="2:2" ht="15.6">
      <c r="B5356" s="171">
        <v>-1508.5393944790396</v>
      </c>
    </row>
    <row r="5357" spans="2:2" ht="15.6">
      <c r="B5357" s="171">
        <v>-1550.7492142628919</v>
      </c>
    </row>
    <row r="5358" spans="2:2" ht="15.6">
      <c r="B5358" s="171">
        <v>-1431.5717164842756</v>
      </c>
    </row>
    <row r="5359" spans="2:2" ht="15.6">
      <c r="B5359" s="171">
        <v>-1964.027507077396</v>
      </c>
    </row>
    <row r="5360" spans="2:2" ht="15.6">
      <c r="B5360" s="171">
        <v>-1383.4227236602596</v>
      </c>
    </row>
    <row r="5361" spans="2:2" ht="15.6">
      <c r="B5361" s="171">
        <v>-2570.3559174782299</v>
      </c>
    </row>
    <row r="5362" spans="2:2" ht="15.6">
      <c r="B5362" s="171">
        <v>-1113.5952832911426</v>
      </c>
    </row>
    <row r="5363" spans="2:2" ht="15.6">
      <c r="B5363" s="171">
        <v>-1672.6971085426403</v>
      </c>
    </row>
    <row r="5364" spans="2:2" ht="15.6">
      <c r="B5364" s="171">
        <v>-1983.5728454508867</v>
      </c>
    </row>
    <row r="5365" spans="2:2" ht="15.6">
      <c r="B5365" s="171">
        <v>-1937.0935640154817</v>
      </c>
    </row>
    <row r="5366" spans="2:2" ht="15.6">
      <c r="B5366" s="171">
        <v>-1479.6938840264324</v>
      </c>
    </row>
    <row r="5367" spans="2:2" ht="15.6">
      <c r="B5367" s="171">
        <v>-1723.2762596044272</v>
      </c>
    </row>
    <row r="5368" spans="2:2" ht="15.6">
      <c r="B5368" s="171">
        <v>-1758.6830088689414</v>
      </c>
    </row>
    <row r="5369" spans="2:2" ht="15.6">
      <c r="B5369" s="171">
        <v>-1034.5452697934152</v>
      </c>
    </row>
    <row r="5370" spans="2:2" ht="15.6">
      <c r="B5370" s="171">
        <v>-2444.9112733423458</v>
      </c>
    </row>
    <row r="5371" spans="2:2" ht="15.6">
      <c r="B5371" s="171">
        <v>-1312.0604292079418</v>
      </c>
    </row>
    <row r="5372" spans="2:2" ht="15.6">
      <c r="B5372" s="171">
        <v>-1462.7000517617378</v>
      </c>
    </row>
    <row r="5373" spans="2:2" ht="15.6">
      <c r="B5373" s="171">
        <v>-2727.3460634036655</v>
      </c>
    </row>
    <row r="5374" spans="2:2" ht="15.6">
      <c r="B5374" s="171">
        <v>-2217.734293818794</v>
      </c>
    </row>
    <row r="5375" spans="2:2" ht="15.6">
      <c r="B5375" s="171">
        <v>-1386.872564134281</v>
      </c>
    </row>
    <row r="5376" spans="2:2" ht="15.6">
      <c r="B5376" s="171">
        <v>-1463.4642258789045</v>
      </c>
    </row>
    <row r="5377" spans="2:2" ht="15.6">
      <c r="B5377" s="171">
        <v>-2102.9183207504734</v>
      </c>
    </row>
    <row r="5378" spans="2:2" ht="15.6">
      <c r="B5378" s="171">
        <v>-1401.7254577795143</v>
      </c>
    </row>
    <row r="5379" spans="2:2" ht="15.6">
      <c r="B5379" s="171">
        <v>-1184.954568560355</v>
      </c>
    </row>
    <row r="5380" spans="2:2" ht="15.6">
      <c r="B5380" s="171">
        <v>-1408.6829161879621</v>
      </c>
    </row>
    <row r="5381" spans="2:2" ht="15.6">
      <c r="B5381" s="171">
        <v>-1401.1199029931427</v>
      </c>
    </row>
    <row r="5382" spans="2:2" ht="15.6">
      <c r="B5382" s="171">
        <v>-1575.0516535613231</v>
      </c>
    </row>
    <row r="5383" spans="2:2" ht="15.6">
      <c r="B5383" s="171">
        <v>-1448.7099550904563</v>
      </c>
    </row>
    <row r="5384" spans="2:2" ht="15.6">
      <c r="B5384" s="171">
        <v>-1295.5795794170833</v>
      </c>
    </row>
    <row r="5385" spans="2:2" ht="15.6">
      <c r="B5385" s="171">
        <v>-1305.3349491803156</v>
      </c>
    </row>
    <row r="5386" spans="2:2" ht="15.6">
      <c r="B5386" s="171">
        <v>-1919.7487185169932</v>
      </c>
    </row>
    <row r="5387" spans="2:2" ht="15.6">
      <c r="B5387" s="171">
        <v>-1203.2815538024993</v>
      </c>
    </row>
    <row r="5388" spans="2:2" ht="15.6">
      <c r="B5388" s="171">
        <v>-1347.4496087124699</v>
      </c>
    </row>
    <row r="5389" spans="2:2" ht="15.6">
      <c r="B5389" s="171">
        <v>-1303.0085416060763</v>
      </c>
    </row>
    <row r="5390" spans="2:2" ht="15.6">
      <c r="B5390" s="171">
        <v>-1275.5366338608833</v>
      </c>
    </row>
    <row r="5391" spans="2:2" ht="15.6">
      <c r="B5391" s="171">
        <v>-1735.570498050419</v>
      </c>
    </row>
    <row r="5392" spans="2:2" ht="15.6">
      <c r="B5392" s="171">
        <v>-1705.1557888162417</v>
      </c>
    </row>
    <row r="5393" spans="2:2" ht="15.6">
      <c r="B5393" s="171">
        <v>-1625.4700721580894</v>
      </c>
    </row>
    <row r="5394" spans="2:2" ht="15.6">
      <c r="B5394" s="171">
        <v>-1674.5838627599155</v>
      </c>
    </row>
    <row r="5395" spans="2:2" ht="15.6">
      <c r="B5395" s="171">
        <v>-1134.5154561215941</v>
      </c>
    </row>
    <row r="5396" spans="2:2" ht="15.6">
      <c r="B5396" s="171">
        <v>-2089.7853810066808</v>
      </c>
    </row>
    <row r="5397" spans="2:2" ht="15.6">
      <c r="B5397" s="171">
        <v>-1539.1627222646205</v>
      </c>
    </row>
    <row r="5398" spans="2:2" ht="15.6">
      <c r="B5398" s="171">
        <v>-1374.0219104688022</v>
      </c>
    </row>
    <row r="5399" spans="2:2" ht="15.6">
      <c r="B5399" s="171">
        <v>-2553.3005641385726</v>
      </c>
    </row>
    <row r="5400" spans="2:2" ht="15.6">
      <c r="B5400" s="171">
        <v>-1741.3683682119249</v>
      </c>
    </row>
    <row r="5401" spans="2:2" ht="15.6">
      <c r="B5401" s="171">
        <v>-1409.6278437702395</v>
      </c>
    </row>
    <row r="5402" spans="2:2" ht="15.6">
      <c r="B5402" s="171">
        <v>-1513.2528294428853</v>
      </c>
    </row>
    <row r="5403" spans="2:2" ht="15.6">
      <c r="B5403" s="171">
        <v>-1769.095536551587</v>
      </c>
    </row>
    <row r="5404" spans="2:2" ht="15.6">
      <c r="B5404" s="171">
        <v>-1795.3902334598588</v>
      </c>
    </row>
    <row r="5405" spans="2:2" ht="15.6">
      <c r="B5405" s="171">
        <v>-2167.6060440373071</v>
      </c>
    </row>
    <row r="5406" spans="2:2" ht="15.6">
      <c r="B5406" s="171">
        <v>-936.82464309625004</v>
      </c>
    </row>
    <row r="5407" spans="2:2" ht="15.6">
      <c r="B5407" s="171">
        <v>-905.72136684372833</v>
      </c>
    </row>
    <row r="5408" spans="2:2" ht="15.6">
      <c r="B5408" s="171">
        <v>-2157.070429332136</v>
      </c>
    </row>
    <row r="5409" spans="2:2" ht="15.6">
      <c r="B5409" s="171">
        <v>-2183.1871614662005</v>
      </c>
    </row>
    <row r="5410" spans="2:2" ht="15.6">
      <c r="B5410" s="171">
        <v>-2424.6667512364256</v>
      </c>
    </row>
    <row r="5411" spans="2:2" ht="15.6">
      <c r="B5411" s="171">
        <v>-1540.6333658533881</v>
      </c>
    </row>
    <row r="5412" spans="2:2" ht="15.6">
      <c r="B5412" s="171">
        <v>-1901.2446003950699</v>
      </c>
    </row>
    <row r="5413" spans="2:2" ht="15.6">
      <c r="B5413" s="171">
        <v>-2158.9206534013729</v>
      </c>
    </row>
    <row r="5414" spans="2:2" ht="15.6">
      <c r="B5414" s="171">
        <v>-2211.8780067559305</v>
      </c>
    </row>
    <row r="5415" spans="2:2" ht="15.6">
      <c r="B5415" s="171">
        <v>-1489.6131667573522</v>
      </c>
    </row>
    <row r="5416" spans="2:2" ht="15.6">
      <c r="B5416" s="171">
        <v>-1266.4371214943642</v>
      </c>
    </row>
    <row r="5417" spans="2:2" ht="15.6">
      <c r="B5417" s="171">
        <v>-2555.0414658674836</v>
      </c>
    </row>
    <row r="5418" spans="2:2" ht="15.6">
      <c r="B5418" s="171">
        <v>-1460.4983664565223</v>
      </c>
    </row>
    <row r="5419" spans="2:2" ht="15.6">
      <c r="B5419" s="171">
        <v>-1727.8047323243286</v>
      </c>
    </row>
    <row r="5420" spans="2:2" ht="15.6">
      <c r="B5420" s="171">
        <v>-663.00009739278164</v>
      </c>
    </row>
    <row r="5421" spans="2:2" ht="15.6">
      <c r="B5421" s="171">
        <v>-1488.1775948628101</v>
      </c>
    </row>
    <row r="5422" spans="2:2" ht="15.6">
      <c r="B5422" s="171">
        <v>-902.22105577111051</v>
      </c>
    </row>
    <row r="5423" spans="2:2" ht="15.6">
      <c r="B5423" s="171">
        <v>-848.72778814616822</v>
      </c>
    </row>
    <row r="5424" spans="2:2" ht="15.6">
      <c r="B5424" s="171">
        <v>-779.61874645914361</v>
      </c>
    </row>
    <row r="5425" spans="2:2" ht="15.6">
      <c r="B5425" s="171">
        <v>-1432.1129791584385</v>
      </c>
    </row>
    <row r="5426" spans="2:2" ht="15.6">
      <c r="B5426" s="171">
        <v>-1733.9343455399094</v>
      </c>
    </row>
    <row r="5427" spans="2:2" ht="15.6">
      <c r="B5427" s="171">
        <v>-1322.7445102406971</v>
      </c>
    </row>
    <row r="5428" spans="2:2" ht="15.6">
      <c r="B5428" s="171">
        <v>-1403.7611354336075</v>
      </c>
    </row>
    <row r="5429" spans="2:2" ht="15.6">
      <c r="B5429" s="171">
        <v>-1696.3184357432237</v>
      </c>
    </row>
    <row r="5430" spans="2:2" ht="15.6">
      <c r="B5430" s="171">
        <v>-1918.276510937003</v>
      </c>
    </row>
    <row r="5431" spans="2:2" ht="15.6">
      <c r="B5431" s="171">
        <v>-1615.654385728438</v>
      </c>
    </row>
    <row r="5432" spans="2:2" ht="15.6">
      <c r="B5432" s="171">
        <v>-1068.2977898828369</v>
      </c>
    </row>
    <row r="5433" spans="2:2" ht="15.6">
      <c r="B5433" s="171">
        <v>-1782.9811657389539</v>
      </c>
    </row>
    <row r="5434" spans="2:2" ht="15.6">
      <c r="B5434" s="171">
        <v>-1634.7236701383108</v>
      </c>
    </row>
    <row r="5435" spans="2:2" ht="15.6">
      <c r="B5435" s="171">
        <v>-2320.9738102006031</v>
      </c>
    </row>
    <row r="5436" spans="2:2" ht="15.6">
      <c r="B5436" s="171">
        <v>-2487.1840463079398</v>
      </c>
    </row>
    <row r="5437" spans="2:2" ht="15.6">
      <c r="B5437" s="171">
        <v>-1028.0181509200734</v>
      </c>
    </row>
    <row r="5438" spans="2:2" ht="15.6">
      <c r="B5438" s="171">
        <v>-1181.1456722291393</v>
      </c>
    </row>
    <row r="5439" spans="2:2" ht="15.6">
      <c r="B5439" s="171">
        <v>-1912.1052582268226</v>
      </c>
    </row>
    <row r="5440" spans="2:2" ht="15.6">
      <c r="B5440" s="171">
        <v>-1886.6752460075254</v>
      </c>
    </row>
    <row r="5441" spans="2:2" ht="15.6">
      <c r="B5441" s="171">
        <v>-1430.333411933726</v>
      </c>
    </row>
    <row r="5442" spans="2:2" ht="15.6">
      <c r="B5442" s="171">
        <v>-1768.3167507875901</v>
      </c>
    </row>
    <row r="5443" spans="2:2" ht="15.6">
      <c r="B5443" s="171">
        <v>-2129.5098456468722</v>
      </c>
    </row>
    <row r="5444" spans="2:2" ht="15.6">
      <c r="B5444" s="171">
        <v>-1751.0584065011453</v>
      </c>
    </row>
    <row r="5445" spans="2:2" ht="15.6">
      <c r="B5445" s="171">
        <v>-1081.5395688290464</v>
      </c>
    </row>
    <row r="5446" spans="2:2" ht="15.6">
      <c r="B5446" s="171">
        <v>-1762.7088428258546</v>
      </c>
    </row>
    <row r="5447" spans="2:2" ht="15.6">
      <c r="B5447" s="171">
        <v>-1876.3358406483808</v>
      </c>
    </row>
    <row r="5448" spans="2:2" ht="15.6">
      <c r="B5448" s="171">
        <v>-1605.9023232368586</v>
      </c>
    </row>
    <row r="5449" spans="2:2" ht="15.6">
      <c r="B5449" s="171">
        <v>-1625.2993595526918</v>
      </c>
    </row>
    <row r="5450" spans="2:2" ht="15.6">
      <c r="B5450" s="171">
        <v>-2024.5900958145321</v>
      </c>
    </row>
    <row r="5451" spans="2:2" ht="15.6">
      <c r="B5451" s="171">
        <v>-1506.6135645881236</v>
      </c>
    </row>
    <row r="5452" spans="2:2" ht="15.6">
      <c r="B5452" s="171">
        <v>-2014.3177042459197</v>
      </c>
    </row>
    <row r="5453" spans="2:2" ht="15.6">
      <c r="B5453" s="171">
        <v>-960.2459953225856</v>
      </c>
    </row>
    <row r="5454" spans="2:2" ht="15.6">
      <c r="B5454" s="171">
        <v>-1001.2801118505735</v>
      </c>
    </row>
    <row r="5455" spans="2:2" ht="15.6">
      <c r="B5455" s="171">
        <v>-1811.3669018900359</v>
      </c>
    </row>
    <row r="5456" spans="2:2" ht="15.6">
      <c r="B5456" s="171">
        <v>-1310.4056387299788</v>
      </c>
    </row>
    <row r="5457" spans="2:2" ht="15.6">
      <c r="B5457" s="171">
        <v>-1846.6487306729759</v>
      </c>
    </row>
    <row r="5458" spans="2:2" ht="15.6">
      <c r="B5458" s="171">
        <v>-1517.7729917908387</v>
      </c>
    </row>
    <row r="5459" spans="2:2" ht="15.6">
      <c r="B5459" s="171">
        <v>-1386.9471125940656</v>
      </c>
    </row>
    <row r="5460" spans="2:2" ht="15.6">
      <c r="B5460" s="171">
        <v>-1718.6539681526206</v>
      </c>
    </row>
    <row r="5461" spans="2:2" ht="15.6">
      <c r="B5461" s="171">
        <v>-1640.3778824252802</v>
      </c>
    </row>
    <row r="5462" spans="2:2" ht="15.6">
      <c r="B5462" s="171">
        <v>-1432.7145473747714</v>
      </c>
    </row>
    <row r="5463" spans="2:2" ht="15.6">
      <c r="B5463" s="171">
        <v>-1881.2288055843196</v>
      </c>
    </row>
    <row r="5464" spans="2:2" ht="15.6">
      <c r="B5464" s="171">
        <v>-1619.9414327995564</v>
      </c>
    </row>
    <row r="5465" spans="2:2" ht="15.6">
      <c r="B5465" s="171">
        <v>-1725.9033440348953</v>
      </c>
    </row>
    <row r="5466" spans="2:2" ht="15.6">
      <c r="B5466" s="171">
        <v>-1577.6550083632962</v>
      </c>
    </row>
    <row r="5467" spans="2:2" ht="15.6">
      <c r="B5467" s="171">
        <v>-2118.507964297879</v>
      </c>
    </row>
    <row r="5468" spans="2:2" ht="15.6">
      <c r="B5468" s="171">
        <v>-1573.9080885308488</v>
      </c>
    </row>
    <row r="5469" spans="2:2" ht="15.6">
      <c r="B5469" s="171">
        <v>-1495.9642064386537</v>
      </c>
    </row>
    <row r="5470" spans="2:2" ht="15.6">
      <c r="B5470" s="171">
        <v>-1327.0136548920902</v>
      </c>
    </row>
    <row r="5471" spans="2:2" ht="15.6">
      <c r="B5471" s="171">
        <v>-1714.0846512060186</v>
      </c>
    </row>
    <row r="5472" spans="2:2" ht="15.6">
      <c r="B5472" s="171">
        <v>-2036.2872832453477</v>
      </c>
    </row>
    <row r="5473" spans="2:2" ht="15.6">
      <c r="B5473" s="171">
        <v>-1969.5010976723643</v>
      </c>
    </row>
    <row r="5474" spans="2:2" ht="15.6">
      <c r="B5474" s="171">
        <v>-1260.0766899689897</v>
      </c>
    </row>
    <row r="5475" spans="2:2" ht="15.6">
      <c r="B5475" s="171">
        <v>-1643.4743000702863</v>
      </c>
    </row>
    <row r="5476" spans="2:2" ht="15.6">
      <c r="B5476" s="171">
        <v>-1340.1334799268095</v>
      </c>
    </row>
    <row r="5477" spans="2:2" ht="15.6">
      <c r="B5477" s="171">
        <v>-1574.3394485169265</v>
      </c>
    </row>
    <row r="5478" spans="2:2" ht="15.6">
      <c r="B5478" s="171">
        <v>-1503.6675165983684</v>
      </c>
    </row>
    <row r="5479" spans="2:2" ht="15.6">
      <c r="B5479" s="171">
        <v>-1302.7324502803954</v>
      </c>
    </row>
    <row r="5480" spans="2:2" ht="15.6">
      <c r="B5480" s="171">
        <v>-1067.9545533567807</v>
      </c>
    </row>
    <row r="5481" spans="2:2" ht="15.6">
      <c r="B5481" s="171">
        <v>-1813.0165274000783</v>
      </c>
    </row>
    <row r="5482" spans="2:2" ht="15.6">
      <c r="B5482" s="171">
        <v>-805.48433087416515</v>
      </c>
    </row>
    <row r="5483" spans="2:2" ht="15.6">
      <c r="B5483" s="171">
        <v>-1649.1658818748454</v>
      </c>
    </row>
    <row r="5484" spans="2:2" ht="15.6">
      <c r="B5484" s="171">
        <v>-635.72684977805363</v>
      </c>
    </row>
    <row r="5485" spans="2:2" ht="15.6">
      <c r="B5485" s="171">
        <v>-1529.2083335321236</v>
      </c>
    </row>
    <row r="5486" spans="2:2" ht="15.6">
      <c r="B5486" s="171">
        <v>-998.98791482307968</v>
      </c>
    </row>
    <row r="5487" spans="2:2" ht="15.6">
      <c r="B5487" s="171">
        <v>-1506.0012954442193</v>
      </c>
    </row>
    <row r="5488" spans="2:2" ht="15.6">
      <c r="B5488" s="171">
        <v>-1301.5658708011092</v>
      </c>
    </row>
    <row r="5489" spans="2:2" ht="15.6">
      <c r="B5489" s="171">
        <v>-1886.9088570590302</v>
      </c>
    </row>
    <row r="5490" spans="2:2" ht="15.6">
      <c r="B5490" s="171">
        <v>-1680.4650308086918</v>
      </c>
    </row>
    <row r="5491" spans="2:2" ht="15.6">
      <c r="B5491" s="171">
        <v>-1057.5250324993935</v>
      </c>
    </row>
    <row r="5492" spans="2:2" ht="15.6">
      <c r="B5492" s="171">
        <v>-1685.5879947336748</v>
      </c>
    </row>
    <row r="5493" spans="2:2" ht="15.6">
      <c r="B5493" s="171">
        <v>-1029.4911407189268</v>
      </c>
    </row>
    <row r="5494" spans="2:2" ht="15.6">
      <c r="B5494" s="171">
        <v>-1307.0964115287593</v>
      </c>
    </row>
    <row r="5495" spans="2:2" ht="15.6">
      <c r="B5495" s="171">
        <v>-1726.1847080686823</v>
      </c>
    </row>
    <row r="5496" spans="2:2" ht="15.6">
      <c r="B5496" s="171">
        <v>-1976.8777564035825</v>
      </c>
    </row>
    <row r="5497" spans="2:2" ht="15.6">
      <c r="B5497" s="171">
        <v>-2308.513395212357</v>
      </c>
    </row>
    <row r="5498" spans="2:2" ht="15.6">
      <c r="B5498" s="171">
        <v>-2593.3250041028464</v>
      </c>
    </row>
    <row r="5499" spans="2:2" ht="15.6">
      <c r="B5499" s="171">
        <v>-1505.919193723958</v>
      </c>
    </row>
    <row r="5500" spans="2:2" ht="15.6">
      <c r="B5500" s="171">
        <v>-1829.3599828881713</v>
      </c>
    </row>
    <row r="5501" spans="2:2" ht="15.6">
      <c r="B5501" s="171">
        <v>-1503.0655006912536</v>
      </c>
    </row>
    <row r="5502" spans="2:2" ht="15.6">
      <c r="B5502" s="171">
        <v>-1797.5853642544034</v>
      </c>
    </row>
    <row r="5503" spans="2:2" ht="15.6">
      <c r="B5503" s="171">
        <v>-1088.8774154901453</v>
      </c>
    </row>
    <row r="5504" spans="2:2" ht="15.6">
      <c r="B5504" s="171">
        <v>-2194.1804959023771</v>
      </c>
    </row>
    <row r="5505" spans="2:2" ht="15.6">
      <c r="B5505" s="171">
        <v>-1716.9722719262536</v>
      </c>
    </row>
    <row r="5506" spans="2:2" ht="15.6">
      <c r="B5506" s="171">
        <v>-1762.3873604140665</v>
      </c>
    </row>
    <row r="5507" spans="2:2" ht="15.6">
      <c r="B5507" s="171">
        <v>-1556.5460768945602</v>
      </c>
    </row>
    <row r="5508" spans="2:2" ht="15.6">
      <c r="B5508" s="171">
        <v>-1202.0020550414019</v>
      </c>
    </row>
    <row r="5509" spans="2:2" ht="15.6">
      <c r="B5509" s="171">
        <v>-1291.9567922911742</v>
      </c>
    </row>
    <row r="5510" spans="2:2" ht="15.6">
      <c r="B5510" s="171">
        <v>-1118.2257616024024</v>
      </c>
    </row>
    <row r="5511" spans="2:2" ht="15.6">
      <c r="B5511" s="171">
        <v>-970.97729075455914</v>
      </c>
    </row>
    <row r="5512" spans="2:2" ht="15.6">
      <c r="B5512" s="171">
        <v>-1229.2427614756816</v>
      </c>
    </row>
    <row r="5513" spans="2:2" ht="15.6">
      <c r="B5513" s="171">
        <v>-1789.5617595099382</v>
      </c>
    </row>
    <row r="5514" spans="2:2" ht="15.6">
      <c r="B5514" s="171">
        <v>-1008.6085966912273</v>
      </c>
    </row>
    <row r="5515" spans="2:2" ht="15.6">
      <c r="B5515" s="171">
        <v>-1182.7293964251141</v>
      </c>
    </row>
    <row r="5516" spans="2:2" ht="15.6">
      <c r="B5516" s="171">
        <v>-2070.7994271927646</v>
      </c>
    </row>
    <row r="5517" spans="2:2" ht="15.6">
      <c r="B5517" s="171">
        <v>-1224.1274421855173</v>
      </c>
    </row>
    <row r="5518" spans="2:2" ht="15.6">
      <c r="B5518" s="171">
        <v>-1534.6482713434166</v>
      </c>
    </row>
    <row r="5519" spans="2:2" ht="15.6">
      <c r="B5519" s="171">
        <v>-2182.1428543100542</v>
      </c>
    </row>
    <row r="5520" spans="2:2" ht="15.6">
      <c r="B5520" s="171">
        <v>-1572.6970546917214</v>
      </c>
    </row>
    <row r="5521" spans="2:2" ht="15.6">
      <c r="B5521" s="171">
        <v>-1170.0275445977222</v>
      </c>
    </row>
    <row r="5522" spans="2:2" ht="15.6">
      <c r="B5522" s="171">
        <v>-2046.3764652514174</v>
      </c>
    </row>
    <row r="5523" spans="2:2" ht="15.6">
      <c r="B5523" s="171">
        <v>-1332.366662249101</v>
      </c>
    </row>
    <row r="5524" spans="2:2" ht="15.6">
      <c r="B5524" s="171">
        <v>-1845.3505753171307</v>
      </c>
    </row>
    <row r="5525" spans="2:2" ht="15.6">
      <c r="B5525" s="171">
        <v>-1487.4434106785873</v>
      </c>
    </row>
    <row r="5526" spans="2:2" ht="15.6">
      <c r="B5526" s="171">
        <v>-1770.5116075392646</v>
      </c>
    </row>
    <row r="5527" spans="2:2" ht="15.6">
      <c r="B5527" s="171">
        <v>-1313.339216055592</v>
      </c>
    </row>
    <row r="5528" spans="2:2" ht="15.6">
      <c r="B5528" s="171">
        <v>-2429.2130505610003</v>
      </c>
    </row>
    <row r="5529" spans="2:2" ht="15.6">
      <c r="B5529" s="171">
        <v>-1539.113403124423</v>
      </c>
    </row>
    <row r="5530" spans="2:2" ht="15.6">
      <c r="B5530" s="171">
        <v>-1155.1295780207179</v>
      </c>
    </row>
    <row r="5531" spans="2:2" ht="15.6">
      <c r="B5531" s="171">
        <v>-1438.9020479472351</v>
      </c>
    </row>
    <row r="5532" spans="2:2" ht="15.6">
      <c r="B5532" s="171">
        <v>-1726.6265863250874</v>
      </c>
    </row>
    <row r="5533" spans="2:2" ht="15.6">
      <c r="B5533" s="171">
        <v>-2209.3046732772245</v>
      </c>
    </row>
    <row r="5534" spans="2:2" ht="15.6">
      <c r="B5534" s="171">
        <v>-1800.740251798115</v>
      </c>
    </row>
    <row r="5535" spans="2:2" ht="15.6">
      <c r="B5535" s="171">
        <v>-1252.691092431312</v>
      </c>
    </row>
    <row r="5536" spans="2:2" ht="15.6">
      <c r="B5536" s="171">
        <v>-993.87962033070619</v>
      </c>
    </row>
    <row r="5537" spans="2:2" ht="15.6">
      <c r="B5537" s="171">
        <v>-1452.4900151872509</v>
      </c>
    </row>
    <row r="5538" spans="2:2" ht="15.6">
      <c r="B5538" s="171">
        <v>-1294.9460445440125</v>
      </c>
    </row>
    <row r="5539" spans="2:2" ht="15.6">
      <c r="B5539" s="171">
        <v>-1111.2734326811249</v>
      </c>
    </row>
    <row r="5540" spans="2:2" ht="15.6">
      <c r="B5540" s="171">
        <v>-837.54585259104135</v>
      </c>
    </row>
    <row r="5541" spans="2:2" ht="15.6">
      <c r="B5541" s="171">
        <v>-2527.7739119043231</v>
      </c>
    </row>
    <row r="5542" spans="2:2" ht="15.6">
      <c r="B5542" s="171">
        <v>-1426.1707151569592</v>
      </c>
    </row>
    <row r="5543" spans="2:2" ht="15.6">
      <c r="B5543" s="171">
        <v>-1491.2015911974308</v>
      </c>
    </row>
    <row r="5544" spans="2:2" ht="15.6">
      <c r="B5544" s="171">
        <v>-1429.5540515368007</v>
      </c>
    </row>
    <row r="5545" spans="2:2" ht="15.6">
      <c r="B5545" s="171">
        <v>-1947.5070987722156</v>
      </c>
    </row>
    <row r="5546" spans="2:2" ht="15.6">
      <c r="B5546" s="171">
        <v>-2259.3700211788873</v>
      </c>
    </row>
    <row r="5547" spans="2:2" ht="15.6">
      <c r="B5547" s="171">
        <v>-1640.6078031048928</v>
      </c>
    </row>
    <row r="5548" spans="2:2" ht="15.6">
      <c r="B5548" s="171">
        <v>-1480.6943674024278</v>
      </c>
    </row>
    <row r="5549" spans="2:2" ht="15.6">
      <c r="B5549" s="171">
        <v>-1725.6992125165827</v>
      </c>
    </row>
    <row r="5550" spans="2:2" ht="15.6">
      <c r="B5550" s="171">
        <v>-2183.1072561443193</v>
      </c>
    </row>
    <row r="5551" spans="2:2" ht="15.6">
      <c r="B5551" s="171">
        <v>-1300.9733733885587</v>
      </c>
    </row>
    <row r="5552" spans="2:2" ht="15.6">
      <c r="B5552" s="171">
        <v>-1531.8097202269964</v>
      </c>
    </row>
    <row r="5553" spans="2:2" ht="15.6">
      <c r="B5553" s="171">
        <v>-1155.6944328451841</v>
      </c>
    </row>
    <row r="5554" spans="2:2" ht="15.6">
      <c r="B5554" s="171">
        <v>-2641.3040538198093</v>
      </c>
    </row>
    <row r="5555" spans="2:2" ht="15.6">
      <c r="B5555" s="171">
        <v>-1174.8101364460615</v>
      </c>
    </row>
    <row r="5556" spans="2:2" ht="15.6">
      <c r="B5556" s="171">
        <v>-3139.187438469894</v>
      </c>
    </row>
    <row r="5557" spans="2:2" ht="15.6">
      <c r="B5557" s="171">
        <v>-2029.4198723786899</v>
      </c>
    </row>
    <row r="5558" spans="2:2" ht="15.6">
      <c r="B5558" s="171">
        <v>-2341.7479497599279</v>
      </c>
    </row>
    <row r="5559" spans="2:2" ht="15.6">
      <c r="B5559" s="171">
        <v>-1779.1226212005954</v>
      </c>
    </row>
    <row r="5560" spans="2:2" ht="15.6">
      <c r="B5560" s="171">
        <v>-1314.8729508374606</v>
      </c>
    </row>
    <row r="5561" spans="2:2" ht="15.6">
      <c r="B5561" s="171">
        <v>-2540.8767706008211</v>
      </c>
    </row>
    <row r="5562" spans="2:2" ht="15.6">
      <c r="B5562" s="171">
        <v>-1861.3214563808588</v>
      </c>
    </row>
    <row r="5563" spans="2:2" ht="15.6">
      <c r="B5563" s="171">
        <v>-1527.0343537997028</v>
      </c>
    </row>
    <row r="5564" spans="2:2" ht="15.6">
      <c r="B5564" s="171">
        <v>-1747.7757865561798</v>
      </c>
    </row>
    <row r="5565" spans="2:2" ht="15.6">
      <c r="B5565" s="171">
        <v>-1109.2330721175335</v>
      </c>
    </row>
    <row r="5566" spans="2:2" ht="15.6">
      <c r="B5566" s="171">
        <v>-1748.5546018220991</v>
      </c>
    </row>
    <row r="5567" spans="2:2" ht="15.6">
      <c r="B5567" s="171">
        <v>-1219.6736551303459</v>
      </c>
    </row>
    <row r="5568" spans="2:2" ht="15.6">
      <c r="B5568" s="171">
        <v>-1805.4939371568853</v>
      </c>
    </row>
    <row r="5569" spans="2:2" ht="15.6">
      <c r="B5569" s="171">
        <v>-1591.6690618222576</v>
      </c>
    </row>
    <row r="5570" spans="2:2" ht="15.6">
      <c r="B5570" s="171">
        <v>-1546.5389181734649</v>
      </c>
    </row>
    <row r="5571" spans="2:2" ht="15.6">
      <c r="B5571" s="171">
        <v>-1285.8293324506787</v>
      </c>
    </row>
    <row r="5572" spans="2:2" ht="15.6">
      <c r="B5572" s="171">
        <v>-1996.0392999788737</v>
      </c>
    </row>
    <row r="5573" spans="2:2" ht="15.6">
      <c r="B5573" s="171">
        <v>-1532.2650234351729</v>
      </c>
    </row>
    <row r="5574" spans="2:2" ht="15.6">
      <c r="B5574" s="171">
        <v>-1516.3767847535621</v>
      </c>
    </row>
    <row r="5575" spans="2:2" ht="15.6">
      <c r="B5575" s="171">
        <v>-1938.9010459694225</v>
      </c>
    </row>
    <row r="5576" spans="2:2" ht="15.6">
      <c r="B5576" s="171">
        <v>-1480.9609430637877</v>
      </c>
    </row>
    <row r="5577" spans="2:2" ht="15.6">
      <c r="B5577" s="171">
        <v>-1571.7435088598188</v>
      </c>
    </row>
    <row r="5578" spans="2:2" ht="15.6">
      <c r="B5578" s="171">
        <v>-971.10394303521286</v>
      </c>
    </row>
    <row r="5579" spans="2:2" ht="15.6">
      <c r="B5579" s="171">
        <v>-1876.8751360064498</v>
      </c>
    </row>
    <row r="5580" spans="2:2" ht="15.6">
      <c r="B5580" s="171">
        <v>-1854.6084273575279</v>
      </c>
    </row>
    <row r="5581" spans="2:2" ht="15.6">
      <c r="B5581" s="171">
        <v>-2323.2047772519018</v>
      </c>
    </row>
    <row r="5582" spans="2:2" ht="15.6">
      <c r="B5582" s="171">
        <v>-1164.2088634551706</v>
      </c>
    </row>
    <row r="5583" spans="2:2" ht="15.6">
      <c r="B5583" s="171">
        <v>-1026.0098183290268</v>
      </c>
    </row>
    <row r="5584" spans="2:2" ht="15.6">
      <c r="B5584" s="171">
        <v>-1719.700243176208</v>
      </c>
    </row>
    <row r="5585" spans="2:2" ht="15.6">
      <c r="B5585" s="171">
        <v>-962.71444891670581</v>
      </c>
    </row>
    <row r="5586" spans="2:2" ht="15.6">
      <c r="B5586" s="171">
        <v>-1716.1605189755273</v>
      </c>
    </row>
    <row r="5587" spans="2:2" ht="15.6">
      <c r="B5587" s="171">
        <v>-1324.091906749167</v>
      </c>
    </row>
    <row r="5588" spans="2:2" ht="15.6">
      <c r="B5588" s="171">
        <v>-1295.8382287356696</v>
      </c>
    </row>
    <row r="5589" spans="2:2" ht="15.6">
      <c r="B5589" s="171">
        <v>-1153.281796083066</v>
      </c>
    </row>
    <row r="5590" spans="2:2" ht="15.6">
      <c r="B5590" s="171">
        <v>-1118.9681746005617</v>
      </c>
    </row>
    <row r="5591" spans="2:2" ht="15.6">
      <c r="B5591" s="171">
        <v>-1617.8000287314806</v>
      </c>
    </row>
    <row r="5592" spans="2:2" ht="15.6">
      <c r="B5592" s="171">
        <v>-2234.1914189542254</v>
      </c>
    </row>
    <row r="5593" spans="2:2" ht="15.6">
      <c r="B5593" s="171">
        <v>-2236.8102422821889</v>
      </c>
    </row>
    <row r="5594" spans="2:2" ht="15.6">
      <c r="B5594" s="171">
        <v>-1675.3900099872146</v>
      </c>
    </row>
    <row r="5595" spans="2:2" ht="15.6">
      <c r="B5595" s="171">
        <v>-1812.5875019073192</v>
      </c>
    </row>
    <row r="5596" spans="2:2" ht="15.6">
      <c r="B5596" s="171">
        <v>-1838.2004915863222</v>
      </c>
    </row>
    <row r="5597" spans="2:2" ht="15.6">
      <c r="B5597" s="171">
        <v>-1252.652329890147</v>
      </c>
    </row>
    <row r="5598" spans="2:2" ht="15.6">
      <c r="B5598" s="171">
        <v>-1239.5854293879408</v>
      </c>
    </row>
    <row r="5599" spans="2:2" ht="15.6">
      <c r="B5599" s="171">
        <v>-2099.7115348325474</v>
      </c>
    </row>
    <row r="5600" spans="2:2" ht="15.6">
      <c r="B5600" s="171">
        <v>-2171.9420575503905</v>
      </c>
    </row>
    <row r="5601" spans="2:2" ht="15.6">
      <c r="B5601" s="171">
        <v>-1371.3091858018943</v>
      </c>
    </row>
    <row r="5602" spans="2:2" ht="15.6">
      <c r="B5602" s="171">
        <v>-1689.4140895005999</v>
      </c>
    </row>
    <row r="5603" spans="2:2" ht="15.6">
      <c r="B5603" s="171">
        <v>-1436.3495531339668</v>
      </c>
    </row>
    <row r="5604" spans="2:2" ht="15.6">
      <c r="B5604" s="171">
        <v>-1177.8478435432139</v>
      </c>
    </row>
    <row r="5605" spans="2:2" ht="15.6">
      <c r="B5605" s="171">
        <v>-1978.4519396325941</v>
      </c>
    </row>
    <row r="5606" spans="2:2" ht="15.6">
      <c r="B5606" s="171">
        <v>-1080.1827766642252</v>
      </c>
    </row>
    <row r="5607" spans="2:2" ht="15.6">
      <c r="B5607" s="171">
        <v>-1852.9239902246518</v>
      </c>
    </row>
    <row r="5608" spans="2:2" ht="15.6">
      <c r="B5608" s="171">
        <v>-2053.4555360220902</v>
      </c>
    </row>
    <row r="5609" spans="2:2" ht="15.6">
      <c r="B5609" s="171">
        <v>-1612.6768776429401</v>
      </c>
    </row>
    <row r="5610" spans="2:2" ht="15.6">
      <c r="B5610" s="171">
        <v>-1727.0363880689001</v>
      </c>
    </row>
    <row r="5611" spans="2:2" ht="15.6">
      <c r="B5611" s="171">
        <v>-1929.3887345334615</v>
      </c>
    </row>
    <row r="5612" spans="2:2" ht="15.6">
      <c r="B5612" s="171">
        <v>-980.43777350595497</v>
      </c>
    </row>
    <row r="5613" spans="2:2" ht="15.6">
      <c r="B5613" s="171">
        <v>-1569.4912095972979</v>
      </c>
    </row>
    <row r="5614" spans="2:2" ht="15.6">
      <c r="B5614" s="171">
        <v>-1313.422580808719</v>
      </c>
    </row>
    <row r="5615" spans="2:2" ht="15.6">
      <c r="B5615" s="171">
        <v>-2128.41314007039</v>
      </c>
    </row>
    <row r="5616" spans="2:2" ht="15.6">
      <c r="B5616" s="171">
        <v>-971.36413746615926</v>
      </c>
    </row>
    <row r="5617" spans="2:2" ht="15.6">
      <c r="B5617" s="171">
        <v>-1799.7801240330734</v>
      </c>
    </row>
    <row r="5618" spans="2:2" ht="15.6">
      <c r="B5618" s="171">
        <v>-1965.1946988461277</v>
      </c>
    </row>
    <row r="5619" spans="2:2" ht="15.6">
      <c r="B5619" s="171">
        <v>-1881.1563226658213</v>
      </c>
    </row>
    <row r="5620" spans="2:2" ht="15.6">
      <c r="B5620" s="171">
        <v>-1883.0099525840374</v>
      </c>
    </row>
    <row r="5621" spans="2:2" ht="15.6">
      <c r="B5621" s="171">
        <v>-1261.9358148533004</v>
      </c>
    </row>
    <row r="5622" spans="2:2" ht="15.6">
      <c r="B5622" s="171">
        <v>-1010.6922272733111</v>
      </c>
    </row>
    <row r="5623" spans="2:2" ht="15.6">
      <c r="B5623" s="171">
        <v>-1331.2269413767585</v>
      </c>
    </row>
    <row r="5624" spans="2:2" ht="15.6">
      <c r="B5624" s="171">
        <v>-1489.6886075957095</v>
      </c>
    </row>
    <row r="5625" spans="2:2" ht="15.6">
      <c r="B5625" s="171">
        <v>-1155.6190962377971</v>
      </c>
    </row>
    <row r="5626" spans="2:2" ht="15.6">
      <c r="B5626" s="171">
        <v>-1448.3532843113717</v>
      </c>
    </row>
    <row r="5627" spans="2:2" ht="15.6">
      <c r="B5627" s="171">
        <v>-1876.1923134528038</v>
      </c>
    </row>
    <row r="5628" spans="2:2" ht="15.6">
      <c r="B5628" s="171">
        <v>-1649.0238525697653</v>
      </c>
    </row>
    <row r="5629" spans="2:2" ht="15.6">
      <c r="B5629" s="171">
        <v>-1265.3250223885382</v>
      </c>
    </row>
    <row r="5630" spans="2:2" ht="15.6">
      <c r="B5630" s="171">
        <v>-1119.1943507872666</v>
      </c>
    </row>
    <row r="5631" spans="2:2" ht="15.6">
      <c r="B5631" s="171">
        <v>-1628.4071558503169</v>
      </c>
    </row>
    <row r="5632" spans="2:2" ht="15.6">
      <c r="B5632" s="171">
        <v>-1694.2972196325388</v>
      </c>
    </row>
    <row r="5633" spans="2:2" ht="15.6">
      <c r="B5633" s="171">
        <v>-1441.2782027395072</v>
      </c>
    </row>
    <row r="5634" spans="2:2" ht="15.6">
      <c r="B5634" s="171">
        <v>-1343.378045041095</v>
      </c>
    </row>
    <row r="5635" spans="2:2" ht="15.6">
      <c r="B5635" s="171">
        <v>-1248.8755602526462</v>
      </c>
    </row>
    <row r="5636" spans="2:2" ht="15.6">
      <c r="B5636" s="171">
        <v>-1433.2375159785356</v>
      </c>
    </row>
    <row r="5637" spans="2:2" ht="15.6">
      <c r="B5637" s="171">
        <v>-2765.9941851024869</v>
      </c>
    </row>
    <row r="5638" spans="2:2" ht="15.6">
      <c r="B5638" s="171">
        <v>-1523.8701527362985</v>
      </c>
    </row>
    <row r="5639" spans="2:2" ht="15.6">
      <c r="B5639" s="171">
        <v>-1491.4384264745943</v>
      </c>
    </row>
    <row r="5640" spans="2:2" ht="15.6">
      <c r="B5640" s="171">
        <v>-1717.2808012010328</v>
      </c>
    </row>
    <row r="5641" spans="2:2" ht="15.6">
      <c r="B5641" s="171">
        <v>-1503.8208699463391</v>
      </c>
    </row>
    <row r="5642" spans="2:2" ht="15.6">
      <c r="B5642" s="171">
        <v>-1340.2271144566316</v>
      </c>
    </row>
    <row r="5643" spans="2:2" ht="15.6">
      <c r="B5643" s="171">
        <v>-1905.2552860501378</v>
      </c>
    </row>
    <row r="5644" spans="2:2" ht="15.6">
      <c r="B5644" s="171">
        <v>-1547.3958402058852</v>
      </c>
    </row>
    <row r="5645" spans="2:2" ht="15.6">
      <c r="B5645" s="171">
        <v>-1370.1483713258847</v>
      </c>
    </row>
    <row r="5646" spans="2:2" ht="15.6">
      <c r="B5646" s="171">
        <v>-1284.7363725923101</v>
      </c>
    </row>
    <row r="5647" spans="2:2" ht="15.6">
      <c r="B5647" s="171">
        <v>-1026.2522966568799</v>
      </c>
    </row>
    <row r="5648" spans="2:2" ht="15.6">
      <c r="B5648" s="171">
        <v>-2069.8275709350919</v>
      </c>
    </row>
    <row r="5649" spans="2:2" ht="15.6">
      <c r="B5649" s="171">
        <v>-2371.7277289936833</v>
      </c>
    </row>
    <row r="5650" spans="2:2" ht="15.6">
      <c r="B5650" s="171">
        <v>-1157.4487663528212</v>
      </c>
    </row>
    <row r="5651" spans="2:2" ht="15.6">
      <c r="B5651" s="171">
        <v>-1214.21302533216</v>
      </c>
    </row>
    <row r="5652" spans="2:2" ht="15.6">
      <c r="B5652" s="171">
        <v>-967.21297065397857</v>
      </c>
    </row>
    <row r="5653" spans="2:2" ht="15.6">
      <c r="B5653" s="171">
        <v>-1270.753547086143</v>
      </c>
    </row>
    <row r="5654" spans="2:2" ht="15.6">
      <c r="B5654" s="171">
        <v>-1820.9581759557573</v>
      </c>
    </row>
    <row r="5655" spans="2:2" ht="15.6">
      <c r="B5655" s="171">
        <v>-2147.7789439206986</v>
      </c>
    </row>
    <row r="5656" spans="2:2" ht="15.6">
      <c r="B5656" s="171">
        <v>-2380.9855204358228</v>
      </c>
    </row>
    <row r="5657" spans="2:2" ht="15.6">
      <c r="B5657" s="171">
        <v>-1241.7649815713232</v>
      </c>
    </row>
    <row r="5658" spans="2:2" ht="15.6">
      <c r="B5658" s="171">
        <v>-1642.3968109417917</v>
      </c>
    </row>
    <row r="5659" spans="2:2" ht="15.6">
      <c r="B5659" s="171">
        <v>-1589.9190342642698</v>
      </c>
    </row>
    <row r="5660" spans="2:2" ht="15.6">
      <c r="B5660" s="171">
        <v>-1701.5089898473766</v>
      </c>
    </row>
    <row r="5661" spans="2:2" ht="15.6">
      <c r="B5661" s="171">
        <v>-1095.2480187604385</v>
      </c>
    </row>
    <row r="5662" spans="2:2" ht="15.6">
      <c r="B5662" s="171">
        <v>-1933.399474925709</v>
      </c>
    </row>
    <row r="5663" spans="2:2" ht="15.6">
      <c r="B5663" s="171">
        <v>-1461.473805112387</v>
      </c>
    </row>
    <row r="5664" spans="2:2" ht="15.6">
      <c r="B5664" s="171">
        <v>-1410.2169348357866</v>
      </c>
    </row>
    <row r="5665" spans="2:2" ht="15.6">
      <c r="B5665" s="171">
        <v>-2146.4281425171239</v>
      </c>
    </row>
    <row r="5666" spans="2:2" ht="15.6">
      <c r="B5666" s="171">
        <v>-1471.7567304491893</v>
      </c>
    </row>
    <row r="5667" spans="2:2" ht="15.6">
      <c r="B5667" s="171">
        <v>-1361.9848988144895</v>
      </c>
    </row>
    <row r="5668" spans="2:2" ht="15.6">
      <c r="B5668" s="171">
        <v>-1813.3440770331781</v>
      </c>
    </row>
    <row r="5669" spans="2:2" ht="15.6">
      <c r="B5669" s="171">
        <v>-1956.2895789505014</v>
      </c>
    </row>
    <row r="5670" spans="2:2" ht="15.6">
      <c r="B5670" s="171">
        <v>-1626.315320835849</v>
      </c>
    </row>
    <row r="5671" spans="2:2" ht="15.6">
      <c r="B5671" s="171">
        <v>-1586.3698807105864</v>
      </c>
    </row>
    <row r="5672" spans="2:2" ht="15.6">
      <c r="B5672" s="171">
        <v>-1518.7596768843628</v>
      </c>
    </row>
    <row r="5673" spans="2:2" ht="15.6">
      <c r="B5673" s="171">
        <v>-1298.0494223221058</v>
      </c>
    </row>
    <row r="5674" spans="2:2" ht="15.6">
      <c r="B5674" s="171">
        <v>-1477.1310040262001</v>
      </c>
    </row>
    <row r="5675" spans="2:2" ht="15.6">
      <c r="B5675" s="171">
        <v>-1864.6668909134378</v>
      </c>
    </row>
    <row r="5676" spans="2:2" ht="15.6">
      <c r="B5676" s="171">
        <v>-2088.0297891912237</v>
      </c>
    </row>
    <row r="5677" spans="2:2" ht="15.6">
      <c r="B5677" s="171">
        <v>-1407.429664054195</v>
      </c>
    </row>
    <row r="5678" spans="2:2" ht="15.6">
      <c r="B5678" s="171">
        <v>-1178.5089613753835</v>
      </c>
    </row>
    <row r="5679" spans="2:2" ht="15.6">
      <c r="B5679" s="171">
        <v>-1437.0275586625448</v>
      </c>
    </row>
    <row r="5680" spans="2:2" ht="15.6">
      <c r="B5680" s="171">
        <v>-1362.3048528253514</v>
      </c>
    </row>
    <row r="5681" spans="2:2" ht="15.6">
      <c r="B5681" s="171">
        <v>-1829.1366476338599</v>
      </c>
    </row>
    <row r="5682" spans="2:2" ht="15.6">
      <c r="B5682" s="171">
        <v>-1363.7740547934134</v>
      </c>
    </row>
    <row r="5683" spans="2:2" ht="15.6">
      <c r="B5683" s="171">
        <v>-1587.496969404486</v>
      </c>
    </row>
    <row r="5684" spans="2:2" ht="15.6">
      <c r="B5684" s="171">
        <v>-2127.620910691383</v>
      </c>
    </row>
    <row r="5685" spans="2:2" ht="15.6">
      <c r="B5685" s="171">
        <v>-2020.2863913695601</v>
      </c>
    </row>
    <row r="5686" spans="2:2" ht="15.6">
      <c r="B5686" s="171">
        <v>-1426.1273139577606</v>
      </c>
    </row>
    <row r="5687" spans="2:2" ht="15.6">
      <c r="B5687" s="171">
        <v>-1681.7008877430558</v>
      </c>
    </row>
    <row r="5688" spans="2:2" ht="15.6">
      <c r="B5688" s="171">
        <v>-1838.1653353796205</v>
      </c>
    </row>
    <row r="5689" spans="2:2" ht="15.6">
      <c r="B5689" s="171">
        <v>-1759.5711272023284</v>
      </c>
    </row>
    <row r="5690" spans="2:2" ht="15.6">
      <c r="B5690" s="171">
        <v>-1762.2539130222674</v>
      </c>
    </row>
    <row r="5691" spans="2:2" ht="15.6">
      <c r="B5691" s="171">
        <v>-2003.4087055161299</v>
      </c>
    </row>
    <row r="5692" spans="2:2" ht="15.6">
      <c r="B5692" s="171">
        <v>-1398.0981778466853</v>
      </c>
    </row>
    <row r="5693" spans="2:2" ht="15.6">
      <c r="B5693" s="171">
        <v>-1485.5897767128208</v>
      </c>
    </row>
    <row r="5694" spans="2:2" ht="15.6">
      <c r="B5694" s="171">
        <v>-1801.8508726002678</v>
      </c>
    </row>
    <row r="5695" spans="2:2" ht="15.6">
      <c r="B5695" s="171">
        <v>-1740.3242730787399</v>
      </c>
    </row>
    <row r="5696" spans="2:2" ht="15.6">
      <c r="B5696" s="171">
        <v>-1809.495069529622</v>
      </c>
    </row>
    <row r="5697" spans="2:2" ht="15.6">
      <c r="B5697" s="171">
        <v>-1644.8443395148618</v>
      </c>
    </row>
    <row r="5698" spans="2:2" ht="15.6">
      <c r="B5698" s="171">
        <v>-1771.3784297670022</v>
      </c>
    </row>
    <row r="5699" spans="2:2" ht="15.6">
      <c r="B5699" s="171">
        <v>-1645.3651446374338</v>
      </c>
    </row>
    <row r="5700" spans="2:2" ht="15.6">
      <c r="B5700" s="171">
        <v>-1591.501871824709</v>
      </c>
    </row>
    <row r="5701" spans="2:2" ht="15.6">
      <c r="B5701" s="171">
        <v>-2088.8135280954093</v>
      </c>
    </row>
    <row r="5702" spans="2:2" ht="15.6">
      <c r="B5702" s="171">
        <v>-1799.3322788494288</v>
      </c>
    </row>
    <row r="5703" spans="2:2" ht="15.6">
      <c r="B5703" s="171">
        <v>-2445.4293976781173</v>
      </c>
    </row>
    <row r="5704" spans="2:2" ht="15.6">
      <c r="B5704" s="171">
        <v>-2024.7729989448694</v>
      </c>
    </row>
    <row r="5705" spans="2:2" ht="15.6">
      <c r="B5705" s="171">
        <v>-1543.9747948055563</v>
      </c>
    </row>
    <row r="5706" spans="2:2" ht="15.6">
      <c r="B5706" s="171">
        <v>-1742.7345210182116</v>
      </c>
    </row>
    <row r="5707" spans="2:2" ht="15.6">
      <c r="B5707" s="171">
        <v>-1711.2904279693118</v>
      </c>
    </row>
    <row r="5708" spans="2:2" ht="15.6">
      <c r="B5708" s="171">
        <v>-1254.5483248923651</v>
      </c>
    </row>
    <row r="5709" spans="2:2" ht="15.6">
      <c r="B5709" s="171">
        <v>-1400.9679542968063</v>
      </c>
    </row>
    <row r="5710" spans="2:2" ht="15.6">
      <c r="B5710" s="171">
        <v>-1161.7078077289716</v>
      </c>
    </row>
    <row r="5711" spans="2:2" ht="15.6">
      <c r="B5711" s="171">
        <v>-1582.1518363121156</v>
      </c>
    </row>
    <row r="5712" spans="2:2" ht="15.6">
      <c r="B5712" s="171">
        <v>-1621.7832495350867</v>
      </c>
    </row>
    <row r="5713" spans="2:2" ht="15.6">
      <c r="B5713" s="171">
        <v>-3131.7611142228216</v>
      </c>
    </row>
    <row r="5714" spans="2:2" ht="15.6">
      <c r="B5714" s="171">
        <v>-1011.9182993966934</v>
      </c>
    </row>
    <row r="5715" spans="2:2" ht="15.6">
      <c r="B5715" s="171">
        <v>-2343.9401793709976</v>
      </c>
    </row>
    <row r="5716" spans="2:2" ht="15.6">
      <c r="B5716" s="171">
        <v>-1944.7570075527028</v>
      </c>
    </row>
    <row r="5717" spans="2:2" ht="15.6">
      <c r="B5717" s="171">
        <v>-1339.3146870960325</v>
      </c>
    </row>
    <row r="5718" spans="2:2" ht="15.6">
      <c r="B5718" s="171">
        <v>-1678.643484860143</v>
      </c>
    </row>
    <row r="5719" spans="2:2" ht="15.6">
      <c r="B5719" s="171">
        <v>-1386.4464944273218</v>
      </c>
    </row>
    <row r="5720" spans="2:2" ht="15.6">
      <c r="B5720" s="171">
        <v>-1412.0499017200436</v>
      </c>
    </row>
    <row r="5721" spans="2:2" ht="15.6">
      <c r="B5721" s="171">
        <v>-2136.8081444785275</v>
      </c>
    </row>
    <row r="5722" spans="2:2" ht="15.6">
      <c r="B5722" s="171">
        <v>-1910.2663453632595</v>
      </c>
    </row>
    <row r="5723" spans="2:2" ht="15.6">
      <c r="B5723" s="171">
        <v>-2163.1793751823802</v>
      </c>
    </row>
    <row r="5724" spans="2:2" ht="15.6">
      <c r="B5724" s="171">
        <v>-1884.4563612200927</v>
      </c>
    </row>
    <row r="5725" spans="2:2" ht="15.6">
      <c r="B5725" s="171">
        <v>-1261.3813225183626</v>
      </c>
    </row>
    <row r="5726" spans="2:2" ht="15.6">
      <c r="B5726" s="171">
        <v>-1890.8144147038452</v>
      </c>
    </row>
    <row r="5727" spans="2:2" ht="15.6">
      <c r="B5727" s="171">
        <v>-1438.7887109585931</v>
      </c>
    </row>
    <row r="5728" spans="2:2" ht="15.6">
      <c r="B5728" s="171">
        <v>-1544.8731760023702</v>
      </c>
    </row>
    <row r="5729" spans="2:2" ht="15.6">
      <c r="B5729" s="171">
        <v>-937.73455277661128</v>
      </c>
    </row>
    <row r="5730" spans="2:2" ht="15.6">
      <c r="B5730" s="171">
        <v>-1786.1085011555488</v>
      </c>
    </row>
    <row r="5731" spans="2:2" ht="15.6">
      <c r="B5731" s="171">
        <v>-1401.3589695772514</v>
      </c>
    </row>
    <row r="5732" spans="2:2" ht="15.6">
      <c r="B5732" s="171">
        <v>-1394.2148407666014</v>
      </c>
    </row>
    <row r="5733" spans="2:2" ht="15.6">
      <c r="B5733" s="171">
        <v>-1712.7799390130633</v>
      </c>
    </row>
    <row r="5734" spans="2:2" ht="15.6">
      <c r="B5734" s="171">
        <v>-1419.2811518274016</v>
      </c>
    </row>
    <row r="5735" spans="2:2" ht="15.6">
      <c r="B5735" s="171">
        <v>-1591.2941810897171</v>
      </c>
    </row>
    <row r="5736" spans="2:2" ht="15.6">
      <c r="B5736" s="171">
        <v>-1338.4814540715668</v>
      </c>
    </row>
    <row r="5737" spans="2:2" ht="15.6">
      <c r="B5737" s="171">
        <v>-1796.3211587656879</v>
      </c>
    </row>
    <row r="5738" spans="2:2" ht="15.6">
      <c r="B5738" s="171">
        <v>-1378.2796969825226</v>
      </c>
    </row>
    <row r="5739" spans="2:2" ht="15.6">
      <c r="B5739" s="171">
        <v>-1739.8185237982818</v>
      </c>
    </row>
    <row r="5740" spans="2:2" ht="15.6">
      <c r="B5740" s="171">
        <v>-1675.2695982956557</v>
      </c>
    </row>
    <row r="5741" spans="2:2" ht="15.6">
      <c r="B5741" s="171">
        <v>-1746.1821675413023</v>
      </c>
    </row>
    <row r="5742" spans="2:2" ht="15.6">
      <c r="B5742" s="171">
        <v>-1505.9347018527319</v>
      </c>
    </row>
    <row r="5743" spans="2:2" ht="15.6">
      <c r="B5743" s="171">
        <v>-1515.3678602820573</v>
      </c>
    </row>
    <row r="5744" spans="2:2" ht="15.6">
      <c r="B5744" s="171">
        <v>-1897.9183877214673</v>
      </c>
    </row>
    <row r="5745" spans="2:2" ht="15.6">
      <c r="B5745" s="171">
        <v>-1343.1949046648488</v>
      </c>
    </row>
    <row r="5746" spans="2:2" ht="15.6">
      <c r="B5746" s="171">
        <v>-1598.3648449815907</v>
      </c>
    </row>
    <row r="5747" spans="2:2" ht="15.6">
      <c r="B5747" s="171">
        <v>-818.35719192967213</v>
      </c>
    </row>
    <row r="5748" spans="2:2" ht="15.6">
      <c r="B5748" s="171">
        <v>-2001.8621885109146</v>
      </c>
    </row>
    <row r="5749" spans="2:2" ht="15.6">
      <c r="B5749" s="171">
        <v>-2725.5915978047847</v>
      </c>
    </row>
    <row r="5750" spans="2:2" ht="15.6">
      <c r="B5750" s="171">
        <v>-2343.1700331153988</v>
      </c>
    </row>
    <row r="5751" spans="2:2" ht="15.6">
      <c r="B5751" s="171">
        <v>-1966.4525611103086</v>
      </c>
    </row>
    <row r="5752" spans="2:2" ht="15.6">
      <c r="B5752" s="171">
        <v>-1048.2083097190414</v>
      </c>
    </row>
    <row r="5753" spans="2:2" ht="15.6">
      <c r="B5753" s="171">
        <v>-1589.7677424316744</v>
      </c>
    </row>
    <row r="5754" spans="2:2" ht="15.6">
      <c r="B5754" s="171">
        <v>-1850.4799911282164</v>
      </c>
    </row>
    <row r="5755" spans="2:2" ht="15.6">
      <c r="B5755" s="171">
        <v>-2261.9746808858285</v>
      </c>
    </row>
    <row r="5756" spans="2:2" ht="15.6">
      <c r="B5756" s="171">
        <v>-1647.5143373592668</v>
      </c>
    </row>
    <row r="5757" spans="2:2" ht="15.6">
      <c r="B5757" s="171">
        <v>-1837.5710078475117</v>
      </c>
    </row>
    <row r="5758" spans="2:2" ht="15.6">
      <c r="B5758" s="171">
        <v>-1162.1783099732393</v>
      </c>
    </row>
    <row r="5759" spans="2:2" ht="15.6">
      <c r="B5759" s="171">
        <v>-1414.6803244632183</v>
      </c>
    </row>
    <row r="5760" spans="2:2" ht="15.6">
      <c r="B5760" s="171">
        <v>-1622.9700346513073</v>
      </c>
    </row>
    <row r="5761" spans="2:2" ht="15.6">
      <c r="B5761" s="171">
        <v>-2138.3782110804568</v>
      </c>
    </row>
    <row r="5762" spans="2:2" ht="15.6">
      <c r="B5762" s="171">
        <v>-911.68867809404787</v>
      </c>
    </row>
    <row r="5763" spans="2:2" ht="15.6">
      <c r="B5763" s="171">
        <v>-1469.6879360482349</v>
      </c>
    </row>
    <row r="5764" spans="2:2" ht="15.6">
      <c r="B5764" s="171">
        <v>-2068.1331824737986</v>
      </c>
    </row>
    <row r="5765" spans="2:2" ht="15.6">
      <c r="B5765" s="171">
        <v>-1602.4017513300466</v>
      </c>
    </row>
    <row r="5766" spans="2:2" ht="15.6">
      <c r="B5766" s="171">
        <v>-2266.1950100011245</v>
      </c>
    </row>
    <row r="5767" spans="2:2" ht="15.6">
      <c r="B5767" s="171">
        <v>-2230.2280614647052</v>
      </c>
    </row>
    <row r="5768" spans="2:2" ht="15.6">
      <c r="B5768" s="171">
        <v>-1702.2809950131104</v>
      </c>
    </row>
    <row r="5769" spans="2:2" ht="15.6">
      <c r="B5769" s="171">
        <v>-1346.1510092608407</v>
      </c>
    </row>
    <row r="5770" spans="2:2" ht="15.6">
      <c r="B5770" s="171">
        <v>-1122.5135104257427</v>
      </c>
    </row>
    <row r="5771" spans="2:2" ht="15.6">
      <c r="B5771" s="171">
        <v>-2045.7959571480237</v>
      </c>
    </row>
    <row r="5772" spans="2:2" ht="15.6">
      <c r="B5772" s="171">
        <v>-1600.6891562867409</v>
      </c>
    </row>
    <row r="5773" spans="2:2" ht="15.6">
      <c r="B5773" s="171">
        <v>-2073.2301099652859</v>
      </c>
    </row>
    <row r="5774" spans="2:2" ht="15.6">
      <c r="B5774" s="171">
        <v>-2411.4777092165582</v>
      </c>
    </row>
    <row r="5775" spans="2:2" ht="15.6">
      <c r="B5775" s="171">
        <v>-1300.8741341210405</v>
      </c>
    </row>
    <row r="5776" spans="2:2" ht="15.6">
      <c r="B5776" s="171">
        <v>-1443.926838365689</v>
      </c>
    </row>
    <row r="5777" spans="2:2" ht="15.6">
      <c r="B5777" s="171">
        <v>-1664.5738905227868</v>
      </c>
    </row>
    <row r="5778" spans="2:2" ht="15.6">
      <c r="B5778" s="171">
        <v>-1680.2137987584472</v>
      </c>
    </row>
    <row r="5779" spans="2:2" ht="15.6">
      <c r="B5779" s="171">
        <v>-1594.6555436297388</v>
      </c>
    </row>
    <row r="5780" spans="2:2" ht="15.6">
      <c r="B5780" s="171">
        <v>-1260.541161794416</v>
      </c>
    </row>
    <row r="5781" spans="2:2" ht="15.6">
      <c r="B5781" s="171">
        <v>-1200.090750057381</v>
      </c>
    </row>
    <row r="5782" spans="2:2" ht="15.6">
      <c r="B5782" s="171">
        <v>-1167.5585569911163</v>
      </c>
    </row>
    <row r="5783" spans="2:2" ht="15.6">
      <c r="B5783" s="171">
        <v>-1160.3803534495487</v>
      </c>
    </row>
    <row r="5784" spans="2:2" ht="15.6">
      <c r="B5784" s="171">
        <v>-1416.5141416417973</v>
      </c>
    </row>
    <row r="5785" spans="2:2" ht="15.6">
      <c r="B5785" s="171">
        <v>-1248.4791634290837</v>
      </c>
    </row>
    <row r="5786" spans="2:2" ht="15.6">
      <c r="B5786" s="171">
        <v>-1782.8191709751095</v>
      </c>
    </row>
    <row r="5787" spans="2:2" ht="15.6">
      <c r="B5787" s="171">
        <v>-1799.1388598774358</v>
      </c>
    </row>
    <row r="5788" spans="2:2" ht="15.6">
      <c r="B5788" s="171">
        <v>-1225.0818557822774</v>
      </c>
    </row>
    <row r="5789" spans="2:2" ht="15.6">
      <c r="B5789" s="171">
        <v>-902.28669559020602</v>
      </c>
    </row>
    <row r="5790" spans="2:2" ht="15.6">
      <c r="B5790" s="171">
        <v>-1833.9913445210052</v>
      </c>
    </row>
    <row r="5791" spans="2:2" ht="15.6">
      <c r="B5791" s="171">
        <v>-1474.5675599613239</v>
      </c>
    </row>
    <row r="5792" spans="2:2" ht="15.6">
      <c r="B5792" s="171">
        <v>-1506.4181734993463</v>
      </c>
    </row>
    <row r="5793" spans="2:2" ht="15.6">
      <c r="B5793" s="171">
        <v>-1571.2849991954135</v>
      </c>
    </row>
    <row r="5794" spans="2:2" ht="15.6">
      <c r="B5794" s="171">
        <v>-1888.2076507595261</v>
      </c>
    </row>
    <row r="5795" spans="2:2" ht="15.6">
      <c r="B5795" s="171">
        <v>-2014.5304703926449</v>
      </c>
    </row>
    <row r="5796" spans="2:2" ht="15.6">
      <c r="B5796" s="171">
        <v>-2201.7961058839683</v>
      </c>
    </row>
    <row r="5797" spans="2:2" ht="15.6">
      <c r="B5797" s="171">
        <v>-983.11267417727231</v>
      </c>
    </row>
    <row r="5798" spans="2:2" ht="15.6">
      <c r="B5798" s="171">
        <v>-1829.1105771251459</v>
      </c>
    </row>
    <row r="5799" spans="2:2" ht="15.6">
      <c r="B5799" s="171">
        <v>-1164.5013384543038</v>
      </c>
    </row>
    <row r="5800" spans="2:2" ht="15.6">
      <c r="B5800" s="171">
        <v>-2205.3905916141525</v>
      </c>
    </row>
    <row r="5801" spans="2:2" ht="15.6">
      <c r="B5801" s="171">
        <v>-1514.4022414375795</v>
      </c>
    </row>
    <row r="5802" spans="2:2" ht="15.6">
      <c r="B5802" s="171">
        <v>-1711.7929707462213</v>
      </c>
    </row>
    <row r="5803" spans="2:2" ht="15.6">
      <c r="B5803" s="171">
        <v>-1638.9241099185547</v>
      </c>
    </row>
    <row r="5804" spans="2:2" ht="15.6">
      <c r="B5804" s="171">
        <v>-925.15580160678212</v>
      </c>
    </row>
    <row r="5805" spans="2:2" ht="15.6">
      <c r="B5805" s="171">
        <v>-1873.4170853826331</v>
      </c>
    </row>
    <row r="5806" spans="2:2" ht="15.6">
      <c r="B5806" s="171">
        <v>-1170.4722231641074</v>
      </c>
    </row>
    <row r="5807" spans="2:2" ht="15.6">
      <c r="B5807" s="171">
        <v>-2177.56743407773</v>
      </c>
    </row>
    <row r="5808" spans="2:2" ht="15.6">
      <c r="B5808" s="171">
        <v>-1277.8491499767824</v>
      </c>
    </row>
    <row r="5809" spans="2:2" ht="15.6">
      <c r="B5809" s="171">
        <v>-2050.7458541474152</v>
      </c>
    </row>
    <row r="5810" spans="2:2" ht="15.6">
      <c r="B5810" s="171">
        <v>-1682.3149410735084</v>
      </c>
    </row>
    <row r="5811" spans="2:2" ht="15.6">
      <c r="B5811" s="171">
        <v>-1526.4970375358657</v>
      </c>
    </row>
    <row r="5812" spans="2:2" ht="15.6">
      <c r="B5812" s="171">
        <v>-1676.1778069490892</v>
      </c>
    </row>
    <row r="5813" spans="2:2" ht="15.6">
      <c r="B5813" s="171">
        <v>-1388.0763681661731</v>
      </c>
    </row>
    <row r="5814" spans="2:2" ht="15.6">
      <c r="B5814" s="171">
        <v>-1370.6065165335935</v>
      </c>
    </row>
    <row r="5815" spans="2:2" ht="15.6">
      <c r="B5815" s="171">
        <v>-1483.031233390428</v>
      </c>
    </row>
    <row r="5816" spans="2:2" ht="15.6">
      <c r="B5816" s="171">
        <v>-1476.7950812282184</v>
      </c>
    </row>
    <row r="5817" spans="2:2" ht="15.6">
      <c r="B5817" s="171">
        <v>-1588.7998604968959</v>
      </c>
    </row>
    <row r="5818" spans="2:2" ht="15.6">
      <c r="B5818" s="171">
        <v>-1395.6568211286631</v>
      </c>
    </row>
    <row r="5819" spans="2:2" ht="15.6">
      <c r="B5819" s="171">
        <v>-1132.7378682083013</v>
      </c>
    </row>
    <row r="5820" spans="2:2" ht="15.6">
      <c r="B5820" s="171">
        <v>-1429.9051876972228</v>
      </c>
    </row>
    <row r="5821" spans="2:2" ht="15.6">
      <c r="B5821" s="171">
        <v>-1904.5797024135873</v>
      </c>
    </row>
    <row r="5822" spans="2:2" ht="15.6">
      <c r="B5822" s="171">
        <v>-1297.6360112828638</v>
      </c>
    </row>
    <row r="5823" spans="2:2" ht="15.6">
      <c r="B5823" s="171">
        <v>-2082.9205932947798</v>
      </c>
    </row>
    <row r="5824" spans="2:2" ht="15.6">
      <c r="B5824" s="171">
        <v>-1564.2704700645309</v>
      </c>
    </row>
    <row r="5825" spans="2:2" ht="15.6">
      <c r="B5825" s="171">
        <v>-1286.3572022093817</v>
      </c>
    </row>
    <row r="5826" spans="2:2" ht="15.6">
      <c r="B5826" s="171">
        <v>-1988.8707672438165</v>
      </c>
    </row>
    <row r="5827" spans="2:2" ht="15.6">
      <c r="B5827" s="171">
        <v>-1690.1033769568985</v>
      </c>
    </row>
    <row r="5828" spans="2:2" ht="15.6">
      <c r="B5828" s="171">
        <v>-1850.1328452412527</v>
      </c>
    </row>
    <row r="5829" spans="2:2" ht="15.6">
      <c r="B5829" s="171">
        <v>-871.52610828658646</v>
      </c>
    </row>
    <row r="5830" spans="2:2" ht="15.6">
      <c r="B5830" s="171">
        <v>-1545.7650230510674</v>
      </c>
    </row>
    <row r="5831" spans="2:2" ht="15.6">
      <c r="B5831" s="171">
        <v>-1743.0927175465483</v>
      </c>
    </row>
    <row r="5832" spans="2:2" ht="15.6">
      <c r="B5832" s="171">
        <v>-1889.5920100737605</v>
      </c>
    </row>
    <row r="5833" spans="2:2" ht="15.6">
      <c r="B5833" s="171">
        <v>-1634.3078325278061</v>
      </c>
    </row>
    <row r="5834" spans="2:2" ht="15.6">
      <c r="B5834" s="171">
        <v>-1699.7587324624794</v>
      </c>
    </row>
    <row r="5835" spans="2:2" ht="15.6">
      <c r="B5835" s="171">
        <v>-1442.7361492145021</v>
      </c>
    </row>
    <row r="5836" spans="2:2" ht="15.6">
      <c r="B5836" s="171">
        <v>-1774.5018927391816</v>
      </c>
    </row>
    <row r="5837" spans="2:2" ht="15.6">
      <c r="B5837" s="171">
        <v>-1753.9608582090141</v>
      </c>
    </row>
    <row r="5838" spans="2:2" ht="15.6">
      <c r="B5838" s="171">
        <v>-1656.2426110474646</v>
      </c>
    </row>
    <row r="5839" spans="2:2" ht="15.6">
      <c r="B5839" s="171">
        <v>-1484.9747115975465</v>
      </c>
    </row>
    <row r="5840" spans="2:2" ht="15.6">
      <c r="B5840" s="171">
        <v>-1772.2031671393152</v>
      </c>
    </row>
    <row r="5841" spans="2:2" ht="15.6">
      <c r="B5841" s="171">
        <v>-1917.649564396047</v>
      </c>
    </row>
    <row r="5842" spans="2:2" ht="15.6">
      <c r="B5842" s="171">
        <v>-1590.3824122913936</v>
      </c>
    </row>
    <row r="5843" spans="2:2" ht="15.6">
      <c r="B5843" s="171">
        <v>-1778.4962626529179</v>
      </c>
    </row>
    <row r="5844" spans="2:2" ht="15.6">
      <c r="B5844" s="171">
        <v>-1054.3039241718877</v>
      </c>
    </row>
    <row r="5845" spans="2:2" ht="15.6">
      <c r="B5845" s="171">
        <v>-2018.5663136913904</v>
      </c>
    </row>
    <row r="5846" spans="2:2" ht="15.6">
      <c r="B5846" s="171">
        <v>-1559.949300150701</v>
      </c>
    </row>
    <row r="5847" spans="2:2" ht="15.6">
      <c r="B5847" s="171">
        <v>-1340.3867758344513</v>
      </c>
    </row>
    <row r="5848" spans="2:2" ht="15.6">
      <c r="B5848" s="171">
        <v>-1408.646751375448</v>
      </c>
    </row>
    <row r="5849" spans="2:2" ht="15.6">
      <c r="B5849" s="171">
        <v>-1445.4475430243931</v>
      </c>
    </row>
    <row r="5850" spans="2:2" ht="15.6">
      <c r="B5850" s="171">
        <v>-1552.9771973833499</v>
      </c>
    </row>
    <row r="5851" spans="2:2" ht="15.6">
      <c r="B5851" s="171">
        <v>-1717.5308384158914</v>
      </c>
    </row>
    <row r="5852" spans="2:2" ht="15.6">
      <c r="B5852" s="171">
        <v>-1466.9510641727638</v>
      </c>
    </row>
    <row r="5853" spans="2:2" ht="15.6">
      <c r="B5853" s="171">
        <v>-1619.0568850577304</v>
      </c>
    </row>
    <row r="5854" spans="2:2" ht="15.6">
      <c r="B5854" s="171">
        <v>-1526.0237704871695</v>
      </c>
    </row>
    <row r="5855" spans="2:2" ht="15.6">
      <c r="B5855" s="171">
        <v>-1169.3018883253744</v>
      </c>
    </row>
    <row r="5856" spans="2:2" ht="15.6">
      <c r="B5856" s="171">
        <v>-1552.1609276007814</v>
      </c>
    </row>
    <row r="5857" spans="2:2" ht="15.6">
      <c r="B5857" s="171">
        <v>-1181.0236902924303</v>
      </c>
    </row>
    <row r="5858" spans="2:2" ht="15.6">
      <c r="B5858" s="171">
        <v>-1129.9441772078837</v>
      </c>
    </row>
    <row r="5859" spans="2:2" ht="15.6">
      <c r="B5859" s="171">
        <v>-2566.8459526946258</v>
      </c>
    </row>
    <row r="5860" spans="2:2" ht="15.6">
      <c r="B5860" s="171">
        <v>-1266.4460826525196</v>
      </c>
    </row>
    <row r="5861" spans="2:2" ht="15.6">
      <c r="B5861" s="171">
        <v>-1465.8047619701633</v>
      </c>
    </row>
    <row r="5862" spans="2:2" ht="15.6">
      <c r="B5862" s="171">
        <v>-1118.4984078105592</v>
      </c>
    </row>
    <row r="5863" spans="2:2" ht="15.6">
      <c r="B5863" s="171">
        <v>-1776.6688526171379</v>
      </c>
    </row>
    <row r="5864" spans="2:2" ht="15.6">
      <c r="B5864" s="171">
        <v>-1728.4499805583907</v>
      </c>
    </row>
    <row r="5865" spans="2:2" ht="15.6">
      <c r="B5865" s="171">
        <v>-1200.1086038827948</v>
      </c>
    </row>
    <row r="5866" spans="2:2" ht="15.6">
      <c r="B5866" s="171">
        <v>-1300.4372109479937</v>
      </c>
    </row>
    <row r="5867" spans="2:2" ht="15.6">
      <c r="B5867" s="171">
        <v>-1836.481501846255</v>
      </c>
    </row>
    <row r="5868" spans="2:2" ht="15.6">
      <c r="B5868" s="171">
        <v>-1049.2158935830078</v>
      </c>
    </row>
    <row r="5869" spans="2:2" ht="15.6">
      <c r="B5869" s="171">
        <v>-1505.5470201525629</v>
      </c>
    </row>
    <row r="5870" spans="2:2" ht="15.6">
      <c r="B5870" s="171">
        <v>-1654.3158421243495</v>
      </c>
    </row>
    <row r="5871" spans="2:2" ht="15.6">
      <c r="B5871" s="171">
        <v>-957.83301274404187</v>
      </c>
    </row>
    <row r="5872" spans="2:2" ht="15.6">
      <c r="B5872" s="171">
        <v>-2547.8695597180954</v>
      </c>
    </row>
    <row r="5873" spans="2:2" ht="15.6">
      <c r="B5873" s="171">
        <v>-1489.9420257986746</v>
      </c>
    </row>
    <row r="5874" spans="2:2" ht="15.6">
      <c r="B5874" s="171">
        <v>-1204.8789844367407</v>
      </c>
    </row>
    <row r="5875" spans="2:2" ht="15.6">
      <c r="B5875" s="171">
        <v>-1072.1505674240129</v>
      </c>
    </row>
    <row r="5876" spans="2:2" ht="15.6">
      <c r="B5876" s="171">
        <v>-1331.9979073683924</v>
      </c>
    </row>
    <row r="5877" spans="2:2" ht="15.6">
      <c r="B5877" s="171">
        <v>-2035.3852180685144</v>
      </c>
    </row>
    <row r="5878" spans="2:2" ht="15.6">
      <c r="B5878" s="171">
        <v>-1098.6049374486931</v>
      </c>
    </row>
    <row r="5879" spans="2:2" ht="15.6">
      <c r="B5879" s="171">
        <v>-1997.7412981863467</v>
      </c>
    </row>
    <row r="5880" spans="2:2" ht="15.6">
      <c r="B5880" s="171">
        <v>-1651.0920377645809</v>
      </c>
    </row>
    <row r="5881" spans="2:2" ht="15.6">
      <c r="B5881" s="171">
        <v>-1392.9726435571076</v>
      </c>
    </row>
    <row r="5882" spans="2:2" ht="15.6">
      <c r="B5882" s="171">
        <v>-1767.5929593978808</v>
      </c>
    </row>
    <row r="5883" spans="2:2" ht="15.6">
      <c r="B5883" s="171">
        <v>-1217.8875742406897</v>
      </c>
    </row>
    <row r="5884" spans="2:2" ht="15.6">
      <c r="B5884" s="171">
        <v>-1616.8106168160343</v>
      </c>
    </row>
    <row r="5885" spans="2:2" ht="15.6">
      <c r="B5885" s="171">
        <v>-2449.5771861499502</v>
      </c>
    </row>
    <row r="5886" spans="2:2" ht="15.6">
      <c r="B5886" s="171">
        <v>-1237.3217422526945</v>
      </c>
    </row>
    <row r="5887" spans="2:2" ht="15.6">
      <c r="B5887" s="171">
        <v>-1125.6390014171047</v>
      </c>
    </row>
    <row r="5888" spans="2:2" ht="15.6">
      <c r="B5888" s="171">
        <v>-1948.2544326342663</v>
      </c>
    </row>
    <row r="5889" spans="2:2" ht="15.6">
      <c r="B5889" s="171">
        <v>-2110.6617845757833</v>
      </c>
    </row>
    <row r="5890" spans="2:2" ht="15.6">
      <c r="B5890" s="171">
        <v>-1666.0763523900666</v>
      </c>
    </row>
    <row r="5891" spans="2:2" ht="15.6">
      <c r="B5891" s="171">
        <v>-1104.1453071100461</v>
      </c>
    </row>
    <row r="5892" spans="2:2" ht="15.6">
      <c r="B5892" s="171">
        <v>-1800.7151938579782</v>
      </c>
    </row>
    <row r="5893" spans="2:2" ht="15.6">
      <c r="B5893" s="171">
        <v>-1161.6041186406326</v>
      </c>
    </row>
    <row r="5894" spans="2:2" ht="15.6">
      <c r="B5894" s="171">
        <v>-1552.0277545289441</v>
      </c>
    </row>
    <row r="5895" spans="2:2" ht="15.6">
      <c r="B5895" s="171">
        <v>-1227.0396841795559</v>
      </c>
    </row>
    <row r="5896" spans="2:2" ht="15.6">
      <c r="B5896" s="171">
        <v>-1203.3229034167312</v>
      </c>
    </row>
    <row r="5897" spans="2:2" ht="15.6">
      <c r="B5897" s="171">
        <v>-1379.0957506561672</v>
      </c>
    </row>
    <row r="5898" spans="2:2" ht="15.6">
      <c r="B5898" s="171">
        <v>-1454.8798635124219</v>
      </c>
    </row>
    <row r="5899" spans="2:2" ht="15.6">
      <c r="B5899" s="171">
        <v>-1414.3398186113525</v>
      </c>
    </row>
    <row r="5900" spans="2:2" ht="15.6">
      <c r="B5900" s="171">
        <v>-1859.5931182589338</v>
      </c>
    </row>
    <row r="5901" spans="2:2" ht="15.6">
      <c r="B5901" s="171">
        <v>-1691.7848436724626</v>
      </c>
    </row>
    <row r="5902" spans="2:2" ht="15.6">
      <c r="B5902" s="171">
        <v>-689.86895505144741</v>
      </c>
    </row>
    <row r="5903" spans="2:2" ht="15.6">
      <c r="B5903" s="171">
        <v>-2050.5574522562692</v>
      </c>
    </row>
    <row r="5904" spans="2:2" ht="15.6">
      <c r="B5904" s="171">
        <v>-1476.1163116432076</v>
      </c>
    </row>
    <row r="5905" spans="2:2" ht="15.6">
      <c r="B5905" s="171">
        <v>-1411.98840422476</v>
      </c>
    </row>
    <row r="5906" spans="2:2" ht="15.6">
      <c r="B5906" s="171">
        <v>-1362.1539419966002</v>
      </c>
    </row>
    <row r="5907" spans="2:2" ht="15.6">
      <c r="B5907" s="171">
        <v>-1132.0118684302463</v>
      </c>
    </row>
    <row r="5908" spans="2:2" ht="15.6">
      <c r="B5908" s="171">
        <v>-1035.5936923123518</v>
      </c>
    </row>
    <row r="5909" spans="2:2" ht="15.6">
      <c r="B5909" s="171">
        <v>-1941.0916312781787</v>
      </c>
    </row>
    <row r="5910" spans="2:2" ht="15.6">
      <c r="B5910" s="171">
        <v>-1665.7694986420715</v>
      </c>
    </row>
    <row r="5911" spans="2:2" ht="15.6">
      <c r="B5911" s="171">
        <v>-1418.3994963898981</v>
      </c>
    </row>
    <row r="5912" spans="2:2" ht="15.6">
      <c r="B5912" s="171">
        <v>-1432.6969458733067</v>
      </c>
    </row>
    <row r="5913" spans="2:2" ht="15.6">
      <c r="B5913" s="171">
        <v>-1590.1603009620751</v>
      </c>
    </row>
    <row r="5914" spans="2:2" ht="15.6">
      <c r="B5914" s="171">
        <v>-1754.102329643393</v>
      </c>
    </row>
    <row r="5915" spans="2:2" ht="15.6">
      <c r="B5915" s="171">
        <v>-1731.2605013305974</v>
      </c>
    </row>
    <row r="5916" spans="2:2" ht="15.6">
      <c r="B5916" s="171">
        <v>-1650.749095025466</v>
      </c>
    </row>
    <row r="5917" spans="2:2" ht="15.6">
      <c r="B5917" s="171">
        <v>-1869.8286433883823</v>
      </c>
    </row>
    <row r="5918" spans="2:2" ht="15.6">
      <c r="B5918" s="171">
        <v>-1046.2866971660528</v>
      </c>
    </row>
    <row r="5919" spans="2:2" ht="15.6">
      <c r="B5919" s="171">
        <v>-1461.8333958499784</v>
      </c>
    </row>
    <row r="5920" spans="2:2" ht="15.6">
      <c r="B5920" s="171">
        <v>-1625.7497281784701</v>
      </c>
    </row>
    <row r="5921" spans="2:2" ht="15.6">
      <c r="B5921" s="171">
        <v>-2115.4797158864485</v>
      </c>
    </row>
    <row r="5922" spans="2:2" ht="15.6">
      <c r="B5922" s="171">
        <v>-2130.0010435304443</v>
      </c>
    </row>
    <row r="5923" spans="2:2" ht="15.6">
      <c r="B5923" s="171">
        <v>-1458.6639200380171</v>
      </c>
    </row>
    <row r="5924" spans="2:2" ht="15.6">
      <c r="B5924" s="171">
        <v>-1978.1905408930591</v>
      </c>
    </row>
    <row r="5925" spans="2:2" ht="15.6">
      <c r="B5925" s="171">
        <v>-1625.9227253765609</v>
      </c>
    </row>
    <row r="5926" spans="2:2" ht="15.6">
      <c r="B5926" s="171">
        <v>-1185.6990182575466</v>
      </c>
    </row>
    <row r="5927" spans="2:2" ht="15.6">
      <c r="B5927" s="171">
        <v>-899.13802311416953</v>
      </c>
    </row>
    <row r="5928" spans="2:2" ht="15.6">
      <c r="B5928" s="171">
        <v>-1102.1738579570479</v>
      </c>
    </row>
    <row r="5929" spans="2:2" ht="15.6">
      <c r="B5929" s="171">
        <v>-2022.7139500313574</v>
      </c>
    </row>
    <row r="5930" spans="2:2" ht="15.6">
      <c r="B5930" s="171">
        <v>-1521.9851136423615</v>
      </c>
    </row>
    <row r="5931" spans="2:2" ht="15.6">
      <c r="B5931" s="171">
        <v>-1545.8989450869112</v>
      </c>
    </row>
    <row r="5932" spans="2:2" ht="15.6">
      <c r="B5932" s="171">
        <v>-3421.0883809031775</v>
      </c>
    </row>
    <row r="5933" spans="2:2" ht="15.6">
      <c r="B5933" s="171">
        <v>-2261.5131708830158</v>
      </c>
    </row>
    <row r="5934" spans="2:2" ht="15.6">
      <c r="B5934" s="171">
        <v>-1849.7505470857379</v>
      </c>
    </row>
    <row r="5935" spans="2:2" ht="15.6">
      <c r="B5935" s="171">
        <v>-1254.5881236695145</v>
      </c>
    </row>
    <row r="5936" spans="2:2" ht="15.6">
      <c r="B5936" s="171">
        <v>-1469.2436493977109</v>
      </c>
    </row>
    <row r="5937" spans="2:2" ht="15.6">
      <c r="B5937" s="171">
        <v>-1607.3250934147989</v>
      </c>
    </row>
    <row r="5938" spans="2:2" ht="15.6">
      <c r="B5938" s="171">
        <v>-2099.7362630227644</v>
      </c>
    </row>
    <row r="5939" spans="2:2" ht="15.6">
      <c r="B5939" s="171">
        <v>-1360.533558638924</v>
      </c>
    </row>
    <row r="5940" spans="2:2" ht="15.6">
      <c r="B5940" s="171">
        <v>-1400.8796285559581</v>
      </c>
    </row>
    <row r="5941" spans="2:2" ht="15.6">
      <c r="B5941" s="171">
        <v>-1427.798021919757</v>
      </c>
    </row>
    <row r="5942" spans="2:2" ht="15.6">
      <c r="B5942" s="171">
        <v>-1568.0924413726525</v>
      </c>
    </row>
    <row r="5943" spans="2:2" ht="15.6">
      <c r="B5943" s="171">
        <v>-2004.8771505861946</v>
      </c>
    </row>
    <row r="5944" spans="2:2" ht="15.6">
      <c r="B5944" s="171">
        <v>-2290.9736735177248</v>
      </c>
    </row>
    <row r="5945" spans="2:2" ht="15.6">
      <c r="B5945" s="171">
        <v>-1471.2114746178036</v>
      </c>
    </row>
    <row r="5946" spans="2:2" ht="15.6">
      <c r="B5946" s="171">
        <v>-1574.7938203994872</v>
      </c>
    </row>
    <row r="5947" spans="2:2" ht="15.6">
      <c r="B5947" s="171">
        <v>-2093.037787519846</v>
      </c>
    </row>
    <row r="5948" spans="2:2" ht="15.6">
      <c r="B5948" s="171">
        <v>-1114.2716634282385</v>
      </c>
    </row>
    <row r="5949" spans="2:2" ht="15.6">
      <c r="B5949" s="171">
        <v>-1625.3353167695684</v>
      </c>
    </row>
    <row r="5950" spans="2:2" ht="15.6">
      <c r="B5950" s="171">
        <v>-1338.8335341040363</v>
      </c>
    </row>
    <row r="5951" spans="2:2" ht="15.6">
      <c r="B5951" s="171">
        <v>-2006.0504060726569</v>
      </c>
    </row>
    <row r="5952" spans="2:2" ht="15.6">
      <c r="B5952" s="171">
        <v>-1821.9194549489332</v>
      </c>
    </row>
    <row r="5953" spans="2:2" ht="15.6">
      <c r="B5953" s="171">
        <v>-1473.374938473105</v>
      </c>
    </row>
    <row r="5954" spans="2:2" ht="15.6">
      <c r="B5954" s="171">
        <v>-1302.1622731715975</v>
      </c>
    </row>
    <row r="5955" spans="2:2" ht="15.6">
      <c r="B5955" s="171">
        <v>-1050.4519278737205</v>
      </c>
    </row>
    <row r="5956" spans="2:2" ht="15.6">
      <c r="B5956" s="171">
        <v>-1302.189321874981</v>
      </c>
    </row>
    <row r="5957" spans="2:2" ht="15.6">
      <c r="B5957" s="171">
        <v>-1655.0406389810132</v>
      </c>
    </row>
    <row r="5958" spans="2:2" ht="15.6">
      <c r="B5958" s="171">
        <v>-1115.8276637680062</v>
      </c>
    </row>
    <row r="5959" spans="2:2" ht="15.6">
      <c r="B5959" s="171">
        <v>-2191.8225055176417</v>
      </c>
    </row>
    <row r="5960" spans="2:2" ht="15.6">
      <c r="B5960" s="171">
        <v>-2130.8384292718124</v>
      </c>
    </row>
    <row r="5961" spans="2:2" ht="15.6">
      <c r="B5961" s="171">
        <v>-1458.9887177003493</v>
      </c>
    </row>
    <row r="5962" spans="2:2" ht="15.6">
      <c r="B5962" s="171">
        <v>-1532.004113082322</v>
      </c>
    </row>
    <row r="5963" spans="2:2" ht="15.6">
      <c r="B5963" s="171">
        <v>-1248.3478511593128</v>
      </c>
    </row>
    <row r="5964" spans="2:2" ht="15.6">
      <c r="B5964" s="171">
        <v>-1365.0024667366215</v>
      </c>
    </row>
    <row r="5965" spans="2:2" ht="15.6">
      <c r="B5965" s="171">
        <v>-2136.5296179286097</v>
      </c>
    </row>
    <row r="5966" spans="2:2" ht="15.6">
      <c r="B5966" s="171">
        <v>-1539.6549251469164</v>
      </c>
    </row>
    <row r="5967" spans="2:2" ht="15.6">
      <c r="B5967" s="171">
        <v>-1305.6378865844872</v>
      </c>
    </row>
    <row r="5968" spans="2:2" ht="15.6">
      <c r="B5968" s="171">
        <v>-1100.4278876021242</v>
      </c>
    </row>
    <row r="5969" spans="2:2" ht="15.6">
      <c r="B5969" s="171">
        <v>-1906.1275908589339</v>
      </c>
    </row>
    <row r="5970" spans="2:2" ht="15.6">
      <c r="B5970" s="171">
        <v>-1644.2238658923904</v>
      </c>
    </row>
    <row r="5971" spans="2:2" ht="15.6">
      <c r="B5971" s="171">
        <v>-1906.2131403810445</v>
      </c>
    </row>
    <row r="5972" spans="2:2" ht="15.6">
      <c r="B5972" s="171">
        <v>-1991.2775186940848</v>
      </c>
    </row>
    <row r="5973" spans="2:2" ht="15.6">
      <c r="B5973" s="171">
        <v>-1713.378262050788</v>
      </c>
    </row>
    <row r="5974" spans="2:2" ht="15.6">
      <c r="B5974" s="171">
        <v>-2465.0070043818832</v>
      </c>
    </row>
    <row r="5975" spans="2:2" ht="15.6">
      <c r="B5975" s="171">
        <v>-1811.9848644344784</v>
      </c>
    </row>
    <row r="5976" spans="2:2" ht="15.6">
      <c r="B5976" s="171">
        <v>-1727.4031528792577</v>
      </c>
    </row>
    <row r="5977" spans="2:2" ht="15.6">
      <c r="B5977" s="171">
        <v>-1592.683723773629</v>
      </c>
    </row>
    <row r="5978" spans="2:2" ht="15.6">
      <c r="B5978" s="171">
        <v>-1412.568024882574</v>
      </c>
    </row>
    <row r="5979" spans="2:2" ht="15.6">
      <c r="B5979" s="171">
        <v>-1528.6098816228305</v>
      </c>
    </row>
    <row r="5980" spans="2:2" ht="15.6">
      <c r="B5980" s="171">
        <v>-1697.3178153528827</v>
      </c>
    </row>
    <row r="5981" spans="2:2" ht="15.6">
      <c r="B5981" s="171">
        <v>-1598.627430357762</v>
      </c>
    </row>
    <row r="5982" spans="2:2" ht="15.6">
      <c r="B5982" s="171">
        <v>-2280.4872174069319</v>
      </c>
    </row>
    <row r="5983" spans="2:2" ht="15.6">
      <c r="B5983" s="171">
        <v>-1401.4178002052877</v>
      </c>
    </row>
    <row r="5984" spans="2:2" ht="15.6">
      <c r="B5984" s="171">
        <v>-1651.1943541152887</v>
      </c>
    </row>
    <row r="5985" spans="2:2" ht="15.6">
      <c r="B5985" s="171">
        <v>-2215.9807676635332</v>
      </c>
    </row>
    <row r="5986" spans="2:2" ht="15.6">
      <c r="B5986" s="171">
        <v>-1113.8933184757357</v>
      </c>
    </row>
    <row r="5987" spans="2:2" ht="15.6">
      <c r="B5987" s="171">
        <v>-1031.7984908663548</v>
      </c>
    </row>
    <row r="5988" spans="2:2" ht="15.6">
      <c r="B5988" s="171">
        <v>-1071.205398520668</v>
      </c>
    </row>
    <row r="5989" spans="2:2" ht="15.6">
      <c r="B5989" s="171">
        <v>-1424.3320197325386</v>
      </c>
    </row>
    <row r="5990" spans="2:2" ht="15.6">
      <c r="B5990" s="171">
        <v>-1035.8290001187897</v>
      </c>
    </row>
    <row r="5991" spans="2:2" ht="15.6">
      <c r="B5991" s="171">
        <v>-1958.6698619836991</v>
      </c>
    </row>
    <row r="5992" spans="2:2" ht="15.6">
      <c r="B5992" s="171">
        <v>-1587.0325087307715</v>
      </c>
    </row>
    <row r="5993" spans="2:2" ht="15.6">
      <c r="B5993" s="171">
        <v>-1851.8896951131931</v>
      </c>
    </row>
    <row r="5994" spans="2:2" ht="15.6">
      <c r="B5994" s="171">
        <v>-2022.7710010458482</v>
      </c>
    </row>
    <row r="5995" spans="2:2" ht="15.6">
      <c r="B5995" s="171">
        <v>-1635.9152143769711</v>
      </c>
    </row>
    <row r="5996" spans="2:2" ht="15.6">
      <c r="B5996" s="171">
        <v>-1596.5664317605629</v>
      </c>
    </row>
    <row r="5997" spans="2:2" ht="15.6">
      <c r="B5997" s="171">
        <v>-1299.4561426765242</v>
      </c>
    </row>
    <row r="5998" spans="2:2" ht="15.6">
      <c r="B5998" s="171">
        <v>-1582.4113171213139</v>
      </c>
    </row>
    <row r="5999" spans="2:2" ht="15.6">
      <c r="B5999" s="171">
        <v>-2205.084600923019</v>
      </c>
    </row>
    <row r="6000" spans="2:2" ht="15.6">
      <c r="B6000" s="171">
        <v>-1527.9037409485036</v>
      </c>
    </row>
    <row r="6001" spans="2:2" ht="15.6">
      <c r="B6001" s="171">
        <v>-2136.4671481349706</v>
      </c>
    </row>
    <row r="6002" spans="2:2" ht="15.6">
      <c r="B6002" s="171">
        <v>-2081.5849217057039</v>
      </c>
    </row>
    <row r="6003" spans="2:2" ht="15.6">
      <c r="B6003" s="171">
        <v>-1297.8781940475014</v>
      </c>
    </row>
    <row r="6004" spans="2:2" ht="15.6">
      <c r="B6004" s="171">
        <v>-1312.0595482749543</v>
      </c>
    </row>
    <row r="6005" spans="2:2" ht="15.6">
      <c r="B6005" s="171">
        <v>-1742.3823098189687</v>
      </c>
    </row>
    <row r="6006" spans="2:2" ht="15.6">
      <c r="B6006" s="171">
        <v>-1769.3545027583014</v>
      </c>
    </row>
    <row r="6007" spans="2:2" ht="15.6">
      <c r="B6007" s="171">
        <v>-1392.2802086317624</v>
      </c>
    </row>
    <row r="6008" spans="2:2" ht="15.6">
      <c r="B6008" s="171">
        <v>-2123.1044661963856</v>
      </c>
    </row>
    <row r="6009" spans="2:2" ht="15.6">
      <c r="B6009" s="171">
        <v>-1221.5999818547775</v>
      </c>
    </row>
    <row r="6010" spans="2:2" ht="15.6">
      <c r="B6010" s="171">
        <v>-1661.9301565284568</v>
      </c>
    </row>
    <row r="6011" spans="2:2" ht="15.6">
      <c r="B6011" s="171">
        <v>-1525.774999041874</v>
      </c>
    </row>
    <row r="6012" spans="2:2" ht="15.6">
      <c r="B6012" s="171">
        <v>-1192.7379675570139</v>
      </c>
    </row>
    <row r="6013" spans="2:2" ht="15.6">
      <c r="B6013" s="171">
        <v>-838.11532489827346</v>
      </c>
    </row>
    <row r="6014" spans="2:2" ht="15.6">
      <c r="B6014" s="171">
        <v>-1467.8245062148781</v>
      </c>
    </row>
    <row r="6015" spans="2:2" ht="15.6">
      <c r="B6015" s="171">
        <v>-2003.3898945996898</v>
      </c>
    </row>
    <row r="6016" spans="2:2" ht="15.6">
      <c r="B6016" s="171">
        <v>-1139.8183921228576</v>
      </c>
    </row>
    <row r="6017" spans="2:2" ht="15.6">
      <c r="B6017" s="171">
        <v>-1903.1005645048642</v>
      </c>
    </row>
    <row r="6018" spans="2:2" ht="15.6">
      <c r="B6018" s="171">
        <v>-1392.4173961887957</v>
      </c>
    </row>
    <row r="6019" spans="2:2" ht="15.6">
      <c r="B6019" s="171">
        <v>-1658.5337680045382</v>
      </c>
    </row>
    <row r="6020" spans="2:2" ht="15.6">
      <c r="B6020" s="171">
        <v>-1224.542170656935</v>
      </c>
    </row>
    <row r="6021" spans="2:2" ht="15.6">
      <c r="B6021" s="171">
        <v>-1563.8319065688049</v>
      </c>
    </row>
    <row r="6022" spans="2:2" ht="15.6">
      <c r="B6022" s="171">
        <v>-1650.6374721487075</v>
      </c>
    </row>
    <row r="6023" spans="2:2" ht="15.6">
      <c r="B6023" s="171">
        <v>-809.34662377719496</v>
      </c>
    </row>
    <row r="6024" spans="2:2" ht="15.6">
      <c r="B6024" s="171">
        <v>-1476.2083213818737</v>
      </c>
    </row>
    <row r="6025" spans="2:2" ht="15.6">
      <c r="B6025" s="171">
        <v>-1396.0935672715789</v>
      </c>
    </row>
    <row r="6026" spans="2:2" ht="15.6">
      <c r="B6026" s="171">
        <v>-1806.2847736495114</v>
      </c>
    </row>
    <row r="6027" spans="2:2" ht="15.6">
      <c r="B6027" s="171">
        <v>-1454.0398623742162</v>
      </c>
    </row>
    <row r="6028" spans="2:2" ht="15.6">
      <c r="B6028" s="171">
        <v>-2025.9930790445428</v>
      </c>
    </row>
    <row r="6029" spans="2:2" ht="15.6">
      <c r="B6029" s="171">
        <v>-2669.2124436568229</v>
      </c>
    </row>
    <row r="6030" spans="2:2" ht="15.6">
      <c r="B6030" s="171">
        <v>-1402.8333708092221</v>
      </c>
    </row>
    <row r="6031" spans="2:2" ht="15.6">
      <c r="B6031" s="171">
        <v>-1685.0448750353476</v>
      </c>
    </row>
    <row r="6032" spans="2:2" ht="15.6">
      <c r="B6032" s="171">
        <v>-1129.4098319283285</v>
      </c>
    </row>
    <row r="6033" spans="2:2" ht="15.6">
      <c r="B6033" s="171">
        <v>-1809.4083938858951</v>
      </c>
    </row>
    <row r="6034" spans="2:2" ht="15.6">
      <c r="B6034" s="171">
        <v>-767.22847150710049</v>
      </c>
    </row>
    <row r="6035" spans="2:2" ht="15.6">
      <c r="B6035" s="171">
        <v>-1880.7037040965633</v>
      </c>
    </row>
    <row r="6036" spans="2:2" ht="15.6">
      <c r="B6036" s="171">
        <v>-1483.3798303340041</v>
      </c>
    </row>
    <row r="6037" spans="2:2" ht="15.6">
      <c r="B6037" s="171">
        <v>-1881.0386562240367</v>
      </c>
    </row>
    <row r="6038" spans="2:2" ht="15.6">
      <c r="B6038" s="171">
        <v>-1741.4134832620025</v>
      </c>
    </row>
    <row r="6039" spans="2:2" ht="15.6">
      <c r="B6039" s="171">
        <v>-1685.3315230432843</v>
      </c>
    </row>
    <row r="6040" spans="2:2" ht="15.6">
      <c r="B6040" s="171">
        <v>-1451.0686474482322</v>
      </c>
    </row>
    <row r="6041" spans="2:2" ht="15.6">
      <c r="B6041" s="171">
        <v>-1190.9819230109458</v>
      </c>
    </row>
    <row r="6042" spans="2:2" ht="15.6">
      <c r="B6042" s="171">
        <v>-1353.4839672026444</v>
      </c>
    </row>
    <row r="6043" spans="2:2" ht="15.6">
      <c r="B6043" s="171">
        <v>-1572.1406113733963</v>
      </c>
    </row>
    <row r="6044" spans="2:2" ht="15.6">
      <c r="B6044" s="171">
        <v>-1735.1053251178391</v>
      </c>
    </row>
    <row r="6045" spans="2:2" ht="15.6">
      <c r="B6045" s="171">
        <v>-1210.9124083198305</v>
      </c>
    </row>
    <row r="6046" spans="2:2" ht="15.6">
      <c r="B6046" s="171">
        <v>-1240.1271421515733</v>
      </c>
    </row>
    <row r="6047" spans="2:2" ht="15.6">
      <c r="B6047" s="171">
        <v>-1640.0412628496733</v>
      </c>
    </row>
    <row r="6048" spans="2:2" ht="15.6">
      <c r="B6048" s="171">
        <v>-1961.8324029997143</v>
      </c>
    </row>
    <row r="6049" spans="2:2" ht="15.6">
      <c r="B6049" s="171">
        <v>-703.20605083537498</v>
      </c>
    </row>
    <row r="6050" spans="2:2" ht="15.6">
      <c r="B6050" s="171">
        <v>-2021.5606929377977</v>
      </c>
    </row>
    <row r="6051" spans="2:2" ht="15.6">
      <c r="B6051" s="171">
        <v>-1218.9605894212345</v>
      </c>
    </row>
    <row r="6052" spans="2:2" ht="15.6">
      <c r="B6052" s="171">
        <v>-2270.1875835578435</v>
      </c>
    </row>
    <row r="6053" spans="2:2" ht="15.6">
      <c r="B6053" s="171">
        <v>-1689.1140299196738</v>
      </c>
    </row>
    <row r="6054" spans="2:2" ht="15.6">
      <c r="B6054" s="171">
        <v>-1868.6787616275501</v>
      </c>
    </row>
    <row r="6055" spans="2:2" ht="15.6">
      <c r="B6055" s="171">
        <v>-1608.5947420679531</v>
      </c>
    </row>
    <row r="6056" spans="2:2" ht="15.6">
      <c r="B6056" s="171">
        <v>-1522.9293253249307</v>
      </c>
    </row>
    <row r="6057" spans="2:2" ht="15.6">
      <c r="B6057" s="171">
        <v>-2271.9736561269069</v>
      </c>
    </row>
    <row r="6058" spans="2:2" ht="15.6">
      <c r="B6058" s="171">
        <v>-1679.7222048570861</v>
      </c>
    </row>
    <row r="6059" spans="2:2" ht="15.6">
      <c r="B6059" s="171">
        <v>-1062.6546897791809</v>
      </c>
    </row>
    <row r="6060" spans="2:2" ht="15.6">
      <c r="B6060" s="171">
        <v>-1983.5442352304035</v>
      </c>
    </row>
    <row r="6061" spans="2:2" ht="15.6">
      <c r="B6061" s="171">
        <v>-1910.0772874452241</v>
      </c>
    </row>
    <row r="6062" spans="2:2" ht="15.6">
      <c r="B6062" s="171">
        <v>-1421.7296873209964</v>
      </c>
    </row>
    <row r="6063" spans="2:2" ht="15.6">
      <c r="B6063" s="171">
        <v>-1678.8935541373394</v>
      </c>
    </row>
    <row r="6064" spans="2:2" ht="15.6">
      <c r="B6064" s="171">
        <v>-2038.5282965403553</v>
      </c>
    </row>
    <row r="6065" spans="2:2" ht="15.6">
      <c r="B6065" s="171">
        <v>-1601.371358540755</v>
      </c>
    </row>
    <row r="6066" spans="2:2" ht="15.6">
      <c r="B6066" s="171">
        <v>-1640.0006205253521</v>
      </c>
    </row>
    <row r="6067" spans="2:2" ht="15.6">
      <c r="B6067" s="171">
        <v>-1315.4485788533048</v>
      </c>
    </row>
    <row r="6068" spans="2:2" ht="15.6">
      <c r="B6068" s="171">
        <v>-1225.9860684843877</v>
      </c>
    </row>
    <row r="6069" spans="2:2" ht="15.6">
      <c r="B6069" s="171">
        <v>-1588.2079427710069</v>
      </c>
    </row>
    <row r="6070" spans="2:2" ht="15.6">
      <c r="B6070" s="171">
        <v>-1284.5540551651211</v>
      </c>
    </row>
    <row r="6071" spans="2:2" ht="15.6">
      <c r="B6071" s="171">
        <v>-1554.4146673129158</v>
      </c>
    </row>
    <row r="6072" spans="2:2" ht="15.6">
      <c r="B6072" s="171">
        <v>-1917.4024515238762</v>
      </c>
    </row>
    <row r="6073" spans="2:2" ht="15.6">
      <c r="B6073" s="171">
        <v>-1345.2129245204883</v>
      </c>
    </row>
    <row r="6074" spans="2:2" ht="15.6">
      <c r="B6074" s="171">
        <v>-2062.0880163301167</v>
      </c>
    </row>
    <row r="6075" spans="2:2" ht="15.6">
      <c r="B6075" s="171">
        <v>-1239.6691820739027</v>
      </c>
    </row>
    <row r="6076" spans="2:2" ht="15.6">
      <c r="B6076" s="171">
        <v>-1442.9198553970377</v>
      </c>
    </row>
    <row r="6077" spans="2:2" ht="15.6">
      <c r="B6077" s="171">
        <v>-1388.8814150298322</v>
      </c>
    </row>
    <row r="6078" spans="2:2" ht="15.6">
      <c r="B6078" s="171">
        <v>-1346.4648150167277</v>
      </c>
    </row>
    <row r="6079" spans="2:2" ht="15.6">
      <c r="B6079" s="171">
        <v>-1801.6871448999773</v>
      </c>
    </row>
    <row r="6080" spans="2:2" ht="15.6">
      <c r="B6080" s="171">
        <v>-2004.5587597016934</v>
      </c>
    </row>
    <row r="6081" spans="2:2" ht="15.6">
      <c r="B6081" s="171">
        <v>-1549.5107264425985</v>
      </c>
    </row>
    <row r="6082" spans="2:2" ht="15.6">
      <c r="B6082" s="171">
        <v>-2030.4282376077354</v>
      </c>
    </row>
    <row r="6083" spans="2:2" ht="15.6">
      <c r="B6083" s="171">
        <v>-1417.2664398306883</v>
      </c>
    </row>
    <row r="6084" spans="2:2" ht="15.6">
      <c r="B6084" s="171">
        <v>-1009.9204336715868</v>
      </c>
    </row>
    <row r="6085" spans="2:2" ht="15.6">
      <c r="B6085" s="171">
        <v>-1646.3597498859988</v>
      </c>
    </row>
    <row r="6086" spans="2:2" ht="15.6">
      <c r="B6086" s="171">
        <v>-2789.5552611427156</v>
      </c>
    </row>
    <row r="6087" spans="2:2" ht="15.6">
      <c r="B6087" s="171">
        <v>-1118.8993469089264</v>
      </c>
    </row>
    <row r="6088" spans="2:2" ht="15.6">
      <c r="B6088" s="171">
        <v>-1134.6535506335515</v>
      </c>
    </row>
    <row r="6089" spans="2:2" ht="15.6">
      <c r="B6089" s="171">
        <v>-1170.1610865691871</v>
      </c>
    </row>
    <row r="6090" spans="2:2" ht="15.6">
      <c r="B6090" s="171">
        <v>-1833.5677236367364</v>
      </c>
    </row>
    <row r="6091" spans="2:2" ht="15.6">
      <c r="B6091" s="171">
        <v>-1784.662852716752</v>
      </c>
    </row>
    <row r="6092" spans="2:2" ht="15.6">
      <c r="B6092" s="171">
        <v>-1790.0693315878643</v>
      </c>
    </row>
    <row r="6093" spans="2:2" ht="15.6">
      <c r="B6093" s="171">
        <v>-1552.6596634993209</v>
      </c>
    </row>
    <row r="6094" spans="2:2" ht="15.6">
      <c r="B6094" s="171">
        <v>-1249.3210580578477</v>
      </c>
    </row>
    <row r="6095" spans="2:2" ht="15.6">
      <c r="B6095" s="171">
        <v>-1858.9469812208879</v>
      </c>
    </row>
    <row r="6096" spans="2:2" ht="15.6">
      <c r="B6096" s="171">
        <v>-1547.7543666601173</v>
      </c>
    </row>
    <row r="6097" spans="2:2" ht="15.6">
      <c r="B6097" s="171">
        <v>-1597.0159100925039</v>
      </c>
    </row>
    <row r="6098" spans="2:2" ht="15.6">
      <c r="B6098" s="171">
        <v>-1508.7085271436583</v>
      </c>
    </row>
    <row r="6099" spans="2:2" ht="15.6">
      <c r="B6099" s="171">
        <v>-1316.0746156226191</v>
      </c>
    </row>
    <row r="6100" spans="2:2" ht="15.6">
      <c r="B6100" s="171">
        <v>-1507.507596453177</v>
      </c>
    </row>
    <row r="6101" spans="2:2" ht="15.6">
      <c r="B6101" s="171">
        <v>-1249.6677632783963</v>
      </c>
    </row>
    <row r="6102" spans="2:2" ht="15.6">
      <c r="B6102" s="171">
        <v>-1665.8070351483702</v>
      </c>
    </row>
    <row r="6103" spans="2:2" ht="15.6">
      <c r="B6103" s="171">
        <v>-1414.0814051373959</v>
      </c>
    </row>
    <row r="6104" spans="2:2" ht="15.6">
      <c r="B6104" s="171">
        <v>-2505.1485752375147</v>
      </c>
    </row>
    <row r="6105" spans="2:2" ht="15.6">
      <c r="B6105" s="171">
        <v>-1852.7158729556836</v>
      </c>
    </row>
    <row r="6106" spans="2:2" ht="15.6">
      <c r="B6106" s="171">
        <v>-2244.9098451565123</v>
      </c>
    </row>
    <row r="6107" spans="2:2" ht="15.6">
      <c r="B6107" s="171">
        <v>-1639.6911201900721</v>
      </c>
    </row>
    <row r="6108" spans="2:2" ht="15.6">
      <c r="B6108" s="171">
        <v>-934.64147769322608</v>
      </c>
    </row>
    <row r="6109" spans="2:2" ht="15.6">
      <c r="B6109" s="171">
        <v>-2259.5396227874385</v>
      </c>
    </row>
    <row r="6110" spans="2:2" ht="15.6">
      <c r="B6110" s="171">
        <v>-1404.3996270988114</v>
      </c>
    </row>
    <row r="6111" spans="2:2" ht="15.6">
      <c r="B6111" s="171">
        <v>-1210.5586061354618</v>
      </c>
    </row>
    <row r="6112" spans="2:2" ht="15.6">
      <c r="B6112" s="171">
        <v>-2049.3259126967005</v>
      </c>
    </row>
    <row r="6113" spans="2:2" ht="15.6">
      <c r="B6113" s="171">
        <v>-1652.3615044724897</v>
      </c>
    </row>
    <row r="6114" spans="2:2" ht="15.6">
      <c r="B6114" s="171">
        <v>-1280.5075627252036</v>
      </c>
    </row>
    <row r="6115" spans="2:2" ht="15.6">
      <c r="B6115" s="171">
        <v>-1495.3362412005463</v>
      </c>
    </row>
    <row r="6116" spans="2:2" ht="15.6">
      <c r="B6116" s="171">
        <v>-1313.5669891203197</v>
      </c>
    </row>
    <row r="6117" spans="2:2" ht="15.6">
      <c r="B6117" s="171">
        <v>-1021.2159339615338</v>
      </c>
    </row>
    <row r="6118" spans="2:2" ht="15.6">
      <c r="B6118" s="171">
        <v>-1578.7886007598931</v>
      </c>
    </row>
    <row r="6119" spans="2:2" ht="15.6">
      <c r="B6119" s="171">
        <v>-1554.9360410091747</v>
      </c>
    </row>
    <row r="6120" spans="2:2" ht="15.6">
      <c r="B6120" s="171">
        <v>-1442.5469525866254</v>
      </c>
    </row>
    <row r="6121" spans="2:2" ht="15.6">
      <c r="B6121" s="171">
        <v>-1569.8152722270736</v>
      </c>
    </row>
    <row r="6122" spans="2:2" ht="15.6">
      <c r="B6122" s="171">
        <v>-1670.5248785235951</v>
      </c>
    </row>
    <row r="6123" spans="2:2" ht="15.6">
      <c r="B6123" s="171">
        <v>-1670.2468841867412</v>
      </c>
    </row>
    <row r="6124" spans="2:2" ht="15.6">
      <c r="B6124" s="171">
        <v>-1903.0484755116688</v>
      </c>
    </row>
    <row r="6125" spans="2:2" ht="15.6">
      <c r="B6125" s="171">
        <v>-1359.116196029672</v>
      </c>
    </row>
    <row r="6126" spans="2:2" ht="15.6">
      <c r="B6126" s="171">
        <v>-1474.7919789274429</v>
      </c>
    </row>
    <row r="6127" spans="2:2" ht="15.6">
      <c r="B6127" s="171">
        <v>-1704.2625731125702</v>
      </c>
    </row>
    <row r="6128" spans="2:2" ht="15.6">
      <c r="B6128" s="171">
        <v>-1634.0702124705995</v>
      </c>
    </row>
    <row r="6129" spans="2:2" ht="15.6">
      <c r="B6129" s="171">
        <v>-1881.0289539629341</v>
      </c>
    </row>
    <row r="6130" spans="2:2" ht="15.6">
      <c r="B6130" s="171">
        <v>-1343.4642966003671</v>
      </c>
    </row>
    <row r="6131" spans="2:2" ht="15.6">
      <c r="B6131" s="171">
        <v>-2163.7198490701794</v>
      </c>
    </row>
    <row r="6132" spans="2:2" ht="15.6">
      <c r="B6132" s="171">
        <v>-2098.0931619716121</v>
      </c>
    </row>
    <row r="6133" spans="2:2" ht="15.6">
      <c r="B6133" s="171">
        <v>-2305.5939858287247</v>
      </c>
    </row>
    <row r="6134" spans="2:2" ht="15.6">
      <c r="B6134" s="171">
        <v>-1510.0328111486358</v>
      </c>
    </row>
    <row r="6135" spans="2:2" ht="15.6">
      <c r="B6135" s="171">
        <v>-1249.4482229670443</v>
      </c>
    </row>
    <row r="6136" spans="2:2" ht="15.6">
      <c r="B6136" s="171">
        <v>-1443.7890151854317</v>
      </c>
    </row>
    <row r="6137" spans="2:2" ht="15.6">
      <c r="B6137" s="171">
        <v>-949.96133346487818</v>
      </c>
    </row>
    <row r="6138" spans="2:2" ht="15.6">
      <c r="B6138" s="171">
        <v>-1396.8552539989064</v>
      </c>
    </row>
    <row r="6139" spans="2:2" ht="15.6">
      <c r="B6139" s="171">
        <v>-2332.3442992002892</v>
      </c>
    </row>
    <row r="6140" spans="2:2" ht="15.6">
      <c r="B6140" s="171">
        <v>-1471.3126247097407</v>
      </c>
    </row>
    <row r="6141" spans="2:2" ht="15.6">
      <c r="B6141" s="171">
        <v>-1317.3334533099476</v>
      </c>
    </row>
    <row r="6142" spans="2:2" ht="15.6">
      <c r="B6142" s="171">
        <v>-1448.7376519477164</v>
      </c>
    </row>
    <row r="6143" spans="2:2" ht="15.6">
      <c r="B6143" s="171">
        <v>-1388.6758408884077</v>
      </c>
    </row>
    <row r="6144" spans="2:2" ht="15.6">
      <c r="B6144" s="171">
        <v>-1504.6446231797674</v>
      </c>
    </row>
    <row r="6145" spans="2:2" ht="15.6">
      <c r="B6145" s="171">
        <v>-1540.6463069152996</v>
      </c>
    </row>
    <row r="6146" spans="2:2" ht="15.6">
      <c r="B6146" s="171">
        <v>-1061.8026494107987</v>
      </c>
    </row>
    <row r="6147" spans="2:2" ht="15.6">
      <c r="B6147" s="171">
        <v>-1842.689498491884</v>
      </c>
    </row>
    <row r="6148" spans="2:2" ht="15.6">
      <c r="B6148" s="171">
        <v>-1573.4607449417999</v>
      </c>
    </row>
    <row r="6149" spans="2:2" ht="15.6">
      <c r="B6149" s="171">
        <v>-2113.9220540336091</v>
      </c>
    </row>
    <row r="6150" spans="2:2" ht="15.6">
      <c r="B6150" s="171">
        <v>-1453.9693587417346</v>
      </c>
    </row>
    <row r="6151" spans="2:2" ht="15.6">
      <c r="B6151" s="171">
        <v>-2076.8532214482257</v>
      </c>
    </row>
    <row r="6152" spans="2:2" ht="15.6">
      <c r="B6152" s="171">
        <v>-1452.5385654594309</v>
      </c>
    </row>
    <row r="6153" spans="2:2" ht="15.6">
      <c r="B6153" s="171">
        <v>-1640.3673831422848</v>
      </c>
    </row>
    <row r="6154" spans="2:2" ht="15.6">
      <c r="B6154" s="171">
        <v>-1897.2083277939782</v>
      </c>
    </row>
    <row r="6155" spans="2:2" ht="15.6">
      <c r="B6155" s="171">
        <v>-1221.8148575234261</v>
      </c>
    </row>
    <row r="6156" spans="2:2" ht="15.6">
      <c r="B6156" s="171">
        <v>-1985.5672660946216</v>
      </c>
    </row>
    <row r="6157" spans="2:2" ht="15.6">
      <c r="B6157" s="171">
        <v>-2355.6609843104093</v>
      </c>
    </row>
    <row r="6158" spans="2:2" ht="15.6">
      <c r="B6158" s="171">
        <v>-1720.448310611584</v>
      </c>
    </row>
    <row r="6159" spans="2:2" ht="15.6">
      <c r="B6159" s="171">
        <v>-1137.3860011650922</v>
      </c>
    </row>
    <row r="6160" spans="2:2" ht="15.6">
      <c r="B6160" s="171">
        <v>-1850.957825512007</v>
      </c>
    </row>
    <row r="6161" spans="2:2" ht="15.6">
      <c r="B6161" s="171">
        <v>-1598.9205193815483</v>
      </c>
    </row>
    <row r="6162" spans="2:2" ht="15.6">
      <c r="B6162" s="171">
        <v>-1670.6135516167492</v>
      </c>
    </row>
    <row r="6163" spans="2:2" ht="15.6">
      <c r="B6163" s="171">
        <v>-1449.2874454671003</v>
      </c>
    </row>
    <row r="6164" spans="2:2" ht="15.6">
      <c r="B6164" s="171">
        <v>-1366.3500566286079</v>
      </c>
    </row>
    <row r="6165" spans="2:2" ht="15.6">
      <c r="B6165" s="171">
        <v>-745.35952699517281</v>
      </c>
    </row>
    <row r="6166" spans="2:2" ht="15.6">
      <c r="B6166" s="171">
        <v>-1433.6820214818749</v>
      </c>
    </row>
    <row r="6167" spans="2:2" ht="15.6">
      <c r="B6167" s="171">
        <v>-2312.7045343016339</v>
      </c>
    </row>
    <row r="6168" spans="2:2" ht="15.6">
      <c r="B6168" s="171">
        <v>-1028.4304164233254</v>
      </c>
    </row>
    <row r="6169" spans="2:2" ht="15.6">
      <c r="B6169" s="171">
        <v>-1722.9242367452759</v>
      </c>
    </row>
    <row r="6170" spans="2:2" ht="15.6">
      <c r="B6170" s="171">
        <v>-1979.2775304631164</v>
      </c>
    </row>
    <row r="6171" spans="2:2" ht="15.6">
      <c r="B6171" s="171">
        <v>-2454.393330164879</v>
      </c>
    </row>
    <row r="6172" spans="2:2" ht="15.6">
      <c r="B6172" s="171">
        <v>-1372.9284954200675</v>
      </c>
    </row>
    <row r="6173" spans="2:2" ht="15.6">
      <c r="B6173" s="171">
        <v>-1256.6390927758703</v>
      </c>
    </row>
    <row r="6174" spans="2:2" ht="15.6">
      <c r="B6174" s="171">
        <v>-1152.36388671244</v>
      </c>
    </row>
    <row r="6175" spans="2:2" ht="15.6">
      <c r="B6175" s="171">
        <v>-2001.6430741719305</v>
      </c>
    </row>
    <row r="6176" spans="2:2" ht="15.6">
      <c r="B6176" s="171">
        <v>-1475.9898299610618</v>
      </c>
    </row>
    <row r="6177" spans="2:2" ht="15.6">
      <c r="B6177" s="171">
        <v>-1457.600799402654</v>
      </c>
    </row>
    <row r="6178" spans="2:2" ht="15.6">
      <c r="B6178" s="171">
        <v>-2066.3700815393454</v>
      </c>
    </row>
    <row r="6179" spans="2:2" ht="15.6">
      <c r="B6179" s="171">
        <v>-1833.0901018898903</v>
      </c>
    </row>
    <row r="6180" spans="2:2" ht="15.6">
      <c r="B6180" s="171">
        <v>-985.88166629138709</v>
      </c>
    </row>
    <row r="6181" spans="2:2" ht="15.6">
      <c r="B6181" s="171">
        <v>-1189.7106775979933</v>
      </c>
    </row>
    <row r="6182" spans="2:2" ht="15.6">
      <c r="B6182" s="171">
        <v>-1798.8790679535396</v>
      </c>
    </row>
    <row r="6183" spans="2:2" ht="15.6">
      <c r="B6183" s="171">
        <v>-1592.3808810676305</v>
      </c>
    </row>
    <row r="6184" spans="2:2" ht="15.6">
      <c r="B6184" s="171">
        <v>-1768.1282877145254</v>
      </c>
    </row>
    <row r="6185" spans="2:2" ht="15.6">
      <c r="B6185" s="171">
        <v>-1824.0243829658939</v>
      </c>
    </row>
    <row r="6186" spans="2:2" ht="15.6">
      <c r="B6186" s="171">
        <v>-1077.427860590353</v>
      </c>
    </row>
    <row r="6187" spans="2:2" ht="15.6">
      <c r="B6187" s="171">
        <v>-1413.6237065548717</v>
      </c>
    </row>
    <row r="6188" spans="2:2" ht="15.6">
      <c r="B6188" s="171">
        <v>-1690.7426433418195</v>
      </c>
    </row>
    <row r="6189" spans="2:2" ht="15.6">
      <c r="B6189" s="171">
        <v>-1346.7153364157784</v>
      </c>
    </row>
    <row r="6190" spans="2:2" ht="15.6">
      <c r="B6190" s="171">
        <v>-1619.3642771657824</v>
      </c>
    </row>
    <row r="6191" spans="2:2" ht="15.6">
      <c r="B6191" s="171">
        <v>-2299.218791025155</v>
      </c>
    </row>
    <row r="6192" spans="2:2" ht="15.6">
      <c r="B6192" s="171">
        <v>-1548.7089103195869</v>
      </c>
    </row>
    <row r="6193" spans="2:2" ht="15.6">
      <c r="B6193" s="171">
        <v>-1061.0367129506051</v>
      </c>
    </row>
    <row r="6194" spans="2:2" ht="15.6">
      <c r="B6194" s="171">
        <v>-1714.0574495332944</v>
      </c>
    </row>
    <row r="6195" spans="2:2" ht="15.6">
      <c r="B6195" s="171">
        <v>-1393.9006526413232</v>
      </c>
    </row>
    <row r="6196" spans="2:2" ht="15.6">
      <c r="B6196" s="171">
        <v>-1570.3760808549016</v>
      </c>
    </row>
    <row r="6197" spans="2:2" ht="15.6">
      <c r="B6197" s="171">
        <v>-1632.1252627467052</v>
      </c>
    </row>
    <row r="6198" spans="2:2" ht="15.6">
      <c r="B6198" s="171">
        <v>-1168.6762717451079</v>
      </c>
    </row>
    <row r="6199" spans="2:2" ht="15.6">
      <c r="B6199" s="171">
        <v>-1522.58550447076</v>
      </c>
    </row>
    <row r="6200" spans="2:2" ht="15.6">
      <c r="B6200" s="171">
        <v>-1680.7224199746863</v>
      </c>
    </row>
    <row r="6201" spans="2:2" ht="15.6">
      <c r="B6201" s="171">
        <v>-3054.111749420867</v>
      </c>
    </row>
    <row r="6202" spans="2:2" ht="15.6">
      <c r="B6202" s="171">
        <v>-1659.7595379107133</v>
      </c>
    </row>
    <row r="6203" spans="2:2" ht="15.6">
      <c r="B6203" s="171">
        <v>-1586.0336778933881</v>
      </c>
    </row>
    <row r="6204" spans="2:2" ht="15.6">
      <c r="B6204" s="171">
        <v>-1054.5606788981347</v>
      </c>
    </row>
    <row r="6205" spans="2:2" ht="15.6">
      <c r="B6205" s="171">
        <v>-1399.7700137076736</v>
      </c>
    </row>
    <row r="6206" spans="2:2" ht="15.6">
      <c r="B6206" s="171">
        <v>-812.50649624274297</v>
      </c>
    </row>
    <row r="6207" spans="2:2" ht="15.6">
      <c r="B6207" s="171">
        <v>-1305.2851538437947</v>
      </c>
    </row>
    <row r="6208" spans="2:2" ht="15.6">
      <c r="B6208" s="171">
        <v>-1336.559352533875</v>
      </c>
    </row>
    <row r="6209" spans="2:2" ht="15.6">
      <c r="B6209" s="171">
        <v>-1181.8169140474197</v>
      </c>
    </row>
    <row r="6210" spans="2:2" ht="15.6">
      <c r="B6210" s="171">
        <v>-1985.0704923206381</v>
      </c>
    </row>
    <row r="6211" spans="2:2" ht="15.6">
      <c r="B6211" s="171">
        <v>-1397.7039231704589</v>
      </c>
    </row>
    <row r="6212" spans="2:2" ht="15.6">
      <c r="B6212" s="171">
        <v>-1914.1894623436133</v>
      </c>
    </row>
    <row r="6213" spans="2:2" ht="15.6">
      <c r="B6213" s="171">
        <v>-1590.7743159034794</v>
      </c>
    </row>
    <row r="6214" spans="2:2" ht="15.6">
      <c r="B6214" s="171">
        <v>-1624.1961604616781</v>
      </c>
    </row>
    <row r="6215" spans="2:2" ht="15.6">
      <c r="B6215" s="171">
        <v>-1313.2770743241663</v>
      </c>
    </row>
    <row r="6216" spans="2:2" ht="15.6">
      <c r="B6216" s="171">
        <v>-1340.8743412267422</v>
      </c>
    </row>
    <row r="6217" spans="2:2" ht="15.6">
      <c r="B6217" s="171">
        <v>-2045.0798089322316</v>
      </c>
    </row>
    <row r="6218" spans="2:2" ht="15.6">
      <c r="B6218" s="171">
        <v>-1698.1079384083437</v>
      </c>
    </row>
    <row r="6219" spans="2:2" ht="15.6">
      <c r="B6219" s="171">
        <v>-1950.627108848643</v>
      </c>
    </row>
    <row r="6220" spans="2:2" ht="15.6">
      <c r="B6220" s="171">
        <v>-1551.8279513400375</v>
      </c>
    </row>
    <row r="6221" spans="2:2" ht="15.6">
      <c r="B6221" s="171">
        <v>-1023.3464980476327</v>
      </c>
    </row>
    <row r="6222" spans="2:2" ht="15.6">
      <c r="B6222" s="171">
        <v>-1510.5213131782302</v>
      </c>
    </row>
    <row r="6223" spans="2:2" ht="15.6">
      <c r="B6223" s="171">
        <v>-1771.1576254095567</v>
      </c>
    </row>
    <row r="6224" spans="2:2" ht="15.6">
      <c r="B6224" s="171">
        <v>-1059.9006275768977</v>
      </c>
    </row>
    <row r="6225" spans="2:2" ht="15.6">
      <c r="B6225" s="171">
        <v>-1630.4774660715593</v>
      </c>
    </row>
    <row r="6226" spans="2:2" ht="15.6">
      <c r="B6226" s="171">
        <v>-1734.440788181957</v>
      </c>
    </row>
    <row r="6227" spans="2:2" ht="15.6">
      <c r="B6227" s="171">
        <v>-1153.5171811247071</v>
      </c>
    </row>
    <row r="6228" spans="2:2" ht="15.6">
      <c r="B6228" s="171">
        <v>-2326.287123080177</v>
      </c>
    </row>
    <row r="6229" spans="2:2" ht="15.6">
      <c r="B6229" s="171">
        <v>-2032.3179848683308</v>
      </c>
    </row>
    <row r="6230" spans="2:2" ht="15.6">
      <c r="B6230" s="171">
        <v>-1953.8385605126273</v>
      </c>
    </row>
    <row r="6231" spans="2:2" ht="15.6">
      <c r="B6231" s="171">
        <v>-1356.5258172386182</v>
      </c>
    </row>
    <row r="6232" spans="2:2" ht="15.6">
      <c r="B6232" s="171">
        <v>-1250.3940929945081</v>
      </c>
    </row>
    <row r="6233" spans="2:2" ht="15.6">
      <c r="B6233" s="171">
        <v>-1423.4987114652672</v>
      </c>
    </row>
    <row r="6234" spans="2:2" ht="15.6">
      <c r="B6234" s="171">
        <v>-965.09402985809277</v>
      </c>
    </row>
    <row r="6235" spans="2:2" ht="15.6">
      <c r="B6235" s="171">
        <v>-1145.6317112900451</v>
      </c>
    </row>
    <row r="6236" spans="2:2" ht="15.6">
      <c r="B6236" s="171">
        <v>-1650.7333817847643</v>
      </c>
    </row>
    <row r="6237" spans="2:2" ht="15.6">
      <c r="B6237" s="171">
        <v>-1099.9738144576484</v>
      </c>
    </row>
    <row r="6238" spans="2:2" ht="15.6">
      <c r="B6238" s="171">
        <v>-2150.1601449338823</v>
      </c>
    </row>
    <row r="6239" spans="2:2" ht="15.6">
      <c r="B6239" s="171">
        <v>-1493.6203223749776</v>
      </c>
    </row>
    <row r="6240" spans="2:2" ht="15.6">
      <c r="B6240" s="171">
        <v>-1852.4927326173452</v>
      </c>
    </row>
    <row r="6241" spans="2:2" ht="15.6">
      <c r="B6241" s="171">
        <v>-1742.9442143188471</v>
      </c>
    </row>
    <row r="6242" spans="2:2" ht="15.6">
      <c r="B6242" s="171">
        <v>-1469.7548562706384</v>
      </c>
    </row>
    <row r="6243" spans="2:2" ht="15.6">
      <c r="B6243" s="171">
        <v>-1155.0342694457995</v>
      </c>
    </row>
    <row r="6244" spans="2:2" ht="15.6">
      <c r="B6244" s="171">
        <v>-1436.1406255195056</v>
      </c>
    </row>
    <row r="6245" spans="2:2" ht="15.6">
      <c r="B6245" s="171">
        <v>-2021.9183034652535</v>
      </c>
    </row>
    <row r="6246" spans="2:2" ht="15.6">
      <c r="B6246" s="171">
        <v>-1334.7220887380697</v>
      </c>
    </row>
    <row r="6247" spans="2:2" ht="15.6">
      <c r="B6247" s="171">
        <v>-1087.1252831267175</v>
      </c>
    </row>
    <row r="6248" spans="2:2" ht="15.6">
      <c r="B6248" s="171">
        <v>-2499.0561498009292</v>
      </c>
    </row>
    <row r="6249" spans="2:2" ht="15.6">
      <c r="B6249" s="171">
        <v>-1918.7739507877709</v>
      </c>
    </row>
    <row r="6250" spans="2:2" ht="15.6">
      <c r="B6250" s="171">
        <v>-1092.0534461624575</v>
      </c>
    </row>
    <row r="6251" spans="2:2" ht="15.6">
      <c r="B6251" s="171">
        <v>-1414.8298031632817</v>
      </c>
    </row>
    <row r="6252" spans="2:2" ht="15.6">
      <c r="B6252" s="171">
        <v>-1140.274118205047</v>
      </c>
    </row>
    <row r="6253" spans="2:2" ht="15.6">
      <c r="B6253" s="171">
        <v>-2078.9609153058523</v>
      </c>
    </row>
    <row r="6254" spans="2:2" ht="15.6">
      <c r="B6254" s="171">
        <v>-918.48668541074073</v>
      </c>
    </row>
    <row r="6255" spans="2:2" ht="15.6">
      <c r="B6255" s="171">
        <v>-2364.4702926969558</v>
      </c>
    </row>
    <row r="6256" spans="2:2" ht="15.6">
      <c r="B6256" s="171">
        <v>-1186.2258206842641</v>
      </c>
    </row>
    <row r="6257" spans="2:2" ht="15.6">
      <c r="B6257" s="171">
        <v>-2132.5254054491847</v>
      </c>
    </row>
    <row r="6258" spans="2:2" ht="15.6">
      <c r="B6258" s="171">
        <v>-1694.314375744535</v>
      </c>
    </row>
    <row r="6259" spans="2:2" ht="15.6">
      <c r="B6259" s="171">
        <v>-1828.8812132806518</v>
      </c>
    </row>
    <row r="6260" spans="2:2" ht="15.6">
      <c r="B6260" s="171">
        <v>-1248.3816936227304</v>
      </c>
    </row>
    <row r="6261" spans="2:2" ht="15.6">
      <c r="B6261" s="171">
        <v>-2537.8636080077968</v>
      </c>
    </row>
    <row r="6262" spans="2:2" ht="15.6">
      <c r="B6262" s="171">
        <v>-1178.0747023945037</v>
      </c>
    </row>
    <row r="6263" spans="2:2" ht="15.6">
      <c r="B6263" s="171">
        <v>-2157.8743109848506</v>
      </c>
    </row>
    <row r="6264" spans="2:2" ht="15.6">
      <c r="B6264" s="171">
        <v>-2263.1354590511669</v>
      </c>
    </row>
    <row r="6265" spans="2:2" ht="15.6">
      <c r="B6265" s="171">
        <v>-2327.8566345063145</v>
      </c>
    </row>
    <row r="6266" spans="2:2" ht="15.6">
      <c r="B6266" s="171">
        <v>-1634.5295302315169</v>
      </c>
    </row>
    <row r="6267" spans="2:2" ht="15.6">
      <c r="B6267" s="171">
        <v>-329.19144604460109</v>
      </c>
    </row>
    <row r="6268" spans="2:2" ht="15.6">
      <c r="B6268" s="171">
        <v>-2039.6111885153118</v>
      </c>
    </row>
    <row r="6269" spans="2:2" ht="15.6">
      <c r="B6269" s="171">
        <v>-1843.3592124747665</v>
      </c>
    </row>
    <row r="6270" spans="2:2" ht="15.6">
      <c r="B6270" s="171">
        <v>-1599.745293387532</v>
      </c>
    </row>
    <row r="6271" spans="2:2" ht="15.6">
      <c r="B6271" s="171">
        <v>-1627.3876059083434</v>
      </c>
    </row>
    <row r="6272" spans="2:2" ht="15.6">
      <c r="B6272" s="171">
        <v>-1951.1239096737218</v>
      </c>
    </row>
    <row r="6273" spans="2:2" ht="15.6">
      <c r="B6273" s="171">
        <v>-1452.1998335092082</v>
      </c>
    </row>
    <row r="6274" spans="2:2" ht="15.6">
      <c r="B6274" s="171">
        <v>-1427.5256658674878</v>
      </c>
    </row>
    <row r="6275" spans="2:2" ht="15.6">
      <c r="B6275" s="171">
        <v>-1598.208383520235</v>
      </c>
    </row>
    <row r="6276" spans="2:2" ht="15.6">
      <c r="B6276" s="171">
        <v>-1926.0506097402179</v>
      </c>
    </row>
    <row r="6277" spans="2:2" ht="15.6">
      <c r="B6277" s="171">
        <v>-1684.4765429709514</v>
      </c>
    </row>
    <row r="6278" spans="2:2" ht="15.6">
      <c r="B6278" s="171">
        <v>-1514.465091926739</v>
      </c>
    </row>
    <row r="6279" spans="2:2" ht="15.6">
      <c r="B6279" s="171">
        <v>-1955.8352574277903</v>
      </c>
    </row>
    <row r="6280" spans="2:2" ht="15.6">
      <c r="B6280" s="171">
        <v>-1643.3834778182236</v>
      </c>
    </row>
    <row r="6281" spans="2:2" ht="15.6">
      <c r="B6281" s="171">
        <v>-1821.0421744773232</v>
      </c>
    </row>
    <row r="6282" spans="2:2" ht="15.6">
      <c r="B6282" s="171">
        <v>-2224.2400345631986</v>
      </c>
    </row>
    <row r="6283" spans="2:2" ht="15.6">
      <c r="B6283" s="171">
        <v>-2156.4960456655517</v>
      </c>
    </row>
    <row r="6284" spans="2:2" ht="15.6">
      <c r="B6284" s="171">
        <v>-1164.3781825358242</v>
      </c>
    </row>
    <row r="6285" spans="2:2" ht="15.6">
      <c r="B6285" s="171">
        <v>-2140.550134650965</v>
      </c>
    </row>
    <row r="6286" spans="2:2" ht="15.6">
      <c r="B6286" s="171">
        <v>-2370.7482057254247</v>
      </c>
    </row>
    <row r="6287" spans="2:2" ht="15.6">
      <c r="B6287" s="171">
        <v>-1339.8750271626607</v>
      </c>
    </row>
    <row r="6288" spans="2:2" ht="15.6">
      <c r="B6288" s="171">
        <v>-1858.9473278883725</v>
      </c>
    </row>
    <row r="6289" spans="2:2" ht="15.6">
      <c r="B6289" s="171">
        <v>-1260.2658557671316</v>
      </c>
    </row>
    <row r="6290" spans="2:2" ht="15.6">
      <c r="B6290" s="171">
        <v>-2764.7947741864036</v>
      </c>
    </row>
    <row r="6291" spans="2:2" ht="15.6">
      <c r="B6291" s="171">
        <v>-1123.642610399206</v>
      </c>
    </row>
    <row r="6292" spans="2:2" ht="15.6">
      <c r="B6292" s="171">
        <v>-1390.2849174002488</v>
      </c>
    </row>
    <row r="6293" spans="2:2" ht="15.6">
      <c r="B6293" s="171">
        <v>-2120.4357641179849</v>
      </c>
    </row>
    <row r="6294" spans="2:2" ht="15.6">
      <c r="B6294" s="171">
        <v>-1951.2857058401275</v>
      </c>
    </row>
    <row r="6295" spans="2:2" ht="15.6">
      <c r="B6295" s="171">
        <v>-1231.9983176184148</v>
      </c>
    </row>
    <row r="6296" spans="2:2" ht="15.6">
      <c r="B6296" s="171">
        <v>-2224.7577331725488</v>
      </c>
    </row>
    <row r="6297" spans="2:2" ht="15.6">
      <c r="B6297" s="171">
        <v>-784.12969429962141</v>
      </c>
    </row>
    <row r="6298" spans="2:2" ht="15.6">
      <c r="B6298" s="171">
        <v>-1737.4062856596154</v>
      </c>
    </row>
    <row r="6299" spans="2:2" ht="15.6">
      <c r="B6299" s="171">
        <v>-962.62349455121068</v>
      </c>
    </row>
    <row r="6300" spans="2:2" ht="15.6">
      <c r="B6300" s="171">
        <v>-1671.7750130069635</v>
      </c>
    </row>
    <row r="6301" spans="2:2" ht="15.6">
      <c r="B6301" s="171">
        <v>-1293.8061870556128</v>
      </c>
    </row>
    <row r="6302" spans="2:2" ht="15.6">
      <c r="B6302" s="171">
        <v>-1168.2826450420346</v>
      </c>
    </row>
    <row r="6303" spans="2:2" ht="15.6">
      <c r="B6303" s="171">
        <v>-1297.131823084238</v>
      </c>
    </row>
    <row r="6304" spans="2:2" ht="15.6">
      <c r="B6304" s="171">
        <v>-2200.4417714722977</v>
      </c>
    </row>
    <row r="6305" spans="2:2" ht="15.6">
      <c r="B6305" s="171">
        <v>-1503.9951348917923</v>
      </c>
    </row>
    <row r="6306" spans="2:2" ht="15.6">
      <c r="B6306" s="171">
        <v>-1175.6967175581212</v>
      </c>
    </row>
    <row r="6307" spans="2:2" ht="15.6">
      <c r="B6307" s="171">
        <v>-2616.3505795569349</v>
      </c>
    </row>
    <row r="6308" spans="2:2" ht="15.6">
      <c r="B6308" s="171">
        <v>-1544.0056392846418</v>
      </c>
    </row>
    <row r="6309" spans="2:2" ht="15.6">
      <c r="B6309" s="171">
        <v>-1481.4295166806255</v>
      </c>
    </row>
    <row r="6310" spans="2:2" ht="15.6">
      <c r="B6310" s="171">
        <v>-1285.2843397236304</v>
      </c>
    </row>
    <row r="6311" spans="2:2" ht="15.6">
      <c r="B6311" s="171">
        <v>-1552.1135204072148</v>
      </c>
    </row>
    <row r="6312" spans="2:2" ht="15.6">
      <c r="B6312" s="171">
        <v>-1227.5105045691753</v>
      </c>
    </row>
    <row r="6313" spans="2:2" ht="15.6">
      <c r="B6313" s="171">
        <v>-2084.4459898836994</v>
      </c>
    </row>
    <row r="6314" spans="2:2" ht="15.6">
      <c r="B6314" s="171">
        <v>-1288.0711581432445</v>
      </c>
    </row>
    <row r="6315" spans="2:2" ht="15.6">
      <c r="B6315" s="171">
        <v>-2614.4508904448453</v>
      </c>
    </row>
    <row r="6316" spans="2:2" ht="15.6">
      <c r="B6316" s="171">
        <v>-1195.8931548445439</v>
      </c>
    </row>
    <row r="6317" spans="2:2" ht="15.6">
      <c r="B6317" s="171">
        <v>-1280.1535483361756</v>
      </c>
    </row>
    <row r="6318" spans="2:2" ht="15.6">
      <c r="B6318" s="171">
        <v>-2187.324407307925</v>
      </c>
    </row>
    <row r="6319" spans="2:2" ht="15.6">
      <c r="B6319" s="171">
        <v>-1278.1446571482127</v>
      </c>
    </row>
    <row r="6320" spans="2:2" ht="15.6">
      <c r="B6320" s="171">
        <v>-1209.7237299774015</v>
      </c>
    </row>
    <row r="6321" spans="2:2" ht="15.6">
      <c r="B6321" s="171">
        <v>-1420.8395468593994</v>
      </c>
    </row>
    <row r="6322" spans="2:2" ht="15.6">
      <c r="B6322" s="171">
        <v>-1324.2928728117074</v>
      </c>
    </row>
    <row r="6323" spans="2:2" ht="15.6">
      <c r="B6323" s="171">
        <v>-1830.7625682586122</v>
      </c>
    </row>
    <row r="6324" spans="2:2" ht="15.6">
      <c r="B6324" s="171">
        <v>-1627.059254929306</v>
      </c>
    </row>
    <row r="6325" spans="2:2" ht="15.6">
      <c r="B6325" s="171">
        <v>-1341.4273646172958</v>
      </c>
    </row>
    <row r="6326" spans="2:2" ht="15.6">
      <c r="B6326" s="171">
        <v>-1837.837956740836</v>
      </c>
    </row>
    <row r="6327" spans="2:2" ht="15.6">
      <c r="B6327" s="171">
        <v>-1846.282399173057</v>
      </c>
    </row>
    <row r="6328" spans="2:2" ht="15.6">
      <c r="B6328" s="171">
        <v>-1305.9242702529868</v>
      </c>
    </row>
    <row r="6329" spans="2:2" ht="15.6">
      <c r="B6329" s="171">
        <v>-865.39145984085906</v>
      </c>
    </row>
    <row r="6330" spans="2:2" ht="15.6">
      <c r="B6330" s="171">
        <v>-2554.0918939133689</v>
      </c>
    </row>
    <row r="6331" spans="2:2" ht="15.6">
      <c r="B6331" s="171">
        <v>-2245.0250867297882</v>
      </c>
    </row>
    <row r="6332" spans="2:2" ht="15.6">
      <c r="B6332" s="171">
        <v>-1427.7060099370169</v>
      </c>
    </row>
    <row r="6333" spans="2:2" ht="15.6">
      <c r="B6333" s="171">
        <v>-1651.8168492881325</v>
      </c>
    </row>
    <row r="6334" spans="2:2" ht="15.6">
      <c r="B6334" s="171">
        <v>-1212.0420530105796</v>
      </c>
    </row>
    <row r="6335" spans="2:2" ht="15.6">
      <c r="B6335" s="171">
        <v>-1600.8950272024356</v>
      </c>
    </row>
    <row r="6336" spans="2:2" ht="15.6">
      <c r="B6336" s="171">
        <v>-1529.7139574092405</v>
      </c>
    </row>
    <row r="6337" spans="2:2" ht="15.6">
      <c r="B6337" s="171">
        <v>-1405.5610860660277</v>
      </c>
    </row>
    <row r="6338" spans="2:2" ht="15.6">
      <c r="B6338" s="171">
        <v>-1306.1718244601982</v>
      </c>
    </row>
    <row r="6339" spans="2:2" ht="15.6">
      <c r="B6339" s="171">
        <v>-1483.2101844995539</v>
      </c>
    </row>
    <row r="6340" spans="2:2" ht="15.6">
      <c r="B6340" s="171">
        <v>-1056.9526265080149</v>
      </c>
    </row>
    <row r="6341" spans="2:2" ht="15.6">
      <c r="B6341" s="171">
        <v>-2441.9042707090684</v>
      </c>
    </row>
    <row r="6342" spans="2:2" ht="15.6">
      <c r="B6342" s="171">
        <v>-988.50506759207917</v>
      </c>
    </row>
    <row r="6343" spans="2:2" ht="15.6">
      <c r="B6343" s="171">
        <v>-1495.6476420034473</v>
      </c>
    </row>
    <row r="6344" spans="2:2" ht="15.6">
      <c r="B6344" s="171">
        <v>-1526.1497107010837</v>
      </c>
    </row>
    <row r="6345" spans="2:2" ht="15.6">
      <c r="B6345" s="171">
        <v>-1243.8734619181193</v>
      </c>
    </row>
    <row r="6346" spans="2:2" ht="15.6">
      <c r="B6346" s="171">
        <v>-1563.6584614623996</v>
      </c>
    </row>
    <row r="6347" spans="2:2" ht="15.6">
      <c r="B6347" s="171">
        <v>-1549.1367284542744</v>
      </c>
    </row>
    <row r="6348" spans="2:2" ht="15.6">
      <c r="B6348" s="171">
        <v>-2222.8852134242893</v>
      </c>
    </row>
    <row r="6349" spans="2:2" ht="15.6">
      <c r="B6349" s="171">
        <v>-1476.9817008763166</v>
      </c>
    </row>
    <row r="6350" spans="2:2" ht="15.6">
      <c r="B6350" s="171">
        <v>-1720.6209021709274</v>
      </c>
    </row>
    <row r="6351" spans="2:2" ht="15.6">
      <c r="B6351" s="171">
        <v>-1671.2172764091042</v>
      </c>
    </row>
    <row r="6352" spans="2:2" ht="15.6">
      <c r="B6352" s="171">
        <v>-1984.4564772973472</v>
      </c>
    </row>
    <row r="6353" spans="2:2" ht="15.6">
      <c r="B6353" s="171">
        <v>-1286.0857095855031</v>
      </c>
    </row>
    <row r="6354" spans="2:2" ht="15.6">
      <c r="B6354" s="171">
        <v>-1082.1861346411843</v>
      </c>
    </row>
    <row r="6355" spans="2:2" ht="15.6">
      <c r="B6355" s="171">
        <v>-1508.6710972219466</v>
      </c>
    </row>
    <row r="6356" spans="2:2" ht="15.6">
      <c r="B6356" s="171">
        <v>-930.19018090505199</v>
      </c>
    </row>
    <row r="6357" spans="2:2" ht="15.6">
      <c r="B6357" s="171">
        <v>-1536.5764962411909</v>
      </c>
    </row>
    <row r="6358" spans="2:2" ht="15.6">
      <c r="B6358" s="171">
        <v>-1153.7938760732279</v>
      </c>
    </row>
    <row r="6359" spans="2:2" ht="15.6">
      <c r="B6359" s="171">
        <v>-1104.4488656133419</v>
      </c>
    </row>
    <row r="6360" spans="2:2" ht="15.6">
      <c r="B6360" s="171">
        <v>-1873.6742470047102</v>
      </c>
    </row>
    <row r="6361" spans="2:2" ht="15.6">
      <c r="B6361" s="171">
        <v>-1398.3156870234361</v>
      </c>
    </row>
    <row r="6362" spans="2:2" ht="15.6">
      <c r="B6362" s="171">
        <v>-1522.0942534214587</v>
      </c>
    </row>
    <row r="6363" spans="2:2" ht="15.6">
      <c r="B6363" s="171">
        <v>-2085.0951431512603</v>
      </c>
    </row>
    <row r="6364" spans="2:2" ht="15.6">
      <c r="B6364" s="171">
        <v>-1453.6212226714354</v>
      </c>
    </row>
    <row r="6365" spans="2:2" ht="15.6">
      <c r="B6365" s="171">
        <v>-1180.8808909717677</v>
      </c>
    </row>
    <row r="6366" spans="2:2" ht="15.6">
      <c r="B6366" s="171">
        <v>-1659.2392695109793</v>
      </c>
    </row>
    <row r="6367" spans="2:2" ht="15.6">
      <c r="B6367" s="171">
        <v>-2221.7902479400559</v>
      </c>
    </row>
    <row r="6368" spans="2:2" ht="15.6">
      <c r="B6368" s="171">
        <v>-1826.9215054159145</v>
      </c>
    </row>
    <row r="6369" spans="2:2" ht="15.6">
      <c r="B6369" s="171">
        <v>-982.80260452774962</v>
      </c>
    </row>
    <row r="6370" spans="2:2" ht="15.6">
      <c r="B6370" s="171">
        <v>-1428.0134394004863</v>
      </c>
    </row>
    <row r="6371" spans="2:2" ht="15.6">
      <c r="B6371" s="171">
        <v>-1319.8467979403636</v>
      </c>
    </row>
    <row r="6372" spans="2:2" ht="15.6">
      <c r="B6372" s="171">
        <v>-1798.4962657222845</v>
      </c>
    </row>
    <row r="6373" spans="2:2" ht="15.6">
      <c r="B6373" s="171">
        <v>-2050.5276840559291</v>
      </c>
    </row>
    <row r="6374" spans="2:2" ht="15.6">
      <c r="B6374" s="171">
        <v>-1977.0034673023922</v>
      </c>
    </row>
    <row r="6375" spans="2:2" ht="15.6">
      <c r="B6375" s="171">
        <v>-1385.3127114179163</v>
      </c>
    </row>
    <row r="6376" spans="2:2" ht="15.6">
      <c r="B6376" s="171">
        <v>-1925.7531140697261</v>
      </c>
    </row>
    <row r="6377" spans="2:2" ht="15.6">
      <c r="B6377" s="171">
        <v>-1202.3126589248279</v>
      </c>
    </row>
    <row r="6378" spans="2:2" ht="15.6">
      <c r="B6378" s="171">
        <v>-2025.5405645227695</v>
      </c>
    </row>
    <row r="6379" spans="2:2" ht="15.6">
      <c r="B6379" s="171">
        <v>-1798.0283325965772</v>
      </c>
    </row>
    <row r="6380" spans="2:2" ht="15.6">
      <c r="B6380" s="171">
        <v>-1538.9539140445504</v>
      </c>
    </row>
    <row r="6381" spans="2:2" ht="15.6">
      <c r="B6381" s="171">
        <v>-1393.9772175522921</v>
      </c>
    </row>
    <row r="6382" spans="2:2" ht="15.6">
      <c r="B6382" s="171">
        <v>-2171.7145607003808</v>
      </c>
    </row>
    <row r="6383" spans="2:2" ht="15.6">
      <c r="B6383" s="171">
        <v>-2073.8895909224975</v>
      </c>
    </row>
    <row r="6384" spans="2:2" ht="15.6">
      <c r="B6384" s="171">
        <v>-1611.1542020898587</v>
      </c>
    </row>
    <row r="6385" spans="2:2" ht="15.6">
      <c r="B6385" s="171">
        <v>-1425.8591536270628</v>
      </c>
    </row>
    <row r="6386" spans="2:2" ht="15.6">
      <c r="B6386" s="171">
        <v>-1515.8179577674532</v>
      </c>
    </row>
    <row r="6387" spans="2:2" ht="15.6">
      <c r="B6387" s="171">
        <v>-1084.0068922140397</v>
      </c>
    </row>
    <row r="6388" spans="2:2" ht="15.6">
      <c r="B6388" s="171">
        <v>-1579.3841835329295</v>
      </c>
    </row>
    <row r="6389" spans="2:2" ht="15.6">
      <c r="B6389" s="171">
        <v>-2219.4960702537051</v>
      </c>
    </row>
    <row r="6390" spans="2:2" ht="15.6">
      <c r="B6390" s="171">
        <v>-1734.1843677678357</v>
      </c>
    </row>
    <row r="6391" spans="2:2" ht="15.6">
      <c r="B6391" s="171">
        <v>-1464.3979381680051</v>
      </c>
    </row>
    <row r="6392" spans="2:2" ht="15.6">
      <c r="B6392" s="171">
        <v>-1607.9143810212386</v>
      </c>
    </row>
    <row r="6393" spans="2:2" ht="15.6">
      <c r="B6393" s="171">
        <v>-2019.1900920908922</v>
      </c>
    </row>
    <row r="6394" spans="2:2" ht="15.6">
      <c r="B6394" s="171">
        <v>-1649.8222617421202</v>
      </c>
    </row>
    <row r="6395" spans="2:2" ht="15.6">
      <c r="B6395" s="171">
        <v>-1311.0077460868231</v>
      </c>
    </row>
    <row r="6396" spans="2:2" ht="15.6">
      <c r="B6396" s="171">
        <v>-927.04864231333841</v>
      </c>
    </row>
    <row r="6397" spans="2:2" ht="15.6">
      <c r="B6397" s="171">
        <v>-1553.3684295998819</v>
      </c>
    </row>
    <row r="6398" spans="2:2" ht="15.6">
      <c r="B6398" s="171">
        <v>-1573.7103646978715</v>
      </c>
    </row>
    <row r="6399" spans="2:2" ht="15.6">
      <c r="B6399" s="171">
        <v>-1443.1875863162475</v>
      </c>
    </row>
    <row r="6400" spans="2:2" ht="15.6">
      <c r="B6400" s="171">
        <v>-948.90594707749472</v>
      </c>
    </row>
    <row r="6401" spans="2:2" ht="15.6">
      <c r="B6401" s="171">
        <v>-1835.457440490726</v>
      </c>
    </row>
    <row r="6402" spans="2:2" ht="15.6">
      <c r="B6402" s="171">
        <v>-1352.7832889001804</v>
      </c>
    </row>
    <row r="6403" spans="2:2" ht="15.6">
      <c r="B6403" s="171">
        <v>-1815.4111909246908</v>
      </c>
    </row>
    <row r="6404" spans="2:2" ht="15.6">
      <c r="B6404" s="171">
        <v>-1514.4822657784955</v>
      </c>
    </row>
    <row r="6405" spans="2:2" ht="15.6">
      <c r="B6405" s="171">
        <v>-694.22205565630691</v>
      </c>
    </row>
    <row r="6406" spans="2:2" ht="15.6">
      <c r="B6406" s="171">
        <v>-2218.7782723351665</v>
      </c>
    </row>
    <row r="6407" spans="2:2" ht="15.6">
      <c r="B6407" s="171">
        <v>-1341.7442395520081</v>
      </c>
    </row>
    <row r="6408" spans="2:2" ht="15.6">
      <c r="B6408" s="171">
        <v>-1639.6694917055925</v>
      </c>
    </row>
    <row r="6409" spans="2:2" ht="15.6">
      <c r="B6409" s="171">
        <v>-1587.3601550806907</v>
      </c>
    </row>
    <row r="6410" spans="2:2" ht="15.6">
      <c r="B6410" s="171">
        <v>-2011.2199938515528</v>
      </c>
    </row>
    <row r="6411" spans="2:2" ht="15.6">
      <c r="B6411" s="171">
        <v>-1181.708783917386</v>
      </c>
    </row>
    <row r="6412" spans="2:2" ht="15.6">
      <c r="B6412" s="171">
        <v>-1437.7809455741312</v>
      </c>
    </row>
    <row r="6413" spans="2:2" ht="15.6">
      <c r="B6413" s="171">
        <v>-1227.1370405723883</v>
      </c>
    </row>
    <row r="6414" spans="2:2" ht="15.6">
      <c r="B6414" s="171">
        <v>-1669.4176893884926</v>
      </c>
    </row>
    <row r="6415" spans="2:2" ht="15.6">
      <c r="B6415" s="171">
        <v>-1234.713540639448</v>
      </c>
    </row>
    <row r="6416" spans="2:2" ht="15.6">
      <c r="B6416" s="171">
        <v>-1140.640105868192</v>
      </c>
    </row>
    <row r="6417" spans="2:2" ht="15.6">
      <c r="B6417" s="171">
        <v>-847.75904535664449</v>
      </c>
    </row>
    <row r="6418" spans="2:2" ht="15.6">
      <c r="B6418" s="171">
        <v>-1777.2885323262042</v>
      </c>
    </row>
    <row r="6419" spans="2:2" ht="15.6">
      <c r="B6419" s="171">
        <v>-1253.132203659246</v>
      </c>
    </row>
    <row r="6420" spans="2:2" ht="15.6">
      <c r="B6420" s="171">
        <v>-1313.3064199321539</v>
      </c>
    </row>
    <row r="6421" spans="2:2" ht="15.6">
      <c r="B6421" s="171">
        <v>-1600.7035176739978</v>
      </c>
    </row>
    <row r="6422" spans="2:2" ht="15.6">
      <c r="B6422" s="171">
        <v>-2204.7695929280117</v>
      </c>
    </row>
    <row r="6423" spans="2:2" ht="15.6">
      <c r="B6423" s="171">
        <v>-1729.1588248374876</v>
      </c>
    </row>
    <row r="6424" spans="2:2" ht="15.6">
      <c r="B6424" s="171">
        <v>-1645.821072298409</v>
      </c>
    </row>
    <row r="6425" spans="2:2" ht="15.6">
      <c r="B6425" s="171">
        <v>-1847.4498038642942</v>
      </c>
    </row>
    <row r="6426" spans="2:2" ht="15.6">
      <c r="B6426" s="171">
        <v>-1112.9748374028945</v>
      </c>
    </row>
    <row r="6427" spans="2:2" ht="15.6">
      <c r="B6427" s="171">
        <v>-2059.0468924380762</v>
      </c>
    </row>
    <row r="6428" spans="2:2" ht="15.6">
      <c r="B6428" s="171">
        <v>-1243.079578919019</v>
      </c>
    </row>
    <row r="6429" spans="2:2" ht="15.6">
      <c r="B6429" s="171">
        <v>-2763.5183885709839</v>
      </c>
    </row>
    <row r="6430" spans="2:2" ht="15.6">
      <c r="B6430" s="171">
        <v>-1798.6860605305806</v>
      </c>
    </row>
    <row r="6431" spans="2:2" ht="15.6">
      <c r="B6431" s="171">
        <v>-1532.5132370491192</v>
      </c>
    </row>
    <row r="6432" spans="2:2" ht="15.6">
      <c r="B6432" s="171">
        <v>-1430.5715035209666</v>
      </c>
    </row>
    <row r="6433" spans="2:2" ht="15.6">
      <c r="B6433" s="171">
        <v>-1310.9030752821595</v>
      </c>
    </row>
    <row r="6434" spans="2:2" ht="15.6">
      <c r="B6434" s="171">
        <v>-1747.4487516503641</v>
      </c>
    </row>
    <row r="6435" spans="2:2" ht="15.6">
      <c r="B6435" s="171">
        <v>-841.99024162939088</v>
      </c>
    </row>
    <row r="6436" spans="2:2" ht="15.6">
      <c r="B6436" s="171">
        <v>-1333.5004199949947</v>
      </c>
    </row>
    <row r="6437" spans="2:2" ht="15.6">
      <c r="B6437" s="171">
        <v>-1280.4716830289044</v>
      </c>
    </row>
    <row r="6438" spans="2:2" ht="15.6">
      <c r="B6438" s="171">
        <v>-1538.350081990948</v>
      </c>
    </row>
    <row r="6439" spans="2:2" ht="15.6">
      <c r="B6439" s="171">
        <v>-1332.4160010541345</v>
      </c>
    </row>
    <row r="6440" spans="2:2" ht="15.6">
      <c r="B6440" s="171">
        <v>-1185.0351015949118</v>
      </c>
    </row>
    <row r="6441" spans="2:2" ht="15.6">
      <c r="B6441" s="171">
        <v>-1507.5397312031566</v>
      </c>
    </row>
    <row r="6442" spans="2:2" ht="15.6">
      <c r="B6442" s="171">
        <v>-1389.9456228373037</v>
      </c>
    </row>
    <row r="6443" spans="2:2" ht="15.6">
      <c r="B6443" s="171">
        <v>-1256.9605411954651</v>
      </c>
    </row>
    <row r="6444" spans="2:2" ht="15.6">
      <c r="B6444" s="171">
        <v>-1226.4339958147521</v>
      </c>
    </row>
    <row r="6445" spans="2:2" ht="15.6">
      <c r="B6445" s="171">
        <v>-2310.4784844369442</v>
      </c>
    </row>
    <row r="6446" spans="2:2" ht="15.6">
      <c r="B6446" s="171">
        <v>-1874.8651705807783</v>
      </c>
    </row>
    <row r="6447" spans="2:2" ht="15.6">
      <c r="B6447" s="171">
        <v>-676.28907117866322</v>
      </c>
    </row>
    <row r="6448" spans="2:2" ht="15.6">
      <c r="B6448" s="171">
        <v>-884.67772064310384</v>
      </c>
    </row>
    <row r="6449" spans="2:2" ht="15.6">
      <c r="B6449" s="171">
        <v>-1198.6669111445224</v>
      </c>
    </row>
    <row r="6450" spans="2:2" ht="15.6">
      <c r="B6450" s="171">
        <v>-1640.25339544027</v>
      </c>
    </row>
    <row r="6451" spans="2:2" ht="15.6">
      <c r="B6451" s="171">
        <v>-1716.9632070569132</v>
      </c>
    </row>
    <row r="6452" spans="2:2" ht="15.6">
      <c r="B6452" s="171">
        <v>-1304.2644642518749</v>
      </c>
    </row>
    <row r="6453" spans="2:2" ht="15.6">
      <c r="B6453" s="171">
        <v>-1953.5274775470207</v>
      </c>
    </row>
    <row r="6454" spans="2:2" ht="15.6">
      <c r="B6454" s="171">
        <v>-2171.7680896078446</v>
      </c>
    </row>
    <row r="6455" spans="2:2" ht="15.6">
      <c r="B6455" s="171">
        <v>-2177.7128216030014</v>
      </c>
    </row>
    <row r="6456" spans="2:2" ht="15.6">
      <c r="B6456" s="171">
        <v>-1782.345522366094</v>
      </c>
    </row>
    <row r="6457" spans="2:2" ht="15.6">
      <c r="B6457" s="171">
        <v>-2226.280339380663</v>
      </c>
    </row>
    <row r="6458" spans="2:2" ht="15.6">
      <c r="B6458" s="171">
        <v>-1825.6276410824894</v>
      </c>
    </row>
    <row r="6459" spans="2:2" ht="15.6">
      <c r="B6459" s="171">
        <v>-1032.1000045957364</v>
      </c>
    </row>
    <row r="6460" spans="2:2" ht="15.6">
      <c r="B6460" s="171">
        <v>-1150.5756233951274</v>
      </c>
    </row>
    <row r="6461" spans="2:2" ht="15.6">
      <c r="B6461" s="171">
        <v>-1305.0974702171557</v>
      </c>
    </row>
    <row r="6462" spans="2:2" ht="15.6">
      <c r="B6462" s="171">
        <v>-1892.7778789058179</v>
      </c>
    </row>
    <row r="6463" spans="2:2" ht="15.6">
      <c r="B6463" s="171">
        <v>-1346.8782644182497</v>
      </c>
    </row>
    <row r="6464" spans="2:2" ht="15.6">
      <c r="B6464" s="171">
        <v>-1612.052226089151</v>
      </c>
    </row>
    <row r="6465" spans="2:2" ht="15.6">
      <c r="B6465" s="171">
        <v>-1799.9741636181707</v>
      </c>
    </row>
    <row r="6466" spans="2:2" ht="15.6">
      <c r="B6466" s="171">
        <v>-1295.0293615650305</v>
      </c>
    </row>
    <row r="6467" spans="2:2" ht="15.6">
      <c r="B6467" s="171">
        <v>-1571.8359917070677</v>
      </c>
    </row>
    <row r="6468" spans="2:2" ht="15.6">
      <c r="B6468" s="171">
        <v>-1937.6705315715064</v>
      </c>
    </row>
    <row r="6469" spans="2:2" ht="15.6">
      <c r="B6469" s="171">
        <v>-2113.0742957342177</v>
      </c>
    </row>
    <row r="6470" spans="2:2" ht="15.6">
      <c r="B6470" s="171">
        <v>-1670.3980312836711</v>
      </c>
    </row>
    <row r="6471" spans="2:2" ht="15.6">
      <c r="B6471" s="171">
        <v>-1513.0951404969178</v>
      </c>
    </row>
    <row r="6472" spans="2:2" ht="15.6">
      <c r="B6472" s="171">
        <v>-1032.1871352758462</v>
      </c>
    </row>
    <row r="6473" spans="2:2" ht="15.6">
      <c r="B6473" s="171">
        <v>-1421.211993797293</v>
      </c>
    </row>
    <row r="6474" spans="2:2" ht="15.6">
      <c r="B6474" s="171">
        <v>-1459.691279413732</v>
      </c>
    </row>
    <row r="6475" spans="2:2" ht="15.6">
      <c r="B6475" s="171">
        <v>-1638.9473366917632</v>
      </c>
    </row>
    <row r="6476" spans="2:2" ht="15.6">
      <c r="B6476" s="171">
        <v>-1639.6568938666505</v>
      </c>
    </row>
    <row r="6477" spans="2:2" ht="15.6">
      <c r="B6477" s="171">
        <v>-1686.29768250391</v>
      </c>
    </row>
    <row r="6478" spans="2:2" ht="15.6">
      <c r="B6478" s="171">
        <v>-1868.8948526295871</v>
      </c>
    </row>
    <row r="6479" spans="2:2" ht="15.6">
      <c r="B6479" s="171">
        <v>-1961.0798511672765</v>
      </c>
    </row>
    <row r="6480" spans="2:2" ht="15.6">
      <c r="B6480" s="171">
        <v>-1394.49838681034</v>
      </c>
    </row>
    <row r="6481" spans="2:2" ht="15.6">
      <c r="B6481" s="171">
        <v>-1798.1568055121459</v>
      </c>
    </row>
    <row r="6482" spans="2:2" ht="15.6">
      <c r="B6482" s="171">
        <v>-1347.4578512812593</v>
      </c>
    </row>
    <row r="6483" spans="2:2" ht="15.6">
      <c r="B6483" s="171">
        <v>-2404.3043666427006</v>
      </c>
    </row>
    <row r="6484" spans="2:2" ht="15.6">
      <c r="B6484" s="171">
        <v>-1099.2270283476541</v>
      </c>
    </row>
    <row r="6485" spans="2:2" ht="15.6">
      <c r="B6485" s="171">
        <v>-744.55527172635891</v>
      </c>
    </row>
    <row r="6486" spans="2:2" ht="15.6">
      <c r="B6486" s="171">
        <v>-1478.4435896885857</v>
      </c>
    </row>
    <row r="6487" spans="2:2" ht="15.6">
      <c r="B6487" s="171">
        <v>-1966.9827027614097</v>
      </c>
    </row>
    <row r="6488" spans="2:2" ht="15.6">
      <c r="B6488" s="171">
        <v>-1762.8652210158625</v>
      </c>
    </row>
    <row r="6489" spans="2:2" ht="15.6">
      <c r="B6489" s="171">
        <v>-1629.721196766734</v>
      </c>
    </row>
    <row r="6490" spans="2:2" ht="15.6">
      <c r="B6490" s="171">
        <v>-1631.1372459742165</v>
      </c>
    </row>
    <row r="6491" spans="2:2" ht="15.6">
      <c r="B6491" s="171">
        <v>-1854.2085825266415</v>
      </c>
    </row>
    <row r="6492" spans="2:2" ht="15.6">
      <c r="B6492" s="171">
        <v>-1677.3150395895079</v>
      </c>
    </row>
    <row r="6493" spans="2:2" ht="15.6">
      <c r="B6493" s="171">
        <v>-1808.2066393733114</v>
      </c>
    </row>
    <row r="6494" spans="2:2" ht="15.6">
      <c r="B6494" s="171">
        <v>-1118.1675361777166</v>
      </c>
    </row>
    <row r="6495" spans="2:2" ht="15.6">
      <c r="B6495" s="171">
        <v>-1693.2490002162065</v>
      </c>
    </row>
    <row r="6496" spans="2:2" ht="15.6">
      <c r="B6496" s="171">
        <v>-1551.3909193218135</v>
      </c>
    </row>
    <row r="6497" spans="2:2" ht="15.6">
      <c r="B6497" s="171">
        <v>-1926.6085501735308</v>
      </c>
    </row>
    <row r="6498" spans="2:2" ht="15.6">
      <c r="B6498" s="171">
        <v>-1762.2521920232539</v>
      </c>
    </row>
    <row r="6499" spans="2:2" ht="15.6">
      <c r="B6499" s="171">
        <v>-1412.0506418824684</v>
      </c>
    </row>
    <row r="6500" spans="2:2" ht="15.6">
      <c r="B6500" s="171">
        <v>-1352.6384971457444</v>
      </c>
    </row>
    <row r="6501" spans="2:2" ht="15.6">
      <c r="B6501" s="171">
        <v>-1491.4541876492615</v>
      </c>
    </row>
    <row r="6502" spans="2:2" ht="15.6">
      <c r="B6502" s="171">
        <v>-750.68326124079988</v>
      </c>
    </row>
    <row r="6503" spans="2:2" ht="15.6">
      <c r="B6503" s="171">
        <v>-1705.7728917752681</v>
      </c>
    </row>
    <row r="6504" spans="2:2" ht="15.6">
      <c r="B6504" s="171">
        <v>-1488.2914077323392</v>
      </c>
    </row>
    <row r="6505" spans="2:2" ht="15.6">
      <c r="B6505" s="171">
        <v>-1261.0080197536934</v>
      </c>
    </row>
    <row r="6506" spans="2:2" ht="15.6">
      <c r="B6506" s="171">
        <v>-1275.8889214566457</v>
      </c>
    </row>
    <row r="6507" spans="2:2" ht="15.6">
      <c r="B6507" s="171">
        <v>-2240.4283169303571</v>
      </c>
    </row>
    <row r="6508" spans="2:2" ht="15.6">
      <c r="B6508" s="171">
        <v>-1291.6490420639075</v>
      </c>
    </row>
    <row r="6509" spans="2:2" ht="15.6">
      <c r="B6509" s="171">
        <v>-1387.7253258781866</v>
      </c>
    </row>
    <row r="6510" spans="2:2" ht="15.6">
      <c r="B6510" s="171">
        <v>-1708.0242085025188</v>
      </c>
    </row>
    <row r="6511" spans="2:2" ht="15.6">
      <c r="B6511" s="171">
        <v>-642.82453245906231</v>
      </c>
    </row>
    <row r="6512" spans="2:2" ht="15.6">
      <c r="B6512" s="171">
        <v>-913.05611928629742</v>
      </c>
    </row>
    <row r="6513" spans="2:2" ht="15.6">
      <c r="B6513" s="171">
        <v>-1906.0248628514246</v>
      </c>
    </row>
    <row r="6514" spans="2:2" ht="15.6">
      <c r="B6514" s="171">
        <v>-916.43459666658509</v>
      </c>
    </row>
    <row r="6515" spans="2:2" ht="15.6">
      <c r="B6515" s="171">
        <v>-1450.5537647666247</v>
      </c>
    </row>
    <row r="6516" spans="2:2" ht="15.6">
      <c r="B6516" s="171">
        <v>-1626.4051809166101</v>
      </c>
    </row>
    <row r="6517" spans="2:2" ht="15.6">
      <c r="B6517" s="171">
        <v>-1787.0928748692224</v>
      </c>
    </row>
    <row r="6518" spans="2:2" ht="15.6">
      <c r="B6518" s="171">
        <v>-1198.3928933853931</v>
      </c>
    </row>
    <row r="6519" spans="2:2" ht="15.6">
      <c r="B6519" s="171">
        <v>-1545.8214570450205</v>
      </c>
    </row>
    <row r="6520" spans="2:2" ht="15.6">
      <c r="B6520" s="171">
        <v>-1167.5385517110903</v>
      </c>
    </row>
    <row r="6521" spans="2:2" ht="15.6">
      <c r="B6521" s="171">
        <v>-1672.3170525059518</v>
      </c>
    </row>
    <row r="6522" spans="2:2" ht="15.6">
      <c r="B6522" s="171">
        <v>-1644.8737661905623</v>
      </c>
    </row>
    <row r="6523" spans="2:2" ht="15.6">
      <c r="B6523" s="171">
        <v>-1608.3935125970029</v>
      </c>
    </row>
    <row r="6524" spans="2:2" ht="15.6">
      <c r="B6524" s="171">
        <v>-1362.0053485498329</v>
      </c>
    </row>
    <row r="6525" spans="2:2" ht="15.6">
      <c r="B6525" s="171">
        <v>-1944.7480764135394</v>
      </c>
    </row>
    <row r="6526" spans="2:2" ht="15.6">
      <c r="B6526" s="171">
        <v>-1602.8248401114863</v>
      </c>
    </row>
    <row r="6527" spans="2:2" ht="15.6">
      <c r="B6527" s="171">
        <v>-1756.7373241469197</v>
      </c>
    </row>
    <row r="6528" spans="2:2" ht="15.6">
      <c r="B6528" s="171">
        <v>-1158.9237204566141</v>
      </c>
    </row>
    <row r="6529" spans="2:2" ht="15.6">
      <c r="B6529" s="171">
        <v>-1349.3390970269652</v>
      </c>
    </row>
    <row r="6530" spans="2:2" ht="15.6">
      <c r="B6530" s="171">
        <v>-1521.2547678978467</v>
      </c>
    </row>
    <row r="6531" spans="2:2" ht="15.6">
      <c r="B6531" s="171">
        <v>-1021.4662654166809</v>
      </c>
    </row>
    <row r="6532" spans="2:2" ht="15.6">
      <c r="B6532" s="171">
        <v>-1457.1034076560113</v>
      </c>
    </row>
    <row r="6533" spans="2:2" ht="15.6">
      <c r="B6533" s="171">
        <v>-1369.9664139577449</v>
      </c>
    </row>
    <row r="6534" spans="2:2" ht="15.6">
      <c r="B6534" s="171">
        <v>-1731.8300066975005</v>
      </c>
    </row>
    <row r="6535" spans="2:2" ht="15.6">
      <c r="B6535" s="171">
        <v>-1780.0366783654993</v>
      </c>
    </row>
    <row r="6536" spans="2:2" ht="15.6">
      <c r="B6536" s="171">
        <v>-1772.5250290708111</v>
      </c>
    </row>
    <row r="6537" spans="2:2" ht="15.6">
      <c r="B6537" s="171">
        <v>-1828.2682397036633</v>
      </c>
    </row>
    <row r="6538" spans="2:2" ht="15.6">
      <c r="B6538" s="171">
        <v>-1325.6932727054077</v>
      </c>
    </row>
    <row r="6539" spans="2:2" ht="15.6">
      <c r="B6539" s="171">
        <v>-1416.5167499038598</v>
      </c>
    </row>
    <row r="6540" spans="2:2" ht="15.6">
      <c r="B6540" s="171">
        <v>-1687.3603109856772</v>
      </c>
    </row>
    <row r="6541" spans="2:2" ht="15.6">
      <c r="B6541" s="171">
        <v>-1769.114868276893</v>
      </c>
    </row>
    <row r="6542" spans="2:2" ht="15.6">
      <c r="B6542" s="171">
        <v>-2202.3663595333173</v>
      </c>
    </row>
    <row r="6543" spans="2:2" ht="15.6">
      <c r="B6543" s="171">
        <v>-2046.1534627985982</v>
      </c>
    </row>
    <row r="6544" spans="2:2" ht="15.6">
      <c r="B6544" s="171">
        <v>-1194.972010059158</v>
      </c>
    </row>
    <row r="6545" spans="2:2" ht="15.6">
      <c r="B6545" s="171">
        <v>-1065.4369601155781</v>
      </c>
    </row>
    <row r="6546" spans="2:2" ht="15.6">
      <c r="B6546" s="171">
        <v>-1911.6090954415331</v>
      </c>
    </row>
    <row r="6547" spans="2:2" ht="15.6">
      <c r="B6547" s="171">
        <v>-1156.160524183633</v>
      </c>
    </row>
    <row r="6548" spans="2:2" ht="15.6">
      <c r="B6548" s="171">
        <v>-1744.117135028903</v>
      </c>
    </row>
    <row r="6549" spans="2:2" ht="15.6">
      <c r="B6549" s="171">
        <v>-1741.2355892221244</v>
      </c>
    </row>
    <row r="6550" spans="2:2" ht="15.6">
      <c r="B6550" s="171">
        <v>-1464.7998530880805</v>
      </c>
    </row>
    <row r="6551" spans="2:2" ht="15.6">
      <c r="B6551" s="171">
        <v>-1358.9770361246003</v>
      </c>
    </row>
    <row r="6552" spans="2:2" ht="15.6">
      <c r="B6552" s="171">
        <v>-1586.8010629821649</v>
      </c>
    </row>
    <row r="6553" spans="2:2" ht="15.6">
      <c r="B6553" s="171">
        <v>-1594.4560910925877</v>
      </c>
    </row>
    <row r="6554" spans="2:2" ht="15.6">
      <c r="B6554" s="171">
        <v>-1846.7546606093265</v>
      </c>
    </row>
    <row r="6555" spans="2:2" ht="15.6">
      <c r="B6555" s="171">
        <v>-2537.9285400264985</v>
      </c>
    </row>
    <row r="6556" spans="2:2" ht="15.6">
      <c r="B6556" s="171">
        <v>-852.11098798428861</v>
      </c>
    </row>
    <row r="6557" spans="2:2" ht="15.6">
      <c r="B6557" s="171">
        <v>-1818.3171576172033</v>
      </c>
    </row>
    <row r="6558" spans="2:2" ht="15.6">
      <c r="B6558" s="171">
        <v>-1348.9379958316695</v>
      </c>
    </row>
    <row r="6559" spans="2:2" ht="15.6">
      <c r="B6559" s="171">
        <v>-2084.8808766568409</v>
      </c>
    </row>
    <row r="6560" spans="2:2" ht="15.6">
      <c r="B6560" s="171">
        <v>-1368.9143827318451</v>
      </c>
    </row>
    <row r="6561" spans="2:2" ht="15.6">
      <c r="B6561" s="171">
        <v>-1662.3815963458405</v>
      </c>
    </row>
    <row r="6562" spans="2:2" ht="15.6">
      <c r="B6562" s="171">
        <v>-2052.2812641959531</v>
      </c>
    </row>
    <row r="6563" spans="2:2" ht="15.6">
      <c r="B6563" s="171">
        <v>-2303.0605481710145</v>
      </c>
    </row>
    <row r="6564" spans="2:2" ht="15.6">
      <c r="B6564" s="171">
        <v>-1235.7925762236814</v>
      </c>
    </row>
    <row r="6565" spans="2:2" ht="15.6">
      <c r="B6565" s="171">
        <v>-2022.2598059723232</v>
      </c>
    </row>
    <row r="6566" spans="2:2" ht="15.6">
      <c r="B6566" s="171">
        <v>-1436.4178089953575</v>
      </c>
    </row>
    <row r="6567" spans="2:2" ht="15.6">
      <c r="B6567" s="171">
        <v>-1219.2475052993332</v>
      </c>
    </row>
    <row r="6568" spans="2:2" ht="15.6">
      <c r="B6568" s="171">
        <v>-1172.941906706001</v>
      </c>
    </row>
    <row r="6569" spans="2:2" ht="15.6">
      <c r="B6569" s="171">
        <v>-1473.0770153857259</v>
      </c>
    </row>
    <row r="6570" spans="2:2" ht="15.6">
      <c r="B6570" s="171">
        <v>-1451.5096476100289</v>
      </c>
    </row>
    <row r="6571" spans="2:2" ht="15.6">
      <c r="B6571" s="171">
        <v>-1817.1834689243087</v>
      </c>
    </row>
    <row r="6572" spans="2:2" ht="15.6">
      <c r="B6572" s="171">
        <v>-1227.6452327182465</v>
      </c>
    </row>
    <row r="6573" spans="2:2" ht="15.6">
      <c r="B6573" s="171">
        <v>-2275.185015565195</v>
      </c>
    </row>
    <row r="6574" spans="2:2" ht="15.6">
      <c r="B6574" s="171">
        <v>-1798.6938630093596</v>
      </c>
    </row>
    <row r="6575" spans="2:2" ht="15.6">
      <c r="B6575" s="171">
        <v>-1667.2457654415405</v>
      </c>
    </row>
    <row r="6576" spans="2:2" ht="15.6">
      <c r="B6576" s="171">
        <v>-1961.6273759270275</v>
      </c>
    </row>
    <row r="6577" spans="2:2" ht="15.6">
      <c r="B6577" s="171">
        <v>-1537.9154607506689</v>
      </c>
    </row>
    <row r="6578" spans="2:2" ht="15.6">
      <c r="B6578" s="171">
        <v>-1726.771470827993</v>
      </c>
    </row>
    <row r="6579" spans="2:2" ht="15.6">
      <c r="B6579" s="171">
        <v>-1513.5534217031782</v>
      </c>
    </row>
    <row r="6580" spans="2:2" ht="15.6">
      <c r="B6580" s="171">
        <v>-1423.033024607877</v>
      </c>
    </row>
    <row r="6581" spans="2:2" ht="15.6">
      <c r="B6581" s="171">
        <v>-988.9655228326759</v>
      </c>
    </row>
    <row r="6582" spans="2:2" ht="15.6">
      <c r="B6582" s="171">
        <v>-1684.1700115665915</v>
      </c>
    </row>
    <row r="6583" spans="2:2" ht="15.6">
      <c r="B6583" s="171">
        <v>-1706.8745515646374</v>
      </c>
    </row>
    <row r="6584" spans="2:2" ht="15.6">
      <c r="B6584" s="171">
        <v>-1342.4198316132772</v>
      </c>
    </row>
    <row r="6585" spans="2:2" ht="15.6">
      <c r="B6585" s="171">
        <v>-1168.586122830136</v>
      </c>
    </row>
    <row r="6586" spans="2:2" ht="15.6">
      <c r="B6586" s="171">
        <v>-2052.6768115179648</v>
      </c>
    </row>
    <row r="6587" spans="2:2" ht="15.6">
      <c r="B6587" s="171">
        <v>-1667.2546573971661</v>
      </c>
    </row>
    <row r="6588" spans="2:2" ht="15.6">
      <c r="B6588" s="171">
        <v>-1319.1970449651546</v>
      </c>
    </row>
    <row r="6589" spans="2:2" ht="15.6">
      <c r="B6589" s="171">
        <v>-1914.0975582441831</v>
      </c>
    </row>
    <row r="6590" spans="2:2" ht="15.6">
      <c r="B6590" s="171">
        <v>-2428.1924409976946</v>
      </c>
    </row>
    <row r="6591" spans="2:2" ht="15.6">
      <c r="B6591" s="171">
        <v>-1728.805384143463</v>
      </c>
    </row>
    <row r="6592" spans="2:2" ht="15.6">
      <c r="B6592" s="171">
        <v>-1478.5089178649246</v>
      </c>
    </row>
    <row r="6593" spans="2:2" ht="15.6">
      <c r="B6593" s="171">
        <v>-1037.1664368018144</v>
      </c>
    </row>
    <row r="6594" spans="2:2" ht="15.6">
      <c r="B6594" s="171">
        <v>-1491.0975270746394</v>
      </c>
    </row>
    <row r="6595" spans="2:2" ht="15.6">
      <c r="B6595" s="171">
        <v>-1906.4360646180912</v>
      </c>
    </row>
    <row r="6596" spans="2:2" ht="15.6">
      <c r="B6596" s="171">
        <v>-1549.6811005961649</v>
      </c>
    </row>
    <row r="6597" spans="2:2" ht="15.6">
      <c r="B6597" s="171">
        <v>-1524.0064148367746</v>
      </c>
    </row>
    <row r="6598" spans="2:2" ht="15.6">
      <c r="B6598" s="171">
        <v>-1267.4021973390547</v>
      </c>
    </row>
    <row r="6599" spans="2:2" ht="15.6">
      <c r="B6599" s="171">
        <v>-1842.9935186850601</v>
      </c>
    </row>
    <row r="6600" spans="2:2" ht="15.6">
      <c r="B6600" s="171">
        <v>-1254.1720137845398</v>
      </c>
    </row>
    <row r="6601" spans="2:2" ht="15.6">
      <c r="B6601" s="171">
        <v>-923.24827690032862</v>
      </c>
    </row>
    <row r="6602" spans="2:2" ht="15.6">
      <c r="B6602" s="171">
        <v>-1470.8022909113424</v>
      </c>
    </row>
    <row r="6603" spans="2:2" ht="15.6">
      <c r="B6603" s="171">
        <v>-1118.9879479565939</v>
      </c>
    </row>
    <row r="6604" spans="2:2" ht="15.6">
      <c r="B6604" s="171">
        <v>-1253.4691098468825</v>
      </c>
    </row>
    <row r="6605" spans="2:2" ht="15.6">
      <c r="B6605" s="171">
        <v>-1476.5748666133602</v>
      </c>
    </row>
    <row r="6606" spans="2:2" ht="15.6">
      <c r="B6606" s="171">
        <v>-1443.3900845539088</v>
      </c>
    </row>
    <row r="6607" spans="2:2" ht="15.6">
      <c r="B6607" s="171">
        <v>-1469.3426716638003</v>
      </c>
    </row>
    <row r="6608" spans="2:2" ht="15.6">
      <c r="B6608" s="171">
        <v>-1472.9805764028893</v>
      </c>
    </row>
    <row r="6609" spans="2:2" ht="15.6">
      <c r="B6609" s="171">
        <v>-1820.9700909392218</v>
      </c>
    </row>
    <row r="6610" spans="2:2" ht="15.6">
      <c r="B6610" s="171">
        <v>-1283.8459660244228</v>
      </c>
    </row>
    <row r="6611" spans="2:2" ht="15.6">
      <c r="B6611" s="171">
        <v>-1388.0676350769672</v>
      </c>
    </row>
    <row r="6612" spans="2:2" ht="15.6">
      <c r="B6612" s="171">
        <v>-1589.1540196669191</v>
      </c>
    </row>
    <row r="6613" spans="2:2" ht="15.6">
      <c r="B6613" s="171">
        <v>-1310.2290000002179</v>
      </c>
    </row>
    <row r="6614" spans="2:2" ht="15.6">
      <c r="B6614" s="171">
        <v>-1709.3680562094903</v>
      </c>
    </row>
    <row r="6615" spans="2:2" ht="15.6">
      <c r="B6615" s="171">
        <v>-1677.9067029140977</v>
      </c>
    </row>
    <row r="6616" spans="2:2" ht="15.6">
      <c r="B6616" s="171">
        <v>-1399.0545605583397</v>
      </c>
    </row>
    <row r="6617" spans="2:2" ht="15.6">
      <c r="B6617" s="171">
        <v>-1443.5510467029162</v>
      </c>
    </row>
    <row r="6618" spans="2:2" ht="15.6">
      <c r="B6618" s="171">
        <v>-1960.3150005895709</v>
      </c>
    </row>
    <row r="6619" spans="2:2" ht="15.6">
      <c r="B6619" s="171">
        <v>-1644.3943116228152</v>
      </c>
    </row>
    <row r="6620" spans="2:2" ht="15.6">
      <c r="B6620" s="171">
        <v>-1625.6312461167565</v>
      </c>
    </row>
    <row r="6621" spans="2:2" ht="15.6">
      <c r="B6621" s="171">
        <v>-1770.2739441493914</v>
      </c>
    </row>
    <row r="6622" spans="2:2" ht="15.6">
      <c r="B6622" s="171">
        <v>-2203.7041357904764</v>
      </c>
    </row>
    <row r="6623" spans="2:2" ht="15.6">
      <c r="B6623" s="171">
        <v>-2019.7601336446905</v>
      </c>
    </row>
    <row r="6624" spans="2:2" ht="15.6">
      <c r="B6624" s="171">
        <v>-1757.0014252861818</v>
      </c>
    </row>
    <row r="6625" spans="2:2" ht="15.6">
      <c r="B6625" s="171">
        <v>-1671.3862193604423</v>
      </c>
    </row>
    <row r="6626" spans="2:2" ht="15.6">
      <c r="B6626" s="171">
        <v>-803.13913444334037</v>
      </c>
    </row>
    <row r="6627" spans="2:2" ht="15.6">
      <c r="B6627" s="171">
        <v>-2512.4936266474861</v>
      </c>
    </row>
    <row r="6628" spans="2:2" ht="15.6">
      <c r="B6628" s="171">
        <v>-2464.5744548898838</v>
      </c>
    </row>
    <row r="6629" spans="2:2" ht="15.6">
      <c r="B6629" s="171">
        <v>-1179.0071594442413</v>
      </c>
    </row>
    <row r="6630" spans="2:2" ht="15.6">
      <c r="B6630" s="171">
        <v>-2168.0941363215697</v>
      </c>
    </row>
    <row r="6631" spans="2:2" ht="15.6">
      <c r="B6631" s="171">
        <v>-2088.2970245088991</v>
      </c>
    </row>
    <row r="6632" spans="2:2" ht="15.6">
      <c r="B6632" s="171">
        <v>-1455.729237317059</v>
      </c>
    </row>
    <row r="6633" spans="2:2" ht="15.6">
      <c r="B6633" s="171">
        <v>-1519.9805792377504</v>
      </c>
    </row>
    <row r="6634" spans="2:2" ht="15.6">
      <c r="B6634" s="171">
        <v>-2344.8081667021365</v>
      </c>
    </row>
    <row r="6635" spans="2:2" ht="15.6">
      <c r="B6635" s="171">
        <v>-1913.3356659483215</v>
      </c>
    </row>
    <row r="6636" spans="2:2" ht="15.6">
      <c r="B6636" s="171">
        <v>-1268.3614678303984</v>
      </c>
    </row>
    <row r="6637" spans="2:2" ht="15.6">
      <c r="B6637" s="171">
        <v>-1158.1909150732358</v>
      </c>
    </row>
    <row r="6638" spans="2:2" ht="15.6">
      <c r="B6638" s="171">
        <v>-1156.8401582882088</v>
      </c>
    </row>
    <row r="6639" spans="2:2" ht="15.6">
      <c r="B6639" s="171">
        <v>-1565.8121662485637</v>
      </c>
    </row>
    <row r="6640" spans="2:2" ht="15.6">
      <c r="B6640" s="171">
        <v>-1460.8295466926054</v>
      </c>
    </row>
    <row r="6641" spans="2:2" ht="15.6">
      <c r="B6641" s="171">
        <v>-1847.2866173099615</v>
      </c>
    </row>
    <row r="6642" spans="2:2" ht="15.6">
      <c r="B6642" s="171">
        <v>-1615.6098703580828</v>
      </c>
    </row>
    <row r="6643" spans="2:2" ht="15.6">
      <c r="B6643" s="171">
        <v>-1709.8107006262774</v>
      </c>
    </row>
    <row r="6644" spans="2:2" ht="15.6">
      <c r="B6644" s="171">
        <v>-2182.2816491758567</v>
      </c>
    </row>
    <row r="6645" spans="2:2" ht="15.6">
      <c r="B6645" s="171">
        <v>-1351.5893603759891</v>
      </c>
    </row>
    <row r="6646" spans="2:2" ht="15.6">
      <c r="B6646" s="171">
        <v>-1459.1863686929401</v>
      </c>
    </row>
    <row r="6647" spans="2:2" ht="15.6">
      <c r="B6647" s="171">
        <v>-1532.6032965831562</v>
      </c>
    </row>
    <row r="6648" spans="2:2" ht="15.6">
      <c r="B6648" s="171">
        <v>-2468.1428354222089</v>
      </c>
    </row>
    <row r="6649" spans="2:2" ht="15.6">
      <c r="B6649" s="171">
        <v>-1677.4989464387481</v>
      </c>
    </row>
    <row r="6650" spans="2:2" ht="15.6">
      <c r="B6650" s="171">
        <v>-1271.346482857891</v>
      </c>
    </row>
    <row r="6651" spans="2:2" ht="15.6">
      <c r="B6651" s="171">
        <v>-1108.6434584699095</v>
      </c>
    </row>
    <row r="6652" spans="2:2" ht="15.6">
      <c r="B6652" s="171">
        <v>-1860.8830318718449</v>
      </c>
    </row>
    <row r="6653" spans="2:2" ht="15.6">
      <c r="B6653" s="171">
        <v>-1364.0626502421028</v>
      </c>
    </row>
    <row r="6654" spans="2:2" ht="15.6">
      <c r="B6654" s="171">
        <v>-1505.7473028124195</v>
      </c>
    </row>
    <row r="6655" spans="2:2" ht="15.6">
      <c r="B6655" s="171">
        <v>-2502.7862663186806</v>
      </c>
    </row>
    <row r="6656" spans="2:2" ht="15.6">
      <c r="B6656" s="171">
        <v>-894.36366167622771</v>
      </c>
    </row>
    <row r="6657" spans="2:2" ht="15.6">
      <c r="B6657" s="171">
        <v>-1853.7999178634363</v>
      </c>
    </row>
    <row r="6658" spans="2:2" ht="15.6">
      <c r="B6658" s="171">
        <v>-1147.93928994761</v>
      </c>
    </row>
    <row r="6659" spans="2:2" ht="15.6">
      <c r="B6659" s="171">
        <v>-1600.9851786870154</v>
      </c>
    </row>
    <row r="6660" spans="2:2" ht="15.6">
      <c r="B6660" s="171">
        <v>-1443.2385167448415</v>
      </c>
    </row>
    <row r="6661" spans="2:2" ht="15.6">
      <c r="B6661" s="171">
        <v>-1794.1502175847927</v>
      </c>
    </row>
    <row r="6662" spans="2:2" ht="15.6">
      <c r="B6662" s="171">
        <v>-1893.3345105087164</v>
      </c>
    </row>
    <row r="6663" spans="2:2" ht="15.6">
      <c r="B6663" s="171">
        <v>-1465.2572784854679</v>
      </c>
    </row>
    <row r="6664" spans="2:2" ht="15.6">
      <c r="B6664" s="171">
        <v>-725.71401765353494</v>
      </c>
    </row>
    <row r="6665" spans="2:2" ht="15.6">
      <c r="B6665" s="171">
        <v>-1852.6888130068596</v>
      </c>
    </row>
    <row r="6666" spans="2:2" ht="15.6">
      <c r="B6666" s="171">
        <v>-1373.3399602922079</v>
      </c>
    </row>
    <row r="6667" spans="2:2" ht="15.6">
      <c r="B6667" s="171">
        <v>-1603.2692781887665</v>
      </c>
    </row>
    <row r="6668" spans="2:2" ht="15.6">
      <c r="B6668" s="171">
        <v>-1353.4697789579291</v>
      </c>
    </row>
    <row r="6669" spans="2:2" ht="15.6">
      <c r="B6669" s="171">
        <v>-1583.9433744892904</v>
      </c>
    </row>
    <row r="6670" spans="2:2" ht="15.6">
      <c r="B6670" s="171">
        <v>-1585.8032617802558</v>
      </c>
    </row>
    <row r="6671" spans="2:2" ht="15.6">
      <c r="B6671" s="171">
        <v>-973.75283292491736</v>
      </c>
    </row>
    <row r="6672" spans="2:2" ht="15.6">
      <c r="B6672" s="171">
        <v>-2008.6283278479277</v>
      </c>
    </row>
    <row r="6673" spans="2:2" ht="15.6">
      <c r="B6673" s="171">
        <v>-1924.4370382954548</v>
      </c>
    </row>
    <row r="6674" spans="2:2" ht="15.6">
      <c r="B6674" s="171">
        <v>-737.73369304271239</v>
      </c>
    </row>
    <row r="6675" spans="2:2" ht="15.6">
      <c r="B6675" s="171">
        <v>-1616.0605548073806</v>
      </c>
    </row>
    <row r="6676" spans="2:2" ht="15.6">
      <c r="B6676" s="171">
        <v>-1359.1563278911706</v>
      </c>
    </row>
    <row r="6677" spans="2:2" ht="15.6">
      <c r="B6677" s="171">
        <v>-1805.5373095305663</v>
      </c>
    </row>
    <row r="6678" spans="2:2" ht="15.6">
      <c r="B6678" s="171">
        <v>-1773.0784070694524</v>
      </c>
    </row>
    <row r="6679" spans="2:2" ht="15.6">
      <c r="B6679" s="171">
        <v>-1272.149224241331</v>
      </c>
    </row>
    <row r="6680" spans="2:2" ht="15.6">
      <c r="B6680" s="171">
        <v>-1531.215843392298</v>
      </c>
    </row>
    <row r="6681" spans="2:2" ht="15.6">
      <c r="B6681" s="171">
        <v>-1715.9502118501596</v>
      </c>
    </row>
    <row r="6682" spans="2:2" ht="15.6">
      <c r="B6682" s="171">
        <v>-1127.8666831299222</v>
      </c>
    </row>
    <row r="6683" spans="2:2" ht="15.6">
      <c r="B6683" s="171">
        <v>-1008.3777897256209</v>
      </c>
    </row>
    <row r="6684" spans="2:2" ht="15.6">
      <c r="B6684" s="171">
        <v>-1369.677983466403</v>
      </c>
    </row>
    <row r="6685" spans="2:2" ht="15.6">
      <c r="B6685" s="171">
        <v>-1990.8640675597599</v>
      </c>
    </row>
    <row r="6686" spans="2:2" ht="15.6">
      <c r="B6686" s="171">
        <v>-1110.8382021074683</v>
      </c>
    </row>
    <row r="6687" spans="2:2" ht="15.6">
      <c r="B6687" s="171">
        <v>-1762.5512798968878</v>
      </c>
    </row>
    <row r="6688" spans="2:2" ht="15.6">
      <c r="B6688" s="171">
        <v>-2457.8458430346573</v>
      </c>
    </row>
    <row r="6689" spans="2:2" ht="15.6">
      <c r="B6689" s="171">
        <v>-1101.8449031595421</v>
      </c>
    </row>
    <row r="6690" spans="2:2" ht="15.6">
      <c r="B6690" s="171">
        <v>-797.71864918330164</v>
      </c>
    </row>
    <row r="6691" spans="2:2" ht="15.6">
      <c r="B6691" s="171">
        <v>-1497.492796444893</v>
      </c>
    </row>
    <row r="6692" spans="2:2" ht="15.6">
      <c r="B6692" s="171">
        <v>-1353.1963312672815</v>
      </c>
    </row>
    <row r="6693" spans="2:2" ht="15.6">
      <c r="B6693" s="171">
        <v>-1163.4264983403295</v>
      </c>
    </row>
    <row r="6694" spans="2:2" ht="15.6">
      <c r="B6694" s="171">
        <v>-1492.830569259505</v>
      </c>
    </row>
    <row r="6695" spans="2:2" ht="15.6">
      <c r="B6695" s="171">
        <v>-2121.524136033443</v>
      </c>
    </row>
    <row r="6696" spans="2:2" ht="15.6">
      <c r="B6696" s="171">
        <v>-1507.8383385799293</v>
      </c>
    </row>
    <row r="6697" spans="2:2" ht="15.6">
      <c r="B6697" s="171">
        <v>-1617.0362022083432</v>
      </c>
    </row>
    <row r="6698" spans="2:2" ht="15.6">
      <c r="B6698" s="171">
        <v>-1127.898824226023</v>
      </c>
    </row>
    <row r="6699" spans="2:2" ht="15.6">
      <c r="B6699" s="171">
        <v>-1514.8567732171305</v>
      </c>
    </row>
    <row r="6700" spans="2:2" ht="15.6">
      <c r="B6700" s="171">
        <v>-2694.6929975616385</v>
      </c>
    </row>
    <row r="6701" spans="2:2" ht="15.6">
      <c r="B6701" s="171">
        <v>-1582.703125696805</v>
      </c>
    </row>
    <row r="6702" spans="2:2" ht="15.6">
      <c r="B6702" s="171">
        <v>-1455.5790596133099</v>
      </c>
    </row>
    <row r="6703" spans="2:2" ht="15.6">
      <c r="B6703" s="171">
        <v>-1422.4799438215107</v>
      </c>
    </row>
    <row r="6704" spans="2:2" ht="15.6">
      <c r="B6704" s="171">
        <v>-1722.9925426510458</v>
      </c>
    </row>
    <row r="6705" spans="2:2" ht="15.6">
      <c r="B6705" s="171">
        <v>-1487.4121198320236</v>
      </c>
    </row>
    <row r="6706" spans="2:2" ht="15.6">
      <c r="B6706" s="171">
        <v>-2212.2449569349151</v>
      </c>
    </row>
    <row r="6707" spans="2:2" ht="15.6">
      <c r="B6707" s="171">
        <v>-1336.7055062658887</v>
      </c>
    </row>
    <row r="6708" spans="2:2" ht="15.6">
      <c r="B6708" s="171">
        <v>-1280.8273733703172</v>
      </c>
    </row>
    <row r="6709" spans="2:2" ht="15.6">
      <c r="B6709" s="171">
        <v>-1560.1104306234568</v>
      </c>
    </row>
    <row r="6710" spans="2:2" ht="15.6">
      <c r="B6710" s="171">
        <v>-1781.9539180595907</v>
      </c>
    </row>
    <row r="6711" spans="2:2" ht="15.6">
      <c r="B6711" s="171">
        <v>-1730.3542159453727</v>
      </c>
    </row>
    <row r="6712" spans="2:2" ht="15.6">
      <c r="B6712" s="171">
        <v>-1566.0277640562272</v>
      </c>
    </row>
    <row r="6713" spans="2:2" ht="15.6">
      <c r="B6713" s="171">
        <v>-1315.3479883751704</v>
      </c>
    </row>
    <row r="6714" spans="2:2" ht="15.6">
      <c r="B6714" s="171">
        <v>-1367.2492196125099</v>
      </c>
    </row>
    <row r="6715" spans="2:2" ht="15.6">
      <c r="B6715" s="171">
        <v>-1595.2450563256193</v>
      </c>
    </row>
    <row r="6716" spans="2:2" ht="15.6">
      <c r="B6716" s="171">
        <v>-1567.9413647342851</v>
      </c>
    </row>
    <row r="6717" spans="2:2" ht="15.6">
      <c r="B6717" s="171">
        <v>-1747.0094805266308</v>
      </c>
    </row>
    <row r="6718" spans="2:2" ht="15.6">
      <c r="B6718" s="171">
        <v>-1716.9486537058908</v>
      </c>
    </row>
    <row r="6719" spans="2:2" ht="15.6">
      <c r="B6719" s="171">
        <v>-2013.4331558206409</v>
      </c>
    </row>
    <row r="6720" spans="2:2" ht="15.6">
      <c r="B6720" s="171">
        <v>-1232.0889387673092</v>
      </c>
    </row>
    <row r="6721" spans="2:2" ht="15.6">
      <c r="B6721" s="171">
        <v>-2132.2422151347328</v>
      </c>
    </row>
    <row r="6722" spans="2:2" ht="15.6">
      <c r="B6722" s="171">
        <v>-2228.2831644045964</v>
      </c>
    </row>
    <row r="6723" spans="2:2" ht="15.6">
      <c r="B6723" s="171">
        <v>-1948.4554142140314</v>
      </c>
    </row>
    <row r="6724" spans="2:2" ht="15.6">
      <c r="B6724" s="171">
        <v>-2288.0477300481984</v>
      </c>
    </row>
    <row r="6725" spans="2:2" ht="15.6">
      <c r="B6725" s="171">
        <v>-1378.6564971492496</v>
      </c>
    </row>
    <row r="6726" spans="2:2" ht="15.6">
      <c r="B6726" s="171">
        <v>-1463.1463348037166</v>
      </c>
    </row>
    <row r="6727" spans="2:2" ht="15.6">
      <c r="B6727" s="171">
        <v>-1609.4358571637729</v>
      </c>
    </row>
    <row r="6728" spans="2:2" ht="15.6">
      <c r="B6728" s="171">
        <v>-2469.8305997315265</v>
      </c>
    </row>
    <row r="6729" spans="2:2" ht="15.6">
      <c r="B6729" s="171">
        <v>-885.54477709786863</v>
      </c>
    </row>
    <row r="6730" spans="2:2" ht="15.6">
      <c r="B6730" s="171">
        <v>-1666.6029211305015</v>
      </c>
    </row>
    <row r="6731" spans="2:2" ht="15.6">
      <c r="B6731" s="171">
        <v>-1304.3679992309844</v>
      </c>
    </row>
    <row r="6732" spans="2:2" ht="15.6">
      <c r="B6732" s="171">
        <v>-1102.4438883241228</v>
      </c>
    </row>
    <row r="6733" spans="2:2" ht="15.6">
      <c r="B6733" s="171">
        <v>-1229.4370654006518</v>
      </c>
    </row>
    <row r="6734" spans="2:2" ht="15.6">
      <c r="B6734" s="171">
        <v>-1408.294220555787</v>
      </c>
    </row>
    <row r="6735" spans="2:2" ht="15.6">
      <c r="B6735" s="171">
        <v>-1128.9111951567786</v>
      </c>
    </row>
    <row r="6736" spans="2:2" ht="15.6">
      <c r="B6736" s="171">
        <v>-1557.960440605832</v>
      </c>
    </row>
    <row r="6737" spans="2:2" ht="15.6">
      <c r="B6737" s="171">
        <v>-1532.9898622038111</v>
      </c>
    </row>
    <row r="6738" spans="2:2" ht="15.6">
      <c r="B6738" s="171">
        <v>-1032.0278985546279</v>
      </c>
    </row>
    <row r="6739" spans="2:2" ht="15.6">
      <c r="B6739" s="171">
        <v>-1448.4688370813162</v>
      </c>
    </row>
    <row r="6740" spans="2:2" ht="15.6">
      <c r="B6740" s="171">
        <v>-1891.2085737958257</v>
      </c>
    </row>
    <row r="6741" spans="2:2" ht="15.6">
      <c r="B6741" s="171">
        <v>-1591.109342186302</v>
      </c>
    </row>
    <row r="6742" spans="2:2" ht="15.6">
      <c r="B6742" s="171">
        <v>-1469.5712760463548</v>
      </c>
    </row>
    <row r="6743" spans="2:2" ht="15.6">
      <c r="B6743" s="171">
        <v>-2018.0509122151964</v>
      </c>
    </row>
    <row r="6744" spans="2:2" ht="15.6">
      <c r="B6744" s="171">
        <v>-1903.0850894059322</v>
      </c>
    </row>
    <row r="6745" spans="2:2" ht="15.6">
      <c r="B6745" s="171">
        <v>-1431.7031474446521</v>
      </c>
    </row>
    <row r="6746" spans="2:2" ht="15.6">
      <c r="B6746" s="171">
        <v>-1195.1002635663322</v>
      </c>
    </row>
    <row r="6747" spans="2:2" ht="15.6">
      <c r="B6747" s="171">
        <v>-1212.6455204000017</v>
      </c>
    </row>
    <row r="6748" spans="2:2" ht="15.6">
      <c r="B6748" s="171">
        <v>-1445.9661967306611</v>
      </c>
    </row>
    <row r="6749" spans="2:2" ht="15.6">
      <c r="B6749" s="171">
        <v>-1733.4448019857871</v>
      </c>
    </row>
    <row r="6750" spans="2:2" ht="15.6">
      <c r="B6750" s="171">
        <v>-1516.5559261157441</v>
      </c>
    </row>
    <row r="6751" spans="2:2" ht="15.6">
      <c r="B6751" s="171">
        <v>-2220.3323570333191</v>
      </c>
    </row>
    <row r="6752" spans="2:2" ht="15.6">
      <c r="B6752" s="171">
        <v>-1688.0709871225465</v>
      </c>
    </row>
    <row r="6753" spans="2:2" ht="15.6">
      <c r="B6753" s="171">
        <v>-1287.3721931886964</v>
      </c>
    </row>
    <row r="6754" spans="2:2" ht="15.6">
      <c r="B6754" s="171">
        <v>-2078.3837241506612</v>
      </c>
    </row>
    <row r="6755" spans="2:2" ht="15.6">
      <c r="B6755" s="171">
        <v>-1380.3247043621664</v>
      </c>
    </row>
    <row r="6756" spans="2:2" ht="15.6">
      <c r="B6756" s="171">
        <v>-1284.506042838402</v>
      </c>
    </row>
    <row r="6757" spans="2:2" ht="15.6">
      <c r="B6757" s="171">
        <v>-817.04725024089532</v>
      </c>
    </row>
    <row r="6758" spans="2:2" ht="15.6">
      <c r="B6758" s="171">
        <v>-1879.6070549756705</v>
      </c>
    </row>
    <row r="6759" spans="2:2" ht="15.6">
      <c r="B6759" s="171">
        <v>-1839.6282535844912</v>
      </c>
    </row>
    <row r="6760" spans="2:2" ht="15.6">
      <c r="B6760" s="171">
        <v>-1324.2087667145693</v>
      </c>
    </row>
    <row r="6761" spans="2:2" ht="15.6">
      <c r="B6761" s="171">
        <v>-1011.5802600848517</v>
      </c>
    </row>
    <row r="6762" spans="2:2" ht="15.6">
      <c r="B6762" s="171">
        <v>-1526.1946269712196</v>
      </c>
    </row>
    <row r="6763" spans="2:2" ht="15.6">
      <c r="B6763" s="171">
        <v>-1453.6482186405849</v>
      </c>
    </row>
    <row r="6764" spans="2:2" ht="15.6">
      <c r="B6764" s="171">
        <v>-1587.2432031836649</v>
      </c>
    </row>
    <row r="6765" spans="2:2" ht="15.6">
      <c r="B6765" s="171">
        <v>-1427.7481063249397</v>
      </c>
    </row>
    <row r="6766" spans="2:2" ht="15.6">
      <c r="B6766" s="171">
        <v>-1287.208714931596</v>
      </c>
    </row>
    <row r="6767" spans="2:2" ht="15.6">
      <c r="B6767" s="171">
        <v>-1257.1983294437618</v>
      </c>
    </row>
    <row r="6768" spans="2:2" ht="15.6">
      <c r="B6768" s="171">
        <v>-2415.0909697897532</v>
      </c>
    </row>
    <row r="6769" spans="2:2" ht="15.6">
      <c r="B6769" s="171">
        <v>-2099.5436079705496</v>
      </c>
    </row>
    <row r="6770" spans="2:2" ht="15.6">
      <c r="B6770" s="171">
        <v>-1745.7976037978799</v>
      </c>
    </row>
    <row r="6771" spans="2:2" ht="15.6">
      <c r="B6771" s="171">
        <v>-1603.8583665433571</v>
      </c>
    </row>
    <row r="6772" spans="2:2" ht="15.6">
      <c r="B6772" s="171">
        <v>-1903.3959879301979</v>
      </c>
    </row>
    <row r="6773" spans="2:2" ht="15.6">
      <c r="B6773" s="171">
        <v>-1128.3177664178418</v>
      </c>
    </row>
    <row r="6774" spans="2:2" ht="15.6">
      <c r="B6774" s="171">
        <v>-2164.6017405296789</v>
      </c>
    </row>
    <row r="6775" spans="2:2" ht="15.6">
      <c r="B6775" s="171">
        <v>-1875.3934401842562</v>
      </c>
    </row>
    <row r="6776" spans="2:2" ht="15.6">
      <c r="B6776" s="171">
        <v>-1465.3176925454754</v>
      </c>
    </row>
    <row r="6777" spans="2:2" ht="15.6">
      <c r="B6777" s="171">
        <v>-1454.1048047368738</v>
      </c>
    </row>
    <row r="6778" spans="2:2" ht="15.6">
      <c r="B6778" s="171">
        <v>-1516.1907278514366</v>
      </c>
    </row>
    <row r="6779" spans="2:2" ht="15.6">
      <c r="B6779" s="171">
        <v>-1192.8476594412446</v>
      </c>
    </row>
    <row r="6780" spans="2:2" ht="15.6">
      <c r="B6780" s="171">
        <v>-991.25167877444949</v>
      </c>
    </row>
    <row r="6781" spans="2:2" ht="15.6">
      <c r="B6781" s="171">
        <v>-1429.6588569028538</v>
      </c>
    </row>
    <row r="6782" spans="2:2" ht="15.6">
      <c r="B6782" s="171">
        <v>-1755.9943507203398</v>
      </c>
    </row>
    <row r="6783" spans="2:2" ht="15.6">
      <c r="B6783" s="171">
        <v>-1525.5314491197553</v>
      </c>
    </row>
    <row r="6784" spans="2:2" ht="15.6">
      <c r="B6784" s="171">
        <v>-1248.1107004912396</v>
      </c>
    </row>
    <row r="6785" spans="2:2" ht="15.6">
      <c r="B6785" s="171">
        <v>-1752.8468818165788</v>
      </c>
    </row>
    <row r="6786" spans="2:2" ht="15.6">
      <c r="B6786" s="171">
        <v>-2058.2629146758841</v>
      </c>
    </row>
    <row r="6787" spans="2:2" ht="15.6">
      <c r="B6787" s="171">
        <v>-1203.6083345657919</v>
      </c>
    </row>
    <row r="6788" spans="2:2" ht="15.6">
      <c r="B6788" s="171">
        <v>-1580.6747480234951</v>
      </c>
    </row>
    <row r="6789" spans="2:2" ht="15.6">
      <c r="B6789" s="171">
        <v>-1490.4891454959993</v>
      </c>
    </row>
    <row r="6790" spans="2:2" ht="15.6">
      <c r="B6790" s="171">
        <v>-1943.2386390746974</v>
      </c>
    </row>
    <row r="6791" spans="2:2" ht="15.6">
      <c r="B6791" s="171">
        <v>-1017.6218404347576</v>
      </c>
    </row>
    <row r="6792" spans="2:2" ht="15.6">
      <c r="B6792" s="171">
        <v>-1472.8595870283136</v>
      </c>
    </row>
    <row r="6793" spans="2:2" ht="15.6">
      <c r="B6793" s="171">
        <v>-1729.0022179067582</v>
      </c>
    </row>
    <row r="6794" spans="2:2" ht="15.6">
      <c r="B6794" s="171">
        <v>-2088.7997739713473</v>
      </c>
    </row>
    <row r="6795" spans="2:2" ht="15.6">
      <c r="B6795" s="171">
        <v>-1332.3977820967104</v>
      </c>
    </row>
    <row r="6796" spans="2:2" ht="15.6">
      <c r="B6796" s="171">
        <v>-1003.4886870600202</v>
      </c>
    </row>
    <row r="6797" spans="2:2" ht="15.6">
      <c r="B6797" s="171">
        <v>-1617.3994938567212</v>
      </c>
    </row>
    <row r="6798" spans="2:2" ht="15.6">
      <c r="B6798" s="171">
        <v>-2057.9720361026871</v>
      </c>
    </row>
    <row r="6799" spans="2:2" ht="15.6">
      <c r="B6799" s="171">
        <v>-1033.6523742996819</v>
      </c>
    </row>
    <row r="6800" spans="2:2" ht="15.6">
      <c r="B6800" s="171">
        <v>-2283.3386219066242</v>
      </c>
    </row>
    <row r="6801" spans="2:2" ht="15.6">
      <c r="B6801" s="171">
        <v>-1559.2132507934086</v>
      </c>
    </row>
    <row r="6802" spans="2:2" ht="15.6">
      <c r="B6802" s="171">
        <v>-1395.7041323595013</v>
      </c>
    </row>
    <row r="6803" spans="2:2" ht="15.6">
      <c r="B6803" s="171">
        <v>-1708.6043015005387</v>
      </c>
    </row>
    <row r="6804" spans="2:2" ht="15.6">
      <c r="B6804" s="171">
        <v>-2731.3276019677282</v>
      </c>
    </row>
    <row r="6805" spans="2:2" ht="15.6">
      <c r="B6805" s="171">
        <v>-1293.9999747929796</v>
      </c>
    </row>
    <row r="6806" spans="2:2" ht="15.6">
      <c r="B6806" s="171">
        <v>-2008.0190737897074</v>
      </c>
    </row>
    <row r="6807" spans="2:2" ht="15.6">
      <c r="B6807" s="171">
        <v>-1442.9435741362295</v>
      </c>
    </row>
    <row r="6808" spans="2:2" ht="15.6">
      <c r="B6808" s="171">
        <v>-2216.6723636757924</v>
      </c>
    </row>
    <row r="6809" spans="2:2" ht="15.6">
      <c r="B6809" s="171">
        <v>-1506.4666918119451</v>
      </c>
    </row>
    <row r="6810" spans="2:2" ht="15.6">
      <c r="B6810" s="171">
        <v>-1870.8510085099158</v>
      </c>
    </row>
    <row r="6811" spans="2:2" ht="15.6">
      <c r="B6811" s="171">
        <v>-1281.2764989295488</v>
      </c>
    </row>
    <row r="6812" spans="2:2" ht="15.6">
      <c r="B6812" s="171">
        <v>-2003.2518475373486</v>
      </c>
    </row>
    <row r="6813" spans="2:2" ht="15.6">
      <c r="B6813" s="171">
        <v>-1950.1183130477807</v>
      </c>
    </row>
    <row r="6814" spans="2:2" ht="15.6">
      <c r="B6814" s="171">
        <v>-1278.8244926155103</v>
      </c>
    </row>
    <row r="6815" spans="2:2" ht="15.6">
      <c r="B6815" s="171">
        <v>-1666.0612785957926</v>
      </c>
    </row>
    <row r="6816" spans="2:2" ht="15.6">
      <c r="B6816" s="171">
        <v>-2031.756669757176</v>
      </c>
    </row>
    <row r="6817" spans="2:2" ht="15.6">
      <c r="B6817" s="171">
        <v>-2386.0305340412342</v>
      </c>
    </row>
    <row r="6818" spans="2:2" ht="15.6">
      <c r="B6818" s="171">
        <v>-1691.5037628010591</v>
      </c>
    </row>
    <row r="6819" spans="2:2" ht="15.6">
      <c r="B6819" s="171">
        <v>-1707.5628258762695</v>
      </c>
    </row>
    <row r="6820" spans="2:2" ht="15.6">
      <c r="B6820" s="171">
        <v>-1898.9319678375973</v>
      </c>
    </row>
    <row r="6821" spans="2:2" ht="15.6">
      <c r="B6821" s="171">
        <v>-1135.9291323975831</v>
      </c>
    </row>
    <row r="6822" spans="2:2" ht="15.6">
      <c r="B6822" s="171">
        <v>-1518.1477753926174</v>
      </c>
    </row>
    <row r="6823" spans="2:2" ht="15.6">
      <c r="B6823" s="171">
        <v>-2051.8958864975698</v>
      </c>
    </row>
    <row r="6824" spans="2:2" ht="15.6">
      <c r="B6824" s="171">
        <v>-1247.147649377923</v>
      </c>
    </row>
    <row r="6825" spans="2:2" ht="15.6">
      <c r="B6825" s="171">
        <v>-970.24905776249591</v>
      </c>
    </row>
    <row r="6826" spans="2:2" ht="15.6">
      <c r="B6826" s="171">
        <v>-1959.5377981060001</v>
      </c>
    </row>
    <row r="6827" spans="2:2" ht="15.6">
      <c r="B6827" s="171">
        <v>-1323.8592435857474</v>
      </c>
    </row>
    <row r="6828" spans="2:2" ht="15.6">
      <c r="B6828" s="171">
        <v>-2086.7413429733633</v>
      </c>
    </row>
    <row r="6829" spans="2:2" ht="15.6">
      <c r="B6829" s="171">
        <v>-1194.7420417919768</v>
      </c>
    </row>
    <row r="6830" spans="2:2" ht="15.6">
      <c r="B6830" s="171">
        <v>-1983.9679546569214</v>
      </c>
    </row>
    <row r="6831" spans="2:2" ht="15.6">
      <c r="B6831" s="171">
        <v>-1406.7857410243228</v>
      </c>
    </row>
    <row r="6832" spans="2:2" ht="15.6">
      <c r="B6832" s="171">
        <v>-1299.3349474102572</v>
      </c>
    </row>
    <row r="6833" spans="2:2" ht="15.6">
      <c r="B6833" s="171">
        <v>-1135.7423531821523</v>
      </c>
    </row>
    <row r="6834" spans="2:2" ht="15.6">
      <c r="B6834" s="171">
        <v>-1359.7420871196828</v>
      </c>
    </row>
    <row r="6835" spans="2:2" ht="15.6">
      <c r="B6835" s="171">
        <v>-1854.0961843340233</v>
      </c>
    </row>
    <row r="6836" spans="2:2" ht="15.6">
      <c r="B6836" s="171">
        <v>-1164.2605824875502</v>
      </c>
    </row>
    <row r="6837" spans="2:2" ht="15.6">
      <c r="B6837" s="171">
        <v>-1612.9720433994903</v>
      </c>
    </row>
    <row r="6838" spans="2:2" ht="15.6">
      <c r="B6838" s="171">
        <v>-1661.5229162749843</v>
      </c>
    </row>
    <row r="6839" spans="2:2" ht="15.6">
      <c r="B6839" s="171">
        <v>-1771.6288149572551</v>
      </c>
    </row>
    <row r="6840" spans="2:2" ht="15.6">
      <c r="B6840" s="171">
        <v>-1651.1107151025162</v>
      </c>
    </row>
    <row r="6841" spans="2:2" ht="15.6">
      <c r="B6841" s="171">
        <v>-2632.4653551419638</v>
      </c>
    </row>
    <row r="6842" spans="2:2" ht="15.6">
      <c r="B6842" s="171">
        <v>-1419.7276954153101</v>
      </c>
    </row>
    <row r="6843" spans="2:2" ht="15.6">
      <c r="B6843" s="171">
        <v>-2011.1100924181951</v>
      </c>
    </row>
    <row r="6844" spans="2:2" ht="15.6">
      <c r="B6844" s="171">
        <v>-2001.8718079099231</v>
      </c>
    </row>
    <row r="6845" spans="2:2" ht="15.6">
      <c r="B6845" s="171">
        <v>-680.61461871215749</v>
      </c>
    </row>
    <row r="6846" spans="2:2" ht="15.6">
      <c r="B6846" s="171">
        <v>-1716.1677199083656</v>
      </c>
    </row>
    <row r="6847" spans="2:2" ht="15.6">
      <c r="B6847" s="171">
        <v>-1804.4202353478927</v>
      </c>
    </row>
    <row r="6848" spans="2:2" ht="15.6">
      <c r="B6848" s="171">
        <v>-1393.6428799317537</v>
      </c>
    </row>
    <row r="6849" spans="2:2" ht="15.6">
      <c r="B6849" s="171">
        <v>-1416.3984403535555</v>
      </c>
    </row>
    <row r="6850" spans="2:2" ht="15.6">
      <c r="B6850" s="171">
        <v>-1717.4761645528463</v>
      </c>
    </row>
    <row r="6851" spans="2:2" ht="15.6">
      <c r="B6851" s="171">
        <v>-1874.7078730977159</v>
      </c>
    </row>
    <row r="6852" spans="2:2" ht="15.6">
      <c r="B6852" s="171">
        <v>-1811.2406245573445</v>
      </c>
    </row>
    <row r="6853" spans="2:2" ht="15.6">
      <c r="B6853" s="171">
        <v>-2099.4722559414304</v>
      </c>
    </row>
    <row r="6854" spans="2:2" ht="15.6">
      <c r="B6854" s="171">
        <v>-1268.8483933431723</v>
      </c>
    </row>
    <row r="6855" spans="2:2" ht="15.6">
      <c r="B6855" s="171">
        <v>-1625.5395843733945</v>
      </c>
    </row>
    <row r="6856" spans="2:2" ht="15.6">
      <c r="B6856" s="171">
        <v>-1697.7862629512842</v>
      </c>
    </row>
    <row r="6857" spans="2:2" ht="15.6">
      <c r="B6857" s="171">
        <v>-1848.2968454069601</v>
      </c>
    </row>
    <row r="6858" spans="2:2" ht="15.6">
      <c r="B6858" s="171">
        <v>-1709.4865680584044</v>
      </c>
    </row>
    <row r="6859" spans="2:2" ht="15.6">
      <c r="B6859" s="171">
        <v>-2502.1308157557992</v>
      </c>
    </row>
    <row r="6860" spans="2:2" ht="15.6">
      <c r="B6860" s="171">
        <v>-1447.6020164243678</v>
      </c>
    </row>
    <row r="6861" spans="2:2" ht="15.6">
      <c r="B6861" s="171">
        <v>-1595.3101949005752</v>
      </c>
    </row>
    <row r="6862" spans="2:2" ht="15.6">
      <c r="B6862" s="171">
        <v>-1964.3241661995557</v>
      </c>
    </row>
    <row r="6863" spans="2:2" ht="15.6">
      <c r="B6863" s="171">
        <v>-1147.6819298510152</v>
      </c>
    </row>
    <row r="6864" spans="2:2" ht="15.6">
      <c r="B6864" s="171">
        <v>-1337.9281909342976</v>
      </c>
    </row>
    <row r="6865" spans="2:2" ht="15.6">
      <c r="B6865" s="171">
        <v>-1650.488681983265</v>
      </c>
    </row>
    <row r="6866" spans="2:2" ht="15.6">
      <c r="B6866" s="171">
        <v>-1203.4136358685496</v>
      </c>
    </row>
    <row r="6867" spans="2:2" ht="15.6">
      <c r="B6867" s="171">
        <v>-1895.0007924253928</v>
      </c>
    </row>
    <row r="6868" spans="2:2" ht="15.6">
      <c r="B6868" s="171">
        <v>-1157.9944349523139</v>
      </c>
    </row>
    <row r="6869" spans="2:2" ht="15.6">
      <c r="B6869" s="171">
        <v>-2079.5556940612787</v>
      </c>
    </row>
    <row r="6870" spans="2:2" ht="15.6">
      <c r="B6870" s="171">
        <v>-863.79069580136877</v>
      </c>
    </row>
    <row r="6871" spans="2:2" ht="15.6">
      <c r="B6871" s="171">
        <v>-1763.118987167561</v>
      </c>
    </row>
    <row r="6872" spans="2:2" ht="15.6">
      <c r="B6872" s="171">
        <v>-2402.2934426308416</v>
      </c>
    </row>
    <row r="6873" spans="2:2" ht="15.6">
      <c r="B6873" s="171">
        <v>-1174.8608522528762</v>
      </c>
    </row>
    <row r="6874" spans="2:2" ht="15.6">
      <c r="B6874" s="171">
        <v>-1595.5762272995125</v>
      </c>
    </row>
    <row r="6875" spans="2:2" ht="15.6">
      <c r="B6875" s="171">
        <v>-1610.577992506541</v>
      </c>
    </row>
    <row r="6876" spans="2:2" ht="15.6">
      <c r="B6876" s="171">
        <v>-1571.8655937802062</v>
      </c>
    </row>
    <row r="6877" spans="2:2" ht="15.6">
      <c r="B6877" s="171">
        <v>-1923.0781606818484</v>
      </c>
    </row>
    <row r="6878" spans="2:2" ht="15.6">
      <c r="B6878" s="171">
        <v>-1211.5064722372508</v>
      </c>
    </row>
    <row r="6879" spans="2:2" ht="15.6">
      <c r="B6879" s="171">
        <v>-1659.6725491490918</v>
      </c>
    </row>
    <row r="6880" spans="2:2" ht="15.6">
      <c r="B6880" s="171">
        <v>-1608.9526541444384</v>
      </c>
    </row>
    <row r="6881" spans="2:2" ht="15.6">
      <c r="B6881" s="171">
        <v>-1535.4320575949494</v>
      </c>
    </row>
    <row r="6882" spans="2:2" ht="15.6">
      <c r="B6882" s="171">
        <v>-1298.206130972824</v>
      </c>
    </row>
    <row r="6883" spans="2:2" ht="15.6">
      <c r="B6883" s="171">
        <v>-2365.0697039388738</v>
      </c>
    </row>
    <row r="6884" spans="2:2" ht="15.6">
      <c r="B6884" s="171">
        <v>-1262.715027990193</v>
      </c>
    </row>
    <row r="6885" spans="2:2" ht="15.6">
      <c r="B6885" s="171">
        <v>-1746.6431141550688</v>
      </c>
    </row>
    <row r="6886" spans="2:2" ht="15.6">
      <c r="B6886" s="171">
        <v>-1990.4390373927517</v>
      </c>
    </row>
    <row r="6887" spans="2:2" ht="15.6">
      <c r="B6887" s="171">
        <v>-2016.0378681483985</v>
      </c>
    </row>
    <row r="6888" spans="2:2" ht="15.6">
      <c r="B6888" s="171">
        <v>-1604.8584321391347</v>
      </c>
    </row>
    <row r="6889" spans="2:2" ht="15.6">
      <c r="B6889" s="171">
        <v>-1711.2776356787517</v>
      </c>
    </row>
    <row r="6890" spans="2:2" ht="15.6">
      <c r="B6890" s="171">
        <v>-1420.479353790844</v>
      </c>
    </row>
    <row r="6891" spans="2:2" ht="15.6">
      <c r="B6891" s="171">
        <v>-1899.004981434658</v>
      </c>
    </row>
    <row r="6892" spans="2:2" ht="15.6">
      <c r="B6892" s="171">
        <v>-1888.614434873029</v>
      </c>
    </row>
    <row r="6893" spans="2:2" ht="15.6">
      <c r="B6893" s="171">
        <v>-1202.6400357706782</v>
      </c>
    </row>
    <row r="6894" spans="2:2" ht="15.6">
      <c r="B6894" s="171">
        <v>-1570.2817716226537</v>
      </c>
    </row>
    <row r="6895" spans="2:2" ht="15.6">
      <c r="B6895" s="171">
        <v>-1862.2557834976039</v>
      </c>
    </row>
    <row r="6896" spans="2:2" ht="15.6">
      <c r="B6896" s="171">
        <v>-1233.5922597737149</v>
      </c>
    </row>
    <row r="6897" spans="2:2" ht="15.6">
      <c r="B6897" s="171">
        <v>-1433.2233473838983</v>
      </c>
    </row>
    <row r="6898" spans="2:2" ht="15.6">
      <c r="B6898" s="171">
        <v>-1617.0122137107094</v>
      </c>
    </row>
    <row r="6899" spans="2:2" ht="15.6">
      <c r="B6899" s="171">
        <v>-1320.6942133975954</v>
      </c>
    </row>
    <row r="6900" spans="2:2" ht="15.6">
      <c r="B6900" s="171">
        <v>-1192.2057614625251</v>
      </c>
    </row>
    <row r="6901" spans="2:2" ht="15.6">
      <c r="B6901" s="171">
        <v>-1775.1965315560462</v>
      </c>
    </row>
    <row r="6902" spans="2:2" ht="15.6">
      <c r="B6902" s="171">
        <v>-1700.5038242374403</v>
      </c>
    </row>
    <row r="6903" spans="2:2" ht="15.6">
      <c r="B6903" s="171">
        <v>-1390.5572604335673</v>
      </c>
    </row>
    <row r="6904" spans="2:2" ht="15.6">
      <c r="B6904" s="171">
        <v>-1655.988473373257</v>
      </c>
    </row>
    <row r="6905" spans="2:2" ht="15.6">
      <c r="B6905" s="171">
        <v>-2041.6568185227532</v>
      </c>
    </row>
    <row r="6906" spans="2:2" ht="15.6">
      <c r="B6906" s="171">
        <v>-1826.9588214637665</v>
      </c>
    </row>
    <row r="6907" spans="2:2" ht="15.6">
      <c r="B6907" s="171">
        <v>-1699.4076939656809</v>
      </c>
    </row>
    <row r="6908" spans="2:2" ht="15.6">
      <c r="B6908" s="171">
        <v>-1101.4484525134901</v>
      </c>
    </row>
    <row r="6909" spans="2:2" ht="15.6">
      <c r="B6909" s="171">
        <v>-1146.571237449506</v>
      </c>
    </row>
    <row r="6910" spans="2:2" ht="15.6">
      <c r="B6910" s="171">
        <v>-1606.0783942026662</v>
      </c>
    </row>
    <row r="6911" spans="2:2" ht="15.6">
      <c r="B6911" s="171">
        <v>-1645.9901171323411</v>
      </c>
    </row>
    <row r="6912" spans="2:2" ht="15.6">
      <c r="B6912" s="171">
        <v>-1891.817209798151</v>
      </c>
    </row>
    <row r="6913" spans="2:2" ht="15.6">
      <c r="B6913" s="171">
        <v>-1331.2804677052236</v>
      </c>
    </row>
    <row r="6914" spans="2:2" ht="15.6">
      <c r="B6914" s="171">
        <v>-1495.5325665776834</v>
      </c>
    </row>
    <row r="6915" spans="2:2" ht="15.6">
      <c r="B6915" s="171">
        <v>-967.26047628084495</v>
      </c>
    </row>
    <row r="6916" spans="2:2" ht="15.6">
      <c r="B6916" s="171">
        <v>-829.8760163944479</v>
      </c>
    </row>
    <row r="6917" spans="2:2" ht="15.6">
      <c r="B6917" s="171">
        <v>-1570.8951003173702</v>
      </c>
    </row>
    <row r="6918" spans="2:2" ht="15.6">
      <c r="B6918" s="171">
        <v>-1484.0493089573288</v>
      </c>
    </row>
    <row r="6919" spans="2:2" ht="15.6">
      <c r="B6919" s="171">
        <v>-2087.4435814541839</v>
      </c>
    </row>
    <row r="6920" spans="2:2" ht="15.6">
      <c r="B6920" s="171">
        <v>-1030.8911514309975</v>
      </c>
    </row>
    <row r="6921" spans="2:2" ht="15.6">
      <c r="B6921" s="171">
        <v>-1520.9319081625019</v>
      </c>
    </row>
    <row r="6922" spans="2:2" ht="15.6">
      <c r="B6922" s="171">
        <v>-1390.8911034567273</v>
      </c>
    </row>
    <row r="6923" spans="2:2" ht="15.6">
      <c r="B6923" s="171">
        <v>-1715.7173776343757</v>
      </c>
    </row>
    <row r="6924" spans="2:2" ht="15.6">
      <c r="B6924" s="171">
        <v>-1254.4721195113987</v>
      </c>
    </row>
    <row r="6925" spans="2:2" ht="15.6">
      <c r="B6925" s="171">
        <v>-1232.0386057958203</v>
      </c>
    </row>
    <row r="6926" spans="2:2" ht="15.6">
      <c r="B6926" s="171">
        <v>-2246.102787308032</v>
      </c>
    </row>
    <row r="6927" spans="2:2" ht="15.6">
      <c r="B6927" s="171">
        <v>-1132.6796556226395</v>
      </c>
    </row>
    <row r="6928" spans="2:2" ht="15.6">
      <c r="B6928" s="171">
        <v>-1573.4926295172256</v>
      </c>
    </row>
    <row r="6929" spans="2:2" ht="15.6">
      <c r="B6929" s="171">
        <v>-1828.6567550871036</v>
      </c>
    </row>
    <row r="6930" spans="2:2" ht="15.6">
      <c r="B6930" s="171">
        <v>-1077.1931874105708</v>
      </c>
    </row>
    <row r="6931" spans="2:2" ht="15.6">
      <c r="B6931" s="171">
        <v>-1348.1115327345103</v>
      </c>
    </row>
    <row r="6932" spans="2:2" ht="15.6">
      <c r="B6932" s="171">
        <v>-2124.5565644113303</v>
      </c>
    </row>
    <row r="6933" spans="2:2" ht="15.6">
      <c r="B6933" s="171">
        <v>-1723.7173032191274</v>
      </c>
    </row>
    <row r="6934" spans="2:2" ht="15.6">
      <c r="B6934" s="171">
        <v>-1274.6995272773916</v>
      </c>
    </row>
    <row r="6935" spans="2:2" ht="15.6">
      <c r="B6935" s="171">
        <v>-1378.2823393114811</v>
      </c>
    </row>
    <row r="6936" spans="2:2" ht="15.6">
      <c r="B6936" s="171">
        <v>-1849.7995163669964</v>
      </c>
    </row>
    <row r="6937" spans="2:2" ht="15.6">
      <c r="B6937" s="171">
        <v>-1605.865687360636</v>
      </c>
    </row>
    <row r="6938" spans="2:2" ht="15.6">
      <c r="B6938" s="171">
        <v>-1689.140440817059</v>
      </c>
    </row>
    <row r="6939" spans="2:2" ht="15.6">
      <c r="B6939" s="171">
        <v>-1379.0788987797296</v>
      </c>
    </row>
    <row r="6940" spans="2:2" ht="15.6">
      <c r="B6940" s="171">
        <v>-2103.0039105974956</v>
      </c>
    </row>
    <row r="6941" spans="2:2" ht="15.6">
      <c r="B6941" s="171">
        <v>-980.9049109424675</v>
      </c>
    </row>
    <row r="6942" spans="2:2" ht="15.6">
      <c r="B6942" s="171">
        <v>-1760.8250620134822</v>
      </c>
    </row>
    <row r="6943" spans="2:2" ht="15.6">
      <c r="B6943" s="171">
        <v>-1770.1628596718913</v>
      </c>
    </row>
    <row r="6944" spans="2:2" ht="15.6">
      <c r="B6944" s="171">
        <v>-1823.6856848262448</v>
      </c>
    </row>
    <row r="6945" spans="2:2" ht="15.6">
      <c r="B6945" s="171">
        <v>-1795.2296426047569</v>
      </c>
    </row>
    <row r="6946" spans="2:2" ht="15.6">
      <c r="B6946" s="171">
        <v>-1887.4482216433928</v>
      </c>
    </row>
    <row r="6947" spans="2:2" ht="15.6">
      <c r="B6947" s="171">
        <v>-2046.7192065644626</v>
      </c>
    </row>
    <row r="6948" spans="2:2" ht="15.6">
      <c r="B6948" s="171">
        <v>-1884.7531492235223</v>
      </c>
    </row>
    <row r="6949" spans="2:2" ht="15.6">
      <c r="B6949" s="171">
        <v>-1392.5854268992812</v>
      </c>
    </row>
    <row r="6950" spans="2:2" ht="15.6">
      <c r="B6950" s="171">
        <v>-1578.8038993065145</v>
      </c>
    </row>
    <row r="6951" spans="2:2" ht="15.6">
      <c r="B6951" s="171">
        <v>-1008.8155633579967</v>
      </c>
    </row>
    <row r="6952" spans="2:2" ht="15.6">
      <c r="B6952" s="171">
        <v>-1302.027220341779</v>
      </c>
    </row>
    <row r="6953" spans="2:2" ht="15.6">
      <c r="B6953" s="171">
        <v>-1684.7447671568802</v>
      </c>
    </row>
    <row r="6954" spans="2:2" ht="15.6">
      <c r="B6954" s="171">
        <v>-1091.0504849422193</v>
      </c>
    </row>
    <row r="6955" spans="2:2" ht="15.6">
      <c r="B6955" s="171">
        <v>-1077.1177982743743</v>
      </c>
    </row>
    <row r="6956" spans="2:2" ht="15.6">
      <c r="B6956" s="171">
        <v>-1436.902524448052</v>
      </c>
    </row>
    <row r="6957" spans="2:2" ht="15.6">
      <c r="B6957" s="171">
        <v>-1834.5770523555575</v>
      </c>
    </row>
    <row r="6958" spans="2:2" ht="15.6">
      <c r="B6958" s="171">
        <v>-1099.0654487529391</v>
      </c>
    </row>
    <row r="6959" spans="2:2" ht="15.6">
      <c r="B6959" s="171">
        <v>-1437.9326462876177</v>
      </c>
    </row>
    <row r="6960" spans="2:2" ht="15.6">
      <c r="B6960" s="171">
        <v>-1473.0599447485276</v>
      </c>
    </row>
    <row r="6961" spans="2:2" ht="15.6">
      <c r="B6961" s="171">
        <v>-1700.8777335415946</v>
      </c>
    </row>
    <row r="6962" spans="2:2" ht="15.6">
      <c r="B6962" s="171">
        <v>-1669.1395879793299</v>
      </c>
    </row>
    <row r="6963" spans="2:2" ht="15.6">
      <c r="B6963" s="171">
        <v>-1805.8816476785451</v>
      </c>
    </row>
    <row r="6964" spans="2:2" ht="15.6">
      <c r="B6964" s="171">
        <v>-1915.0180378477021</v>
      </c>
    </row>
    <row r="6965" spans="2:2" ht="15.6">
      <c r="B6965" s="171">
        <v>-1666.3043845682676</v>
      </c>
    </row>
    <row r="6966" spans="2:2" ht="15.6">
      <c r="B6966" s="171">
        <v>-1484.0655976197672</v>
      </c>
    </row>
    <row r="6967" spans="2:2" ht="15.6">
      <c r="B6967" s="171">
        <v>-1312.986809048954</v>
      </c>
    </row>
    <row r="6968" spans="2:2" ht="15.6">
      <c r="B6968" s="171">
        <v>-1280.0219404919674</v>
      </c>
    </row>
    <row r="6969" spans="2:2" ht="15.6">
      <c r="B6969" s="171">
        <v>-1530.9311173103147</v>
      </c>
    </row>
    <row r="6970" spans="2:2" ht="15.6">
      <c r="B6970" s="171">
        <v>-1920.7722776817743</v>
      </c>
    </row>
    <row r="6971" spans="2:2" ht="15.6">
      <c r="B6971" s="171">
        <v>-2291.0671207830219</v>
      </c>
    </row>
    <row r="6972" spans="2:2" ht="15.6">
      <c r="B6972" s="171">
        <v>-1638.7322942001663</v>
      </c>
    </row>
    <row r="6973" spans="2:2" ht="15.6">
      <c r="B6973" s="171">
        <v>-732.60230899656926</v>
      </c>
    </row>
    <row r="6974" spans="2:2" ht="15.6">
      <c r="B6974" s="171">
        <v>-1422.7314928648775</v>
      </c>
    </row>
    <row r="6975" spans="2:2" ht="15.6">
      <c r="B6975" s="171">
        <v>-1164.6591059172586</v>
      </c>
    </row>
    <row r="6976" spans="2:2" ht="15.6">
      <c r="B6976" s="171">
        <v>-1512.7389287030849</v>
      </c>
    </row>
    <row r="6977" spans="2:2" ht="15.6">
      <c r="B6977" s="171">
        <v>-1878.6415046312875</v>
      </c>
    </row>
    <row r="6978" spans="2:2" ht="15.6">
      <c r="B6978" s="171">
        <v>-1133.0356403002877</v>
      </c>
    </row>
    <row r="6979" spans="2:2" ht="15.6">
      <c r="B6979" s="171">
        <v>-1957.9311173393403</v>
      </c>
    </row>
    <row r="6980" spans="2:2" ht="15.6">
      <c r="B6980" s="171">
        <v>-1413.460498390883</v>
      </c>
    </row>
    <row r="6981" spans="2:2" ht="15.6">
      <c r="B6981" s="171">
        <v>-1302.3876467797168</v>
      </c>
    </row>
    <row r="6982" spans="2:2" ht="15.6">
      <c r="B6982" s="171">
        <v>-1440.9816261561564</v>
      </c>
    </row>
    <row r="6983" spans="2:2" ht="15.6">
      <c r="B6983" s="171">
        <v>-1282.8617802764513</v>
      </c>
    </row>
    <row r="6984" spans="2:2" ht="15.6">
      <c r="B6984" s="171">
        <v>-1468.5587492382538</v>
      </c>
    </row>
    <row r="6985" spans="2:2" ht="15.6">
      <c r="B6985" s="171">
        <v>-1257.5330406308526</v>
      </c>
    </row>
    <row r="6986" spans="2:2" ht="15.6">
      <c r="B6986" s="171">
        <v>-2162.2849115771278</v>
      </c>
    </row>
    <row r="6987" spans="2:2" ht="15.6">
      <c r="B6987" s="171">
        <v>-1368.0863331759358</v>
      </c>
    </row>
    <row r="6988" spans="2:2" ht="15.6">
      <c r="B6988" s="171">
        <v>-1590.7538249299087</v>
      </c>
    </row>
    <row r="6989" spans="2:2" ht="15.6">
      <c r="B6989" s="171">
        <v>-1513.5886433234421</v>
      </c>
    </row>
    <row r="6990" spans="2:2" ht="15.6">
      <c r="B6990" s="171">
        <v>-2330.5172939375261</v>
      </c>
    </row>
    <row r="6991" spans="2:2" ht="15.6">
      <c r="B6991" s="171">
        <v>-2417.1983120044206</v>
      </c>
    </row>
    <row r="6992" spans="2:2" ht="15.6">
      <c r="B6992" s="171">
        <v>-1090.3920608228211</v>
      </c>
    </row>
    <row r="6993" spans="2:2" ht="15.6">
      <c r="B6993" s="171">
        <v>-1778.475441191651</v>
      </c>
    </row>
    <row r="6994" spans="2:2" ht="15.6">
      <c r="B6994" s="171">
        <v>-1735.4138718274053</v>
      </c>
    </row>
    <row r="6995" spans="2:2" ht="15.6">
      <c r="B6995" s="171">
        <v>-1360.5233713315181</v>
      </c>
    </row>
    <row r="6996" spans="2:2" ht="15.6">
      <c r="B6996" s="171">
        <v>-2480.9686054167364</v>
      </c>
    </row>
    <row r="6997" spans="2:2" ht="15.6">
      <c r="B6997" s="171">
        <v>-1887.9833684662678</v>
      </c>
    </row>
    <row r="6998" spans="2:2" ht="15.6">
      <c r="B6998" s="171">
        <v>-984.83517527978074</v>
      </c>
    </row>
    <row r="6999" spans="2:2" ht="15.6">
      <c r="B6999" s="171">
        <v>-1886.0736716263298</v>
      </c>
    </row>
    <row r="7000" spans="2:2" ht="15.6">
      <c r="B7000" s="171">
        <v>-1610.4889828193141</v>
      </c>
    </row>
    <row r="7001" spans="2:2" ht="15.6">
      <c r="B7001" s="171">
        <v>-1536.4376295457257</v>
      </c>
    </row>
    <row r="7002" spans="2:2" ht="15.6">
      <c r="B7002" s="171">
        <v>-1267.3751782705749</v>
      </c>
    </row>
    <row r="7003" spans="2:2" ht="15.6">
      <c r="B7003" s="171">
        <v>-1937.8195986300891</v>
      </c>
    </row>
    <row r="7004" spans="2:2" ht="15.6">
      <c r="B7004" s="171">
        <v>-1549.9071190827879</v>
      </c>
    </row>
    <row r="7005" spans="2:2" ht="15.6">
      <c r="B7005" s="171">
        <v>-1247.5461323708782</v>
      </c>
    </row>
    <row r="7006" spans="2:2" ht="15.6">
      <c r="B7006" s="171">
        <v>-2140.399834744122</v>
      </c>
    </row>
    <row r="7007" spans="2:2" ht="15.6">
      <c r="B7007" s="171">
        <v>-1492.1293912636575</v>
      </c>
    </row>
    <row r="7008" spans="2:2" ht="15.6">
      <c r="B7008" s="171">
        <v>-1573.0493528058673</v>
      </c>
    </row>
    <row r="7009" spans="2:2" ht="15.6">
      <c r="B7009" s="171">
        <v>-1380.5673910216688</v>
      </c>
    </row>
    <row r="7010" spans="2:2" ht="15.6">
      <c r="B7010" s="171">
        <v>-1318.0573979052147</v>
      </c>
    </row>
    <row r="7011" spans="2:2" ht="15.6">
      <c r="B7011" s="171">
        <v>-1514.5687447998644</v>
      </c>
    </row>
    <row r="7012" spans="2:2" ht="15.6">
      <c r="B7012" s="171">
        <v>-1815.3339823755887</v>
      </c>
    </row>
    <row r="7013" spans="2:2" ht="15.6">
      <c r="B7013" s="171">
        <v>-1239.918798714564</v>
      </c>
    </row>
    <row r="7014" spans="2:2" ht="15.6">
      <c r="B7014" s="171">
        <v>-1322.7749515099333</v>
      </c>
    </row>
    <row r="7015" spans="2:2" ht="15.6">
      <c r="B7015" s="171">
        <v>-1922.9144579008271</v>
      </c>
    </row>
    <row r="7016" spans="2:2" ht="15.6">
      <c r="B7016" s="171">
        <v>-2064.4395864474768</v>
      </c>
    </row>
    <row r="7017" spans="2:2" ht="15.6">
      <c r="B7017" s="171">
        <v>-1319.5326342346227</v>
      </c>
    </row>
    <row r="7018" spans="2:2" ht="15.6">
      <c r="B7018" s="171">
        <v>-2016.3612355531172</v>
      </c>
    </row>
    <row r="7019" spans="2:2" ht="15.6">
      <c r="B7019" s="171">
        <v>-1580.4393093693598</v>
      </c>
    </row>
    <row r="7020" spans="2:2" ht="15.6">
      <c r="B7020" s="171">
        <v>-1482.1795101617249</v>
      </c>
    </row>
    <row r="7021" spans="2:2" ht="15.6">
      <c r="B7021" s="171">
        <v>-2228.5497785056559</v>
      </c>
    </row>
    <row r="7022" spans="2:2" ht="15.6">
      <c r="B7022" s="171">
        <v>-1210.8075298853264</v>
      </c>
    </row>
    <row r="7023" spans="2:2" ht="15.6">
      <c r="B7023" s="171">
        <v>-1191.3373840170482</v>
      </c>
    </row>
    <row r="7024" spans="2:2" ht="15.6">
      <c r="B7024" s="171">
        <v>-1888.769147541147</v>
      </c>
    </row>
    <row r="7025" spans="2:2" ht="15.6">
      <c r="B7025" s="171">
        <v>-1786.0510422948641</v>
      </c>
    </row>
    <row r="7026" spans="2:2" ht="15.6">
      <c r="B7026" s="171">
        <v>-1864.8457790426298</v>
      </c>
    </row>
    <row r="7027" spans="2:2" ht="15.6">
      <c r="B7027" s="171">
        <v>-1489.0871059956621</v>
      </c>
    </row>
    <row r="7028" spans="2:2" ht="15.6">
      <c r="B7028" s="171">
        <v>-1512.5933666096648</v>
      </c>
    </row>
    <row r="7029" spans="2:2" ht="15.6">
      <c r="B7029" s="171">
        <v>-2251.1087062369452</v>
      </c>
    </row>
    <row r="7030" spans="2:2" ht="15.6">
      <c r="B7030" s="171">
        <v>-1480.7463923499085</v>
      </c>
    </row>
    <row r="7031" spans="2:2" ht="15.6">
      <c r="B7031" s="171">
        <v>-2890.8311539283477</v>
      </c>
    </row>
    <row r="7032" spans="2:2" ht="15.6">
      <c r="B7032" s="171">
        <v>-1378.7099792071474</v>
      </c>
    </row>
    <row r="7033" spans="2:2" ht="15.6">
      <c r="B7033" s="171">
        <v>-1757.3719643686782</v>
      </c>
    </row>
    <row r="7034" spans="2:2" ht="15.6">
      <c r="B7034" s="171">
        <v>-1655.8856846535482</v>
      </c>
    </row>
    <row r="7035" spans="2:2" ht="15.6">
      <c r="B7035" s="171">
        <v>-1376.7101784035069</v>
      </c>
    </row>
    <row r="7036" spans="2:2" ht="15.6">
      <c r="B7036" s="171">
        <v>-1216.9220141272899</v>
      </c>
    </row>
    <row r="7037" spans="2:2" ht="15.6">
      <c r="B7037" s="171">
        <v>-1356.5703322323193</v>
      </c>
    </row>
    <row r="7038" spans="2:2" ht="15.6">
      <c r="B7038" s="171">
        <v>-1936.1785564656227</v>
      </c>
    </row>
    <row r="7039" spans="2:2" ht="15.6">
      <c r="B7039" s="171">
        <v>-1378.7562802062541</v>
      </c>
    </row>
    <row r="7040" spans="2:2" ht="15.6">
      <c r="B7040" s="171">
        <v>-1321.2697647221455</v>
      </c>
    </row>
    <row r="7041" spans="2:2" ht="15.6">
      <c r="B7041" s="171">
        <v>-1366.2087757214163</v>
      </c>
    </row>
    <row r="7042" spans="2:2" ht="15.6">
      <c r="B7042" s="171">
        <v>-1156.7955712145754</v>
      </c>
    </row>
    <row r="7043" spans="2:2" ht="15.6">
      <c r="B7043" s="171">
        <v>-1449.8398042689314</v>
      </c>
    </row>
    <row r="7044" spans="2:2" ht="15.6">
      <c r="B7044" s="171">
        <v>-1281.9897651644626</v>
      </c>
    </row>
    <row r="7045" spans="2:2" ht="15.6">
      <c r="B7045" s="171">
        <v>-2078.3022338585884</v>
      </c>
    </row>
    <row r="7046" spans="2:2" ht="15.6">
      <c r="B7046" s="171">
        <v>-1465.6634640904313</v>
      </c>
    </row>
    <row r="7047" spans="2:2" ht="15.6">
      <c r="B7047" s="171">
        <v>-1545.0161639940359</v>
      </c>
    </row>
    <row r="7048" spans="2:2" ht="15.6">
      <c r="B7048" s="171">
        <v>-1256.7041991390695</v>
      </c>
    </row>
    <row r="7049" spans="2:2" ht="15.6">
      <c r="B7049" s="171">
        <v>-1393.8572339858458</v>
      </c>
    </row>
    <row r="7050" spans="2:2" ht="15.6">
      <c r="B7050" s="171">
        <v>-1067.2099261421308</v>
      </c>
    </row>
    <row r="7051" spans="2:2" ht="15.6">
      <c r="B7051" s="171">
        <v>-1952.2109373959106</v>
      </c>
    </row>
    <row r="7052" spans="2:2" ht="15.6">
      <c r="B7052" s="171">
        <v>-2484.7346054640384</v>
      </c>
    </row>
    <row r="7053" spans="2:2" ht="15.6">
      <c r="B7053" s="171">
        <v>-2245.2546795989997</v>
      </c>
    </row>
    <row r="7054" spans="2:2" ht="15.6">
      <c r="B7054" s="171">
        <v>-2041.364926469234</v>
      </c>
    </row>
    <row r="7055" spans="2:2" ht="15.6">
      <c r="B7055" s="171">
        <v>-2308.4564574354235</v>
      </c>
    </row>
    <row r="7056" spans="2:2" ht="15.6">
      <c r="B7056" s="171">
        <v>-1556.9563150538625</v>
      </c>
    </row>
    <row r="7057" spans="2:2" ht="15.6">
      <c r="B7057" s="171">
        <v>-2335.881965044407</v>
      </c>
    </row>
    <row r="7058" spans="2:2" ht="15.6">
      <c r="B7058" s="171">
        <v>-1832.7244201187784</v>
      </c>
    </row>
    <row r="7059" spans="2:2" ht="15.6">
      <c r="B7059" s="171">
        <v>-981.73306559517653</v>
      </c>
    </row>
    <row r="7060" spans="2:2" ht="15.6">
      <c r="B7060" s="171">
        <v>-1637.9793944214096</v>
      </c>
    </row>
    <row r="7061" spans="2:2" ht="15.6">
      <c r="B7061" s="171">
        <v>-1261.2693871314959</v>
      </c>
    </row>
    <row r="7062" spans="2:2" ht="15.6">
      <c r="B7062" s="171">
        <v>-2032.670066625406</v>
      </c>
    </row>
    <row r="7063" spans="2:2" ht="15.6">
      <c r="B7063" s="171">
        <v>-1332.6060557380786</v>
      </c>
    </row>
    <row r="7064" spans="2:2" ht="15.6">
      <c r="B7064" s="171">
        <v>-1197.3453972528505</v>
      </c>
    </row>
    <row r="7065" spans="2:2" ht="15.6">
      <c r="B7065" s="171">
        <v>-1711.3449449570394</v>
      </c>
    </row>
    <row r="7066" spans="2:2" ht="15.6">
      <c r="B7066" s="171">
        <v>-2779.3137095577299</v>
      </c>
    </row>
    <row r="7067" spans="2:2" ht="15.6">
      <c r="B7067" s="171">
        <v>-969.25078707542696</v>
      </c>
    </row>
    <row r="7068" spans="2:2" ht="15.6">
      <c r="B7068" s="171">
        <v>-1389.0776647372873</v>
      </c>
    </row>
    <row r="7069" spans="2:2" ht="15.6">
      <c r="B7069" s="171">
        <v>-1673.4849261658778</v>
      </c>
    </row>
    <row r="7070" spans="2:2" ht="15.6">
      <c r="B7070" s="171">
        <v>-1954.09595814351</v>
      </c>
    </row>
    <row r="7071" spans="2:2" ht="15.6">
      <c r="B7071" s="171">
        <v>-1828.9750447698466</v>
      </c>
    </row>
    <row r="7072" spans="2:2" ht="15.6">
      <c r="B7072" s="171">
        <v>-2422.6223080833433</v>
      </c>
    </row>
    <row r="7073" spans="2:2" ht="15.6">
      <c r="B7073" s="171">
        <v>-1435.9410756850591</v>
      </c>
    </row>
    <row r="7074" spans="2:2" ht="15.6">
      <c r="B7074" s="171">
        <v>-1582.8369784759277</v>
      </c>
    </row>
    <row r="7075" spans="2:2" ht="15.6">
      <c r="B7075" s="171">
        <v>-1594.6935470949952</v>
      </c>
    </row>
    <row r="7076" spans="2:2" ht="15.6">
      <c r="B7076" s="171">
        <v>-1268.1791815282106</v>
      </c>
    </row>
    <row r="7077" spans="2:2" ht="15.6">
      <c r="B7077" s="171">
        <v>-1560.423248526982</v>
      </c>
    </row>
    <row r="7078" spans="2:2" ht="15.6">
      <c r="B7078" s="171">
        <v>-2386.6483817127964</v>
      </c>
    </row>
    <row r="7079" spans="2:2" ht="15.6">
      <c r="B7079" s="171">
        <v>-1500.6255161572499</v>
      </c>
    </row>
    <row r="7080" spans="2:2" ht="15.6">
      <c r="B7080" s="171">
        <v>-1901.2477409048038</v>
      </c>
    </row>
    <row r="7081" spans="2:2" ht="15.6">
      <c r="B7081" s="171">
        <v>-2208.7493327324746</v>
      </c>
    </row>
    <row r="7082" spans="2:2" ht="15.6">
      <c r="B7082" s="171">
        <v>-1992.4477771008274</v>
      </c>
    </row>
    <row r="7083" spans="2:2" ht="15.6">
      <c r="B7083" s="171">
        <v>-1387.4868776721316</v>
      </c>
    </row>
    <row r="7084" spans="2:2" ht="15.6">
      <c r="B7084" s="171">
        <v>-1445.8106101858414</v>
      </c>
    </row>
    <row r="7085" spans="2:2" ht="15.6">
      <c r="B7085" s="171">
        <v>-1717.989497424443</v>
      </c>
    </row>
    <row r="7086" spans="2:2" ht="15.6">
      <c r="B7086" s="171">
        <v>-1274.8107324273765</v>
      </c>
    </row>
    <row r="7087" spans="2:2" ht="15.6">
      <c r="B7087" s="171">
        <v>-1067.9552524292642</v>
      </c>
    </row>
    <row r="7088" spans="2:2" ht="15.6">
      <c r="B7088" s="171">
        <v>-917.64161208137261</v>
      </c>
    </row>
    <row r="7089" spans="2:2" ht="15.6">
      <c r="B7089" s="171">
        <v>-1748.805842624748</v>
      </c>
    </row>
    <row r="7090" spans="2:2" ht="15.6">
      <c r="B7090" s="171">
        <v>-2021.3712366808068</v>
      </c>
    </row>
    <row r="7091" spans="2:2" ht="15.6">
      <c r="B7091" s="171">
        <v>-1501.5247699106585</v>
      </c>
    </row>
    <row r="7092" spans="2:2" ht="15.6">
      <c r="B7092" s="171">
        <v>-2884.6153503796882</v>
      </c>
    </row>
    <row r="7093" spans="2:2" ht="15.6">
      <c r="B7093" s="171">
        <v>-1351.254873500628</v>
      </c>
    </row>
    <row r="7094" spans="2:2" ht="15.6">
      <c r="B7094" s="171">
        <v>-1761.8457220027437</v>
      </c>
    </row>
    <row r="7095" spans="2:2" ht="15.6">
      <c r="B7095" s="171">
        <v>-1513.1868278380016</v>
      </c>
    </row>
    <row r="7096" spans="2:2" ht="15.6">
      <c r="B7096" s="171">
        <v>-2172.4871702125474</v>
      </c>
    </row>
    <row r="7097" spans="2:2" ht="15.6">
      <c r="B7097" s="171">
        <v>-1115.0179290239946</v>
      </c>
    </row>
    <row r="7098" spans="2:2" ht="15.6">
      <c r="B7098" s="171">
        <v>-1764.6265694933143</v>
      </c>
    </row>
    <row r="7099" spans="2:2" ht="15.6">
      <c r="B7099" s="171">
        <v>-1608.837135527838</v>
      </c>
    </row>
    <row r="7100" spans="2:2" ht="15.6">
      <c r="B7100" s="171">
        <v>-1393.8907847466871</v>
      </c>
    </row>
    <row r="7101" spans="2:2" ht="15.6">
      <c r="B7101" s="171">
        <v>-1528.1630052613109</v>
      </c>
    </row>
    <row r="7102" spans="2:2" ht="15.6">
      <c r="B7102" s="171">
        <v>-1719.0005347294996</v>
      </c>
    </row>
    <row r="7103" spans="2:2" ht="15.6">
      <c r="B7103" s="171">
        <v>-1631.5486961507693</v>
      </c>
    </row>
    <row r="7104" spans="2:2" ht="15.6">
      <c r="B7104" s="171">
        <v>-2162.0725777906605</v>
      </c>
    </row>
    <row r="7105" spans="2:2" ht="15.6">
      <c r="B7105" s="171">
        <v>-1705.0667354391858</v>
      </c>
    </row>
    <row r="7106" spans="2:2" ht="15.6">
      <c r="B7106" s="171">
        <v>-1798.4229045598358</v>
      </c>
    </row>
    <row r="7107" spans="2:2" ht="15.6">
      <c r="B7107" s="171">
        <v>-2101.36839580894</v>
      </c>
    </row>
    <row r="7108" spans="2:2" ht="15.6">
      <c r="B7108" s="171">
        <v>-2434.1799725306146</v>
      </c>
    </row>
    <row r="7109" spans="2:2" ht="15.6">
      <c r="B7109" s="171">
        <v>-1428.6924430826421</v>
      </c>
    </row>
    <row r="7110" spans="2:2" ht="15.6">
      <c r="B7110" s="171">
        <v>-1958.0683911833366</v>
      </c>
    </row>
    <row r="7111" spans="2:2" ht="15.6">
      <c r="B7111" s="171">
        <v>-1587.445597385567</v>
      </c>
    </row>
    <row r="7112" spans="2:2" ht="15.6">
      <c r="B7112" s="171">
        <v>-1605.2531270876582</v>
      </c>
    </row>
    <row r="7113" spans="2:2" ht="15.6">
      <c r="B7113" s="171">
        <v>-1305.8903959841018</v>
      </c>
    </row>
    <row r="7114" spans="2:2" ht="15.6">
      <c r="B7114" s="171">
        <v>-2003.1592511677559</v>
      </c>
    </row>
    <row r="7115" spans="2:2" ht="15.6">
      <c r="B7115" s="171">
        <v>-2093.2462256413105</v>
      </c>
    </row>
    <row r="7116" spans="2:2" ht="15.6">
      <c r="B7116" s="171">
        <v>-2472.1159173510587</v>
      </c>
    </row>
    <row r="7117" spans="2:2" ht="15.6">
      <c r="B7117" s="171">
        <v>-876.81284985889602</v>
      </c>
    </row>
    <row r="7118" spans="2:2" ht="15.6">
      <c r="B7118" s="171">
        <v>-1882.35479790823</v>
      </c>
    </row>
    <row r="7119" spans="2:2" ht="15.6">
      <c r="B7119" s="171">
        <v>-1590.9390843405884</v>
      </c>
    </row>
    <row r="7120" spans="2:2" ht="15.6">
      <c r="B7120" s="171">
        <v>-1780.5200810559602</v>
      </c>
    </row>
    <row r="7121" spans="2:2" ht="15.6">
      <c r="B7121" s="171">
        <v>-1376.0915436947578</v>
      </c>
    </row>
    <row r="7122" spans="2:2" ht="15.6">
      <c r="B7122" s="171">
        <v>-2073.1859262008243</v>
      </c>
    </row>
    <row r="7123" spans="2:2" ht="15.6">
      <c r="B7123" s="171">
        <v>-1885.7118293817962</v>
      </c>
    </row>
    <row r="7124" spans="2:2" ht="15.6">
      <c r="B7124" s="171">
        <v>-1733.8855768221258</v>
      </c>
    </row>
    <row r="7125" spans="2:2" ht="15.6">
      <c r="B7125" s="171">
        <v>-1769.9413181138184</v>
      </c>
    </row>
    <row r="7126" spans="2:2" ht="15.6">
      <c r="B7126" s="171">
        <v>-2176.0820949240933</v>
      </c>
    </row>
    <row r="7127" spans="2:2" ht="15.6">
      <c r="B7127" s="171">
        <v>-1910.5295557045783</v>
      </c>
    </row>
    <row r="7128" spans="2:2" ht="15.6">
      <c r="B7128" s="171">
        <v>-2025.848221847009</v>
      </c>
    </row>
    <row r="7129" spans="2:2" ht="15.6">
      <c r="B7129" s="171">
        <v>-1748.1927746573281</v>
      </c>
    </row>
    <row r="7130" spans="2:2" ht="15.6">
      <c r="B7130" s="171">
        <v>-1548.0313133997961</v>
      </c>
    </row>
    <row r="7131" spans="2:2" ht="15.6">
      <c r="B7131" s="171">
        <v>-1764.840021992464</v>
      </c>
    </row>
    <row r="7132" spans="2:2" ht="15.6">
      <c r="B7132" s="171">
        <v>-935.69999534350109</v>
      </c>
    </row>
    <row r="7133" spans="2:2" ht="15.6">
      <c r="B7133" s="171">
        <v>-1684.2034854809872</v>
      </c>
    </row>
    <row r="7134" spans="2:2" ht="15.6">
      <c r="B7134" s="171">
        <v>-565.05179678052207</v>
      </c>
    </row>
    <row r="7135" spans="2:2" ht="15.6">
      <c r="B7135" s="171">
        <v>-1112.6337269820738</v>
      </c>
    </row>
    <row r="7136" spans="2:2" ht="15.6">
      <c r="B7136" s="171">
        <v>-1931.3033919066324</v>
      </c>
    </row>
    <row r="7137" spans="2:2" ht="15.6">
      <c r="B7137" s="171">
        <v>-986.10456692152604</v>
      </c>
    </row>
    <row r="7138" spans="2:2" ht="15.6">
      <c r="B7138" s="171">
        <v>-1728.8988199053849</v>
      </c>
    </row>
    <row r="7139" spans="2:2" ht="15.6">
      <c r="B7139" s="171">
        <v>-1747.5644825744778</v>
      </c>
    </row>
    <row r="7140" spans="2:2" ht="15.6">
      <c r="B7140" s="171">
        <v>-894.25620625764941</v>
      </c>
    </row>
    <row r="7141" spans="2:2" ht="15.6">
      <c r="B7141" s="171">
        <v>-1349.5485997694004</v>
      </c>
    </row>
    <row r="7142" spans="2:2" ht="15.6">
      <c r="B7142" s="171">
        <v>-1571.7199753708819</v>
      </c>
    </row>
    <row r="7143" spans="2:2" ht="15.6">
      <c r="B7143" s="171">
        <v>-1936.9939595405995</v>
      </c>
    </row>
    <row r="7144" spans="2:2" ht="15.6">
      <c r="B7144" s="171">
        <v>-1048.2139930209323</v>
      </c>
    </row>
    <row r="7145" spans="2:2" ht="15.6">
      <c r="B7145" s="171">
        <v>-1838.4066336087851</v>
      </c>
    </row>
    <row r="7146" spans="2:2" ht="15.6">
      <c r="B7146" s="171">
        <v>-1514.6898138926467</v>
      </c>
    </row>
    <row r="7147" spans="2:2" ht="15.6">
      <c r="B7147" s="171">
        <v>-1634.4793986942366</v>
      </c>
    </row>
    <row r="7148" spans="2:2" ht="15.6">
      <c r="B7148" s="171">
        <v>-2555.8458088614402</v>
      </c>
    </row>
    <row r="7149" spans="2:2" ht="15.6">
      <c r="B7149" s="171">
        <v>-1937.3396417026152</v>
      </c>
    </row>
    <row r="7150" spans="2:2" ht="15.6">
      <c r="B7150" s="171">
        <v>-1980.3352753540748</v>
      </c>
    </row>
    <row r="7151" spans="2:2" ht="15.6">
      <c r="B7151" s="171">
        <v>-2048.4535443409768</v>
      </c>
    </row>
    <row r="7152" spans="2:2" ht="15.6">
      <c r="B7152" s="171">
        <v>-1044.5045226115676</v>
      </c>
    </row>
    <row r="7153" spans="2:2" ht="15.6">
      <c r="B7153" s="171">
        <v>-1776.1592901514614</v>
      </c>
    </row>
    <row r="7154" spans="2:2" ht="15.6">
      <c r="B7154" s="171">
        <v>-1916.0962702434624</v>
      </c>
    </row>
    <row r="7155" spans="2:2" ht="15.6">
      <c r="B7155" s="171">
        <v>-1474.4782826022679</v>
      </c>
    </row>
    <row r="7156" spans="2:2" ht="15.6">
      <c r="B7156" s="171">
        <v>-1194.0664338888355</v>
      </c>
    </row>
    <row r="7157" spans="2:2" ht="15.6">
      <c r="B7157" s="171">
        <v>-1703.2905792711122</v>
      </c>
    </row>
    <row r="7158" spans="2:2" ht="15.6">
      <c r="B7158" s="171">
        <v>-2513.7118701969371</v>
      </c>
    </row>
    <row r="7159" spans="2:2" ht="15.6">
      <c r="B7159" s="171">
        <v>-1534.7312347484326</v>
      </c>
    </row>
    <row r="7160" spans="2:2" ht="15.6">
      <c r="B7160" s="171">
        <v>-2010.4078913804544</v>
      </c>
    </row>
    <row r="7161" spans="2:2" ht="15.6">
      <c r="B7161" s="171">
        <v>-1842.6223135502532</v>
      </c>
    </row>
    <row r="7162" spans="2:2" ht="15.6">
      <c r="B7162" s="171">
        <v>-1359.6609103327228</v>
      </c>
    </row>
    <row r="7163" spans="2:2" ht="15.6">
      <c r="B7163" s="171">
        <v>-1859.3541929540122</v>
      </c>
    </row>
    <row r="7164" spans="2:2" ht="15.6">
      <c r="B7164" s="171">
        <v>-1811.1912463552467</v>
      </c>
    </row>
    <row r="7165" spans="2:2" ht="15.6">
      <c r="B7165" s="171">
        <v>-1562.5286711580175</v>
      </c>
    </row>
    <row r="7166" spans="2:2" ht="15.6">
      <c r="B7166" s="171">
        <v>-973.94218320822199</v>
      </c>
    </row>
    <row r="7167" spans="2:2" ht="15.6">
      <c r="B7167" s="171">
        <v>-1397.9725115284468</v>
      </c>
    </row>
    <row r="7168" spans="2:2" ht="15.6">
      <c r="B7168" s="171">
        <v>-1324.2020061079263</v>
      </c>
    </row>
    <row r="7169" spans="2:2" ht="15.6">
      <c r="B7169" s="171">
        <v>-1216.7912868932924</v>
      </c>
    </row>
    <row r="7170" spans="2:2" ht="15.6">
      <c r="B7170" s="171">
        <v>-1379.9086556671487</v>
      </c>
    </row>
    <row r="7171" spans="2:2" ht="15.6">
      <c r="B7171" s="171">
        <v>-1449.2987005273569</v>
      </c>
    </row>
    <row r="7172" spans="2:2" ht="15.6">
      <c r="B7172" s="171">
        <v>-1534.6643105458509</v>
      </c>
    </row>
    <row r="7173" spans="2:2" ht="15.6">
      <c r="B7173" s="171">
        <v>-1676.5945327242105</v>
      </c>
    </row>
    <row r="7174" spans="2:2" ht="15.6">
      <c r="B7174" s="171">
        <v>-1925.4830769380906</v>
      </c>
    </row>
    <row r="7175" spans="2:2" ht="15.6">
      <c r="B7175" s="171">
        <v>-2017.3969926156433</v>
      </c>
    </row>
    <row r="7176" spans="2:2" ht="15.6">
      <c r="B7176" s="171">
        <v>-1479.1537361087517</v>
      </c>
    </row>
    <row r="7177" spans="2:2" ht="15.6">
      <c r="B7177" s="171">
        <v>-1313.81161958853</v>
      </c>
    </row>
    <row r="7178" spans="2:2" ht="15.6">
      <c r="B7178" s="171">
        <v>-1710.4029265350696</v>
      </c>
    </row>
    <row r="7179" spans="2:2" ht="15.6">
      <c r="B7179" s="171">
        <v>-2211.0067230972518</v>
      </c>
    </row>
    <row r="7180" spans="2:2" ht="15.6">
      <c r="B7180" s="171">
        <v>-1710.9973531321211</v>
      </c>
    </row>
    <row r="7181" spans="2:2" ht="15.6">
      <c r="B7181" s="171">
        <v>-1253.2884472779201</v>
      </c>
    </row>
    <row r="7182" spans="2:2" ht="15.6">
      <c r="B7182" s="171">
        <v>-1894.8767210698329</v>
      </c>
    </row>
    <row r="7183" spans="2:2" ht="15.6">
      <c r="B7183" s="171">
        <v>-1884.2280496267645</v>
      </c>
    </row>
    <row r="7184" spans="2:2" ht="15.6">
      <c r="B7184" s="171">
        <v>-1971.5306329512159</v>
      </c>
    </row>
    <row r="7185" spans="2:2" ht="15.6">
      <c r="B7185" s="171">
        <v>-1555.5743116335632</v>
      </c>
    </row>
    <row r="7186" spans="2:2" ht="15.6">
      <c r="B7186" s="171">
        <v>-1956.1106952201355</v>
      </c>
    </row>
    <row r="7187" spans="2:2" ht="15.6">
      <c r="B7187" s="171">
        <v>-1689.3030302617401</v>
      </c>
    </row>
    <row r="7188" spans="2:2" ht="15.6">
      <c r="B7188" s="171">
        <v>-2300.7324614258255</v>
      </c>
    </row>
    <row r="7189" spans="2:2" ht="15.6">
      <c r="B7189" s="171">
        <v>-1744.361449389917</v>
      </c>
    </row>
    <row r="7190" spans="2:2" ht="15.6">
      <c r="B7190" s="171">
        <v>-1876.536129728262</v>
      </c>
    </row>
    <row r="7191" spans="2:2" ht="15.6">
      <c r="B7191" s="171">
        <v>-1176.0961713091194</v>
      </c>
    </row>
    <row r="7192" spans="2:2" ht="15.6">
      <c r="B7192" s="171">
        <v>-2173.9627343102966</v>
      </c>
    </row>
    <row r="7193" spans="2:2" ht="15.6">
      <c r="B7193" s="171">
        <v>-1461.6597267431516</v>
      </c>
    </row>
    <row r="7194" spans="2:2" ht="15.6">
      <c r="B7194" s="171">
        <v>-1246.8469084483859</v>
      </c>
    </row>
    <row r="7195" spans="2:2" ht="15.6">
      <c r="B7195" s="171">
        <v>-1616.6313257179622</v>
      </c>
    </row>
    <row r="7196" spans="2:2" ht="15.6">
      <c r="B7196" s="171">
        <v>-1250.909231864201</v>
      </c>
    </row>
    <row r="7197" spans="2:2" ht="15.6">
      <c r="B7197" s="171">
        <v>-1794.3505828610867</v>
      </c>
    </row>
    <row r="7198" spans="2:2" ht="15.6">
      <c r="B7198" s="171">
        <v>-2437.5819947702375</v>
      </c>
    </row>
    <row r="7199" spans="2:2" ht="15.6">
      <c r="B7199" s="171">
        <v>-1294.245172660899</v>
      </c>
    </row>
    <row r="7200" spans="2:2" ht="15.6">
      <c r="B7200" s="171">
        <v>-1988.8129906374031</v>
      </c>
    </row>
    <row r="7201" spans="2:2" ht="15.6">
      <c r="B7201" s="171">
        <v>-2350.3566745782118</v>
      </c>
    </row>
    <row r="7202" spans="2:2" ht="15.6">
      <c r="B7202" s="171">
        <v>-1173.1648445912745</v>
      </c>
    </row>
    <row r="7203" spans="2:2" ht="15.6">
      <c r="B7203" s="171">
        <v>-1706.9625343258797</v>
      </c>
    </row>
    <row r="7204" spans="2:2" ht="15.6">
      <c r="B7204" s="171">
        <v>-2647.4337852331837</v>
      </c>
    </row>
    <row r="7205" spans="2:2" ht="15.6">
      <c r="B7205" s="171">
        <v>-1603.6545761316038</v>
      </c>
    </row>
    <row r="7206" spans="2:2" ht="15.6">
      <c r="B7206" s="171">
        <v>-2030.2811974638121</v>
      </c>
    </row>
    <row r="7207" spans="2:2" ht="15.6">
      <c r="B7207" s="171">
        <v>-1318.3331694619819</v>
      </c>
    </row>
    <row r="7208" spans="2:2" ht="15.6">
      <c r="B7208" s="171">
        <v>-2103.915139524875</v>
      </c>
    </row>
    <row r="7209" spans="2:2" ht="15.6">
      <c r="B7209" s="171">
        <v>-1685.5813179290599</v>
      </c>
    </row>
    <row r="7210" spans="2:2" ht="15.6">
      <c r="B7210" s="171">
        <v>-1599.3747482251933</v>
      </c>
    </row>
    <row r="7211" spans="2:2" ht="15.6">
      <c r="B7211" s="171">
        <v>-1530.5765131233329</v>
      </c>
    </row>
    <row r="7212" spans="2:2" ht="15.6">
      <c r="B7212" s="171">
        <v>-1038.4522733467463</v>
      </c>
    </row>
    <row r="7213" spans="2:2" ht="15.6">
      <c r="B7213" s="171">
        <v>-1528.0207074866544</v>
      </c>
    </row>
    <row r="7214" spans="2:2" ht="15.6">
      <c r="B7214" s="171">
        <v>-2099.6775451799826</v>
      </c>
    </row>
    <row r="7215" spans="2:2" ht="15.6">
      <c r="B7215" s="171">
        <v>-1562.3069789903016</v>
      </c>
    </row>
    <row r="7216" spans="2:2" ht="15.6">
      <c r="B7216" s="171">
        <v>-883.30449525682491</v>
      </c>
    </row>
    <row r="7217" spans="2:2" ht="15.6">
      <c r="B7217" s="171">
        <v>-1303.7949586232378</v>
      </c>
    </row>
    <row r="7218" spans="2:2" ht="15.6">
      <c r="B7218" s="171">
        <v>-2501.3214734737153</v>
      </c>
    </row>
    <row r="7219" spans="2:2" ht="15.6">
      <c r="B7219" s="171">
        <v>-1519.7603897177542</v>
      </c>
    </row>
    <row r="7220" spans="2:2" ht="15.6">
      <c r="B7220" s="171">
        <v>-2257.7060326313058</v>
      </c>
    </row>
    <row r="7221" spans="2:2" ht="15.6">
      <c r="B7221" s="171">
        <v>-2021.4736828611058</v>
      </c>
    </row>
    <row r="7222" spans="2:2" ht="15.6">
      <c r="B7222" s="171">
        <v>-1250.7641137206208</v>
      </c>
    </row>
    <row r="7223" spans="2:2" ht="15.6">
      <c r="B7223" s="171">
        <v>-1409.6583421955975</v>
      </c>
    </row>
    <row r="7224" spans="2:2" ht="15.6">
      <c r="B7224" s="171">
        <v>-1838.1417676727556</v>
      </c>
    </row>
    <row r="7225" spans="2:2" ht="15.6">
      <c r="B7225" s="171">
        <v>-1726.0224594892843</v>
      </c>
    </row>
    <row r="7226" spans="2:2" ht="15.6">
      <c r="B7226" s="171">
        <v>-1670.8571262489509</v>
      </c>
    </row>
    <row r="7227" spans="2:2" ht="15.6">
      <c r="B7227" s="171">
        <v>-1483.524802586036</v>
      </c>
    </row>
    <row r="7228" spans="2:2" ht="15.6">
      <c r="B7228" s="171">
        <v>-1032.1639273355424</v>
      </c>
    </row>
    <row r="7229" spans="2:2" ht="15.6">
      <c r="B7229" s="171">
        <v>-1123.635424435563</v>
      </c>
    </row>
    <row r="7230" spans="2:2" ht="15.6">
      <c r="B7230" s="171">
        <v>-1083.9872754008854</v>
      </c>
    </row>
    <row r="7231" spans="2:2" ht="15.6">
      <c r="B7231" s="171">
        <v>-1293.4015338288107</v>
      </c>
    </row>
    <row r="7232" spans="2:2" ht="15.6">
      <c r="B7232" s="171">
        <v>-1515.9187515434326</v>
      </c>
    </row>
    <row r="7233" spans="2:2" ht="15.6">
      <c r="B7233" s="171">
        <v>-1566.0057902998165</v>
      </c>
    </row>
    <row r="7234" spans="2:2" ht="15.6">
      <c r="B7234" s="171">
        <v>-1367.2176800276054</v>
      </c>
    </row>
    <row r="7235" spans="2:2" ht="15.6">
      <c r="B7235" s="171">
        <v>-1751.2330543140224</v>
      </c>
    </row>
    <row r="7236" spans="2:2" ht="15.6">
      <c r="B7236" s="171">
        <v>-1396.5497244602643</v>
      </c>
    </row>
    <row r="7237" spans="2:2" ht="15.6">
      <c r="B7237" s="171">
        <v>-984.85419163453787</v>
      </c>
    </row>
    <row r="7238" spans="2:2" ht="15.6">
      <c r="B7238" s="171">
        <v>-1684.9168435660613</v>
      </c>
    </row>
    <row r="7239" spans="2:2" ht="15.6">
      <c r="B7239" s="171">
        <v>-1389.3158968088292</v>
      </c>
    </row>
    <row r="7240" spans="2:2" ht="15.6">
      <c r="B7240" s="171">
        <v>-1617.4456054498992</v>
      </c>
    </row>
    <row r="7241" spans="2:2" ht="15.6">
      <c r="B7241" s="171">
        <v>-2114.9994876029778</v>
      </c>
    </row>
    <row r="7242" spans="2:2" ht="15.6">
      <c r="B7242" s="171">
        <v>-1753.3672204758111</v>
      </c>
    </row>
    <row r="7243" spans="2:2" ht="15.6">
      <c r="B7243" s="171">
        <v>-2052.0825023270249</v>
      </c>
    </row>
    <row r="7244" spans="2:2" ht="15.6">
      <c r="B7244" s="171">
        <v>-1539.7497581876937</v>
      </c>
    </row>
    <row r="7245" spans="2:2" ht="15.6">
      <c r="B7245" s="171">
        <v>-1108.8246640787113</v>
      </c>
    </row>
    <row r="7246" spans="2:2" ht="15.6">
      <c r="B7246" s="171">
        <v>-1464.2998623802778</v>
      </c>
    </row>
    <row r="7247" spans="2:2" ht="15.6">
      <c r="B7247" s="171">
        <v>-2208.9567504442011</v>
      </c>
    </row>
    <row r="7248" spans="2:2" ht="15.6">
      <c r="B7248" s="171">
        <v>-1403.9989938739673</v>
      </c>
    </row>
    <row r="7249" spans="2:2" ht="15.6">
      <c r="B7249" s="171">
        <v>-1624.4965035276384</v>
      </c>
    </row>
    <row r="7250" spans="2:2" ht="15.6">
      <c r="B7250" s="171">
        <v>-1147.2170310119163</v>
      </c>
    </row>
    <row r="7251" spans="2:2" ht="15.6">
      <c r="B7251" s="171">
        <v>-881.16648070937549</v>
      </c>
    </row>
    <row r="7252" spans="2:2" ht="15.6">
      <c r="B7252" s="171">
        <v>-1567.7723542946851</v>
      </c>
    </row>
    <row r="7253" spans="2:2" ht="15.6">
      <c r="B7253" s="171">
        <v>-2490.0662069037335</v>
      </c>
    </row>
    <row r="7254" spans="2:2" ht="15.6">
      <c r="B7254" s="171">
        <v>-1404.4357330264954</v>
      </c>
    </row>
    <row r="7255" spans="2:2" ht="15.6">
      <c r="B7255" s="171">
        <v>-1536.7393280779588</v>
      </c>
    </row>
    <row r="7256" spans="2:2" ht="15.6">
      <c r="B7256" s="171">
        <v>-1189.0854139130461</v>
      </c>
    </row>
    <row r="7257" spans="2:2" ht="15.6">
      <c r="B7257" s="171">
        <v>-2122.993968136293</v>
      </c>
    </row>
    <row r="7258" spans="2:2" ht="15.6">
      <c r="B7258" s="171">
        <v>-1651.5743155679943</v>
      </c>
    </row>
    <row r="7259" spans="2:2" ht="15.6">
      <c r="B7259" s="171">
        <v>-1372.3697100373397</v>
      </c>
    </row>
    <row r="7260" spans="2:2" ht="15.6">
      <c r="B7260" s="171">
        <v>-2271.5338009036227</v>
      </c>
    </row>
    <row r="7261" spans="2:2" ht="15.6">
      <c r="B7261" s="171">
        <v>-1286.1080042910392</v>
      </c>
    </row>
    <row r="7262" spans="2:2" ht="15.6">
      <c r="B7262" s="171">
        <v>-2021.5037652512819</v>
      </c>
    </row>
    <row r="7263" spans="2:2" ht="15.6">
      <c r="B7263" s="171">
        <v>-1356.7132242015293</v>
      </c>
    </row>
    <row r="7264" spans="2:2" ht="15.6">
      <c r="B7264" s="171">
        <v>-1910.0703357096895</v>
      </c>
    </row>
    <row r="7265" spans="2:2" ht="15.6">
      <c r="B7265" s="171">
        <v>-2201.8268673426724</v>
      </c>
    </row>
    <row r="7266" spans="2:2" ht="15.6">
      <c r="B7266" s="171">
        <v>-939.98001608873233</v>
      </c>
    </row>
    <row r="7267" spans="2:2" ht="15.6">
      <c r="B7267" s="171">
        <v>-1048.1337162817738</v>
      </c>
    </row>
    <row r="7268" spans="2:2" ht="15.6">
      <c r="B7268" s="171">
        <v>-1472.4702310817033</v>
      </c>
    </row>
    <row r="7269" spans="2:2" ht="15.6">
      <c r="B7269" s="171">
        <v>-1939.1725934102819</v>
      </c>
    </row>
    <row r="7270" spans="2:2" ht="15.6">
      <c r="B7270" s="171">
        <v>-1479.2667459467502</v>
      </c>
    </row>
    <row r="7271" spans="2:2" ht="15.6">
      <c r="B7271" s="171">
        <v>-2017.82182853734</v>
      </c>
    </row>
    <row r="7272" spans="2:2" ht="15.6">
      <c r="B7272" s="171">
        <v>-1425.6514009610701</v>
      </c>
    </row>
    <row r="7273" spans="2:2" ht="15.6">
      <c r="B7273" s="171">
        <v>-1280.8488099490628</v>
      </c>
    </row>
    <row r="7274" spans="2:2" ht="15.6">
      <c r="B7274" s="171">
        <v>-2132.2887407196831</v>
      </c>
    </row>
    <row r="7275" spans="2:2" ht="15.6">
      <c r="B7275" s="171">
        <v>-1557.5055253043345</v>
      </c>
    </row>
    <row r="7276" spans="2:2" ht="15.6">
      <c r="B7276" s="171">
        <v>-1684.8365062445068</v>
      </c>
    </row>
    <row r="7277" spans="2:2" ht="15.6">
      <c r="B7277" s="171">
        <v>-1657.095410330591</v>
      </c>
    </row>
    <row r="7278" spans="2:2" ht="15.6">
      <c r="B7278" s="171">
        <v>-2052.6799507555274</v>
      </c>
    </row>
    <row r="7279" spans="2:2" ht="15.6">
      <c r="B7279" s="171">
        <v>-1207.5996363675365</v>
      </c>
    </row>
    <row r="7280" spans="2:2" ht="15.6">
      <c r="B7280" s="171">
        <v>-1278.4462916727198</v>
      </c>
    </row>
    <row r="7281" spans="2:2" ht="15.6">
      <c r="B7281" s="171">
        <v>-1566.6401415278674</v>
      </c>
    </row>
    <row r="7282" spans="2:2" ht="15.6">
      <c r="B7282" s="171">
        <v>-1794.4727853846616</v>
      </c>
    </row>
    <row r="7283" spans="2:2" ht="15.6">
      <c r="B7283" s="171">
        <v>-1447.8913776820584</v>
      </c>
    </row>
    <row r="7284" spans="2:2" ht="15.6">
      <c r="B7284" s="171">
        <v>-1012.5725071678551</v>
      </c>
    </row>
    <row r="7285" spans="2:2" ht="15.6">
      <c r="B7285" s="171">
        <v>-1629.7076504211279</v>
      </c>
    </row>
    <row r="7286" spans="2:2" ht="15.6">
      <c r="B7286" s="171">
        <v>-1272.2405352871556</v>
      </c>
    </row>
    <row r="7287" spans="2:2" ht="15.6">
      <c r="B7287" s="171">
        <v>-1925.5108636989594</v>
      </c>
    </row>
    <row r="7288" spans="2:2" ht="15.6">
      <c r="B7288" s="171">
        <v>-2188.0756970785301</v>
      </c>
    </row>
    <row r="7289" spans="2:2" ht="15.6">
      <c r="B7289" s="171">
        <v>-1701.5647317477242</v>
      </c>
    </row>
    <row r="7290" spans="2:2" ht="15.6">
      <c r="B7290" s="171">
        <v>-1055.7968969479839</v>
      </c>
    </row>
    <row r="7291" spans="2:2" ht="15.6">
      <c r="B7291" s="171">
        <v>-1226.9287657451443</v>
      </c>
    </row>
    <row r="7292" spans="2:2" ht="15.6">
      <c r="B7292" s="171">
        <v>-2196.0042789733261</v>
      </c>
    </row>
    <row r="7293" spans="2:2" ht="15.6">
      <c r="B7293" s="171">
        <v>-1666.406440245082</v>
      </c>
    </row>
    <row r="7294" spans="2:2" ht="15.6">
      <c r="B7294" s="171">
        <v>-2498.4555981168046</v>
      </c>
    </row>
    <row r="7295" spans="2:2" ht="15.6">
      <c r="B7295" s="171">
        <v>-1055.0215402923291</v>
      </c>
    </row>
    <row r="7296" spans="2:2" ht="15.6">
      <c r="B7296" s="171">
        <v>-861.76747310640224</v>
      </c>
    </row>
    <row r="7297" spans="2:2" ht="15.6">
      <c r="B7297" s="171">
        <v>-981.88652839857389</v>
      </c>
    </row>
    <row r="7298" spans="2:2" ht="15.6">
      <c r="B7298" s="171">
        <v>-1809.8796911310133</v>
      </c>
    </row>
    <row r="7299" spans="2:2" ht="15.6">
      <c r="B7299" s="171">
        <v>-2244.6958822580964</v>
      </c>
    </row>
    <row r="7300" spans="2:2" ht="15.6">
      <c r="B7300" s="171">
        <v>-2074.1341241134987</v>
      </c>
    </row>
    <row r="7301" spans="2:2" ht="15.6">
      <c r="B7301" s="171">
        <v>-1724.1645646958214</v>
      </c>
    </row>
    <row r="7302" spans="2:2" ht="15.6">
      <c r="B7302" s="171">
        <v>-1885.0057033677642</v>
      </c>
    </row>
    <row r="7303" spans="2:2" ht="15.6">
      <c r="B7303" s="171">
        <v>-2006.866928920494</v>
      </c>
    </row>
    <row r="7304" spans="2:2" ht="15.6">
      <c r="B7304" s="171">
        <v>-1273.0421985017663</v>
      </c>
    </row>
    <row r="7305" spans="2:2" ht="15.6">
      <c r="B7305" s="171">
        <v>-1888.8222076209295</v>
      </c>
    </row>
    <row r="7306" spans="2:2" ht="15.6">
      <c r="B7306" s="171">
        <v>-1579.5651590314517</v>
      </c>
    </row>
    <row r="7307" spans="2:2" ht="15.6">
      <c r="B7307" s="171">
        <v>-1845.4369230735999</v>
      </c>
    </row>
    <row r="7308" spans="2:2" ht="15.6">
      <c r="B7308" s="171">
        <v>-1371.458038762079</v>
      </c>
    </row>
    <row r="7309" spans="2:2" ht="15.6">
      <c r="B7309" s="171">
        <v>-1868.6958672353398</v>
      </c>
    </row>
    <row r="7310" spans="2:2" ht="15.6">
      <c r="B7310" s="171">
        <v>-2616.5610133586524</v>
      </c>
    </row>
    <row r="7311" spans="2:2" ht="15.6">
      <c r="B7311" s="171">
        <v>-2146.651757673701</v>
      </c>
    </row>
    <row r="7312" spans="2:2" ht="15.6">
      <c r="B7312" s="171">
        <v>-1293.1903930039211</v>
      </c>
    </row>
    <row r="7313" spans="2:2" ht="15.6">
      <c r="B7313" s="171">
        <v>-1692.5574315037807</v>
      </c>
    </row>
    <row r="7314" spans="2:2" ht="15.6">
      <c r="B7314" s="171">
        <v>-1167.1927243108396</v>
      </c>
    </row>
    <row r="7315" spans="2:2" ht="15.6">
      <c r="B7315" s="171">
        <v>-2008.7364850977083</v>
      </c>
    </row>
    <row r="7316" spans="2:2" ht="15.6">
      <c r="B7316" s="171">
        <v>-1889.4316648860176</v>
      </c>
    </row>
    <row r="7317" spans="2:2" ht="15.6">
      <c r="B7317" s="171">
        <v>-1393.5478168836316</v>
      </c>
    </row>
    <row r="7318" spans="2:2" ht="15.6">
      <c r="B7318" s="171">
        <v>-1179.0914450996431</v>
      </c>
    </row>
    <row r="7319" spans="2:2" ht="15.6">
      <c r="B7319" s="171">
        <v>-946.95394259299985</v>
      </c>
    </row>
    <row r="7320" spans="2:2" ht="15.6">
      <c r="B7320" s="171">
        <v>-1237.8868688197947</v>
      </c>
    </row>
    <row r="7321" spans="2:2" ht="15.6">
      <c r="B7321" s="171">
        <v>-1712.9974884323929</v>
      </c>
    </row>
    <row r="7322" spans="2:2" ht="15.6">
      <c r="B7322" s="171">
        <v>-1560.6095842007444</v>
      </c>
    </row>
    <row r="7323" spans="2:2" ht="15.6">
      <c r="B7323" s="171">
        <v>-1618.2184677572222</v>
      </c>
    </row>
    <row r="7324" spans="2:2" ht="15.6">
      <c r="B7324" s="171">
        <v>-1499.2563811807381</v>
      </c>
    </row>
    <row r="7325" spans="2:2" ht="15.6">
      <c r="B7325" s="171">
        <v>-1883.6816571771778</v>
      </c>
    </row>
    <row r="7326" spans="2:2" ht="15.6">
      <c r="B7326" s="171">
        <v>-2158.3338655270554</v>
      </c>
    </row>
    <row r="7327" spans="2:2" ht="15.6">
      <c r="B7327" s="171">
        <v>-1913.8130332364092</v>
      </c>
    </row>
    <row r="7328" spans="2:2" ht="15.6">
      <c r="B7328" s="171">
        <v>-2005.4709482008789</v>
      </c>
    </row>
    <row r="7329" spans="2:2" ht="15.6">
      <c r="B7329" s="171">
        <v>-1648.7018093126176</v>
      </c>
    </row>
    <row r="7330" spans="2:2" ht="15.6">
      <c r="B7330" s="171">
        <v>-1810.5118077723328</v>
      </c>
    </row>
    <row r="7331" spans="2:2" ht="15.6">
      <c r="B7331" s="171">
        <v>-1366.0304589685072</v>
      </c>
    </row>
    <row r="7332" spans="2:2" ht="15.6">
      <c r="B7332" s="171">
        <v>-1728.1899872062677</v>
      </c>
    </row>
    <row r="7333" spans="2:2" ht="15.6">
      <c r="B7333" s="171">
        <v>-1482.8280561822121</v>
      </c>
    </row>
    <row r="7334" spans="2:2" ht="15.6">
      <c r="B7334" s="171">
        <v>-1482.1639684040824</v>
      </c>
    </row>
    <row r="7335" spans="2:2" ht="15.6">
      <c r="B7335" s="171">
        <v>-1565.4535632666502</v>
      </c>
    </row>
    <row r="7336" spans="2:2" ht="15.6">
      <c r="B7336" s="171">
        <v>-1442.689061881927</v>
      </c>
    </row>
    <row r="7337" spans="2:2" ht="15.6">
      <c r="B7337" s="171">
        <v>-1988.5610399537291</v>
      </c>
    </row>
    <row r="7338" spans="2:2" ht="15.6">
      <c r="B7338" s="171">
        <v>-1472.3624949039822</v>
      </c>
    </row>
    <row r="7339" spans="2:2" ht="15.6">
      <c r="B7339" s="171">
        <v>-1228.0751016936765</v>
      </c>
    </row>
    <row r="7340" spans="2:2" ht="15.6">
      <c r="B7340" s="171">
        <v>-1603.5482000165066</v>
      </c>
    </row>
    <row r="7341" spans="2:2" ht="15.6">
      <c r="B7341" s="171">
        <v>-1183.2041720538728</v>
      </c>
    </row>
    <row r="7342" spans="2:2" ht="15.6">
      <c r="B7342" s="171">
        <v>-1747.1625058052632</v>
      </c>
    </row>
    <row r="7343" spans="2:2" ht="15.6">
      <c r="B7343" s="171">
        <v>-888.82896301563551</v>
      </c>
    </row>
    <row r="7344" spans="2:2" ht="15.6">
      <c r="B7344" s="171">
        <v>-2008.4379297291489</v>
      </c>
    </row>
    <row r="7345" spans="2:2" ht="15.6">
      <c r="B7345" s="171">
        <v>-2251.9855601332501</v>
      </c>
    </row>
    <row r="7346" spans="2:2" ht="15.6">
      <c r="B7346" s="171">
        <v>-2994.3312220542352</v>
      </c>
    </row>
    <row r="7347" spans="2:2" ht="15.6">
      <c r="B7347" s="171">
        <v>-1240.8551490728121</v>
      </c>
    </row>
    <row r="7348" spans="2:2" ht="15.6">
      <c r="B7348" s="171">
        <v>-1548.7497164862939</v>
      </c>
    </row>
    <row r="7349" spans="2:2" ht="15.6">
      <c r="B7349" s="171">
        <v>-1623.311573195137</v>
      </c>
    </row>
    <row r="7350" spans="2:2" ht="15.6">
      <c r="B7350" s="171">
        <v>-1659.623433124339</v>
      </c>
    </row>
    <row r="7351" spans="2:2" ht="15.6">
      <c r="B7351" s="171">
        <v>-2239.5602838419973</v>
      </c>
    </row>
    <row r="7352" spans="2:2" ht="15.6">
      <c r="B7352" s="171">
        <v>-1763.0214051934322</v>
      </c>
    </row>
    <row r="7353" spans="2:2" ht="15.6">
      <c r="B7353" s="171">
        <v>-1728.4732327766542</v>
      </c>
    </row>
    <row r="7354" spans="2:2" ht="15.6">
      <c r="B7354" s="171">
        <v>-1088.8560538132508</v>
      </c>
    </row>
    <row r="7355" spans="2:2" ht="15.6">
      <c r="B7355" s="171">
        <v>-1631.6740780329612</v>
      </c>
    </row>
    <row r="7356" spans="2:2" ht="15.6">
      <c r="B7356" s="171">
        <v>-1520.0344196920751</v>
      </c>
    </row>
    <row r="7357" spans="2:2" ht="15.6">
      <c r="B7357" s="171">
        <v>-1427.9083046916917</v>
      </c>
    </row>
    <row r="7358" spans="2:2" ht="15.6">
      <c r="B7358" s="171">
        <v>-1861.1821877036514</v>
      </c>
    </row>
    <row r="7359" spans="2:2" ht="15.6">
      <c r="B7359" s="171">
        <v>-1450.7162919894124</v>
      </c>
    </row>
    <row r="7360" spans="2:2" ht="15.6">
      <c r="B7360" s="171">
        <v>-1824.4417918369732</v>
      </c>
    </row>
    <row r="7361" spans="2:2" ht="15.6">
      <c r="B7361" s="171">
        <v>-1107.9748687371148</v>
      </c>
    </row>
    <row r="7362" spans="2:2" ht="15.6">
      <c r="B7362" s="171">
        <v>-1648.8252041452392</v>
      </c>
    </row>
    <row r="7363" spans="2:2" ht="15.6">
      <c r="B7363" s="171">
        <v>-1594.0412808184687</v>
      </c>
    </row>
    <row r="7364" spans="2:2" ht="15.6">
      <c r="B7364" s="171">
        <v>-1697.3251677641156</v>
      </c>
    </row>
    <row r="7365" spans="2:2" ht="15.6">
      <c r="B7365" s="171">
        <v>-1507.2515084668312</v>
      </c>
    </row>
    <row r="7366" spans="2:2" ht="15.6">
      <c r="B7366" s="171">
        <v>-1514.3553971443464</v>
      </c>
    </row>
    <row r="7367" spans="2:2" ht="15.6">
      <c r="B7367" s="171">
        <v>-1476.8601707245059</v>
      </c>
    </row>
    <row r="7368" spans="2:2" ht="15.6">
      <c r="B7368" s="171">
        <v>-1494.6418618529492</v>
      </c>
    </row>
    <row r="7369" spans="2:2" ht="15.6">
      <c r="B7369" s="171">
        <v>-1547.9779533373071</v>
      </c>
    </row>
    <row r="7370" spans="2:2" ht="15.6">
      <c r="B7370" s="171">
        <v>-1813.9431772304351</v>
      </c>
    </row>
    <row r="7371" spans="2:2" ht="15.6">
      <c r="B7371" s="171">
        <v>-1180.7683496441991</v>
      </c>
    </row>
    <row r="7372" spans="2:2" ht="15.6">
      <c r="B7372" s="171">
        <v>-1647.9902453411125</v>
      </c>
    </row>
    <row r="7373" spans="2:2" ht="15.6">
      <c r="B7373" s="171">
        <v>-1772.5136964397029</v>
      </c>
    </row>
    <row r="7374" spans="2:2" ht="15.6">
      <c r="B7374" s="171">
        <v>-1440.9239232639145</v>
      </c>
    </row>
    <row r="7375" spans="2:2" ht="15.6">
      <c r="B7375" s="171">
        <v>-1818.2526927644724</v>
      </c>
    </row>
    <row r="7376" spans="2:2" ht="15.6">
      <c r="B7376" s="171">
        <v>-1769.7332762242777</v>
      </c>
    </row>
    <row r="7377" spans="2:2" ht="15.6">
      <c r="B7377" s="171">
        <v>-1580.2685420421826</v>
      </c>
    </row>
    <row r="7378" spans="2:2" ht="15.6">
      <c r="B7378" s="171">
        <v>-1333.749550738582</v>
      </c>
    </row>
    <row r="7379" spans="2:2" ht="15.6">
      <c r="B7379" s="171">
        <v>-1482.3802934081918</v>
      </c>
    </row>
    <row r="7380" spans="2:2" ht="15.6">
      <c r="B7380" s="171">
        <v>-2090.3519925090777</v>
      </c>
    </row>
    <row r="7381" spans="2:2" ht="15.6">
      <c r="B7381" s="171">
        <v>-1915.1283292654698</v>
      </c>
    </row>
    <row r="7382" spans="2:2" ht="15.6">
      <c r="B7382" s="171">
        <v>-1562.8500516222675</v>
      </c>
    </row>
    <row r="7383" spans="2:2" ht="15.6">
      <c r="B7383" s="171">
        <v>-1607.7048445933488</v>
      </c>
    </row>
    <row r="7384" spans="2:2" ht="15.6">
      <c r="B7384" s="171">
        <v>-2018.4982411987692</v>
      </c>
    </row>
    <row r="7385" spans="2:2" ht="15.6">
      <c r="B7385" s="171">
        <v>-2346.4649949786717</v>
      </c>
    </row>
    <row r="7386" spans="2:2" ht="15.6">
      <c r="B7386" s="171">
        <v>-1114.8187494907588</v>
      </c>
    </row>
    <row r="7387" spans="2:2" ht="15.6">
      <c r="B7387" s="171">
        <v>-1979.5316324964988</v>
      </c>
    </row>
    <row r="7388" spans="2:2" ht="15.6">
      <c r="B7388" s="171">
        <v>-2051.2696013081127</v>
      </c>
    </row>
    <row r="7389" spans="2:2" ht="15.6">
      <c r="B7389" s="171">
        <v>-1040.5210585535867</v>
      </c>
    </row>
    <row r="7390" spans="2:2" ht="15.6">
      <c r="B7390" s="171">
        <v>-1316.4172559138908</v>
      </c>
    </row>
    <row r="7391" spans="2:2" ht="15.6">
      <c r="B7391" s="171">
        <v>-1465.1863955360327</v>
      </c>
    </row>
    <row r="7392" spans="2:2" ht="15.6">
      <c r="B7392" s="171">
        <v>-1120.5726539900193</v>
      </c>
    </row>
    <row r="7393" spans="2:2" ht="15.6">
      <c r="B7393" s="171">
        <v>-1403.2033137560315</v>
      </c>
    </row>
    <row r="7394" spans="2:2" ht="15.6">
      <c r="B7394" s="171">
        <v>-2286.3647474501881</v>
      </c>
    </row>
    <row r="7395" spans="2:2" ht="15.6">
      <c r="B7395" s="171">
        <v>-1564.898205389095</v>
      </c>
    </row>
    <row r="7396" spans="2:2" ht="15.6">
      <c r="B7396" s="171">
        <v>-1481.1571915426684</v>
      </c>
    </row>
    <row r="7397" spans="2:2" ht="15.6">
      <c r="B7397" s="171">
        <v>-1145.8664348171442</v>
      </c>
    </row>
    <row r="7398" spans="2:2" ht="15.6">
      <c r="B7398" s="171">
        <v>-1590.926068485373</v>
      </c>
    </row>
    <row r="7399" spans="2:2" ht="15.6">
      <c r="B7399" s="171">
        <v>-981.8604340064652</v>
      </c>
    </row>
    <row r="7400" spans="2:2" ht="15.6">
      <c r="B7400" s="171">
        <v>-1745.7304094973383</v>
      </c>
    </row>
    <row r="7401" spans="2:2" ht="15.6">
      <c r="B7401" s="171">
        <v>-1253.900953451775</v>
      </c>
    </row>
    <row r="7402" spans="2:2" ht="15.6">
      <c r="B7402" s="171">
        <v>-790.61551855195864</v>
      </c>
    </row>
    <row r="7403" spans="2:2" ht="15.6">
      <c r="B7403" s="171">
        <v>-1939.8269172076825</v>
      </c>
    </row>
    <row r="7404" spans="2:2" ht="15.6">
      <c r="B7404" s="171">
        <v>-1255.398649257113</v>
      </c>
    </row>
    <row r="7405" spans="2:2" ht="15.6">
      <c r="B7405" s="171">
        <v>-1564.2215462024344</v>
      </c>
    </row>
    <row r="7406" spans="2:2" ht="15.6">
      <c r="B7406" s="171">
        <v>-816.84058208120314</v>
      </c>
    </row>
    <row r="7407" spans="2:2" ht="15.6">
      <c r="B7407" s="171">
        <v>-1281.8535511063526</v>
      </c>
    </row>
    <row r="7408" spans="2:2" ht="15.6">
      <c r="B7408" s="171">
        <v>-2037.5547337234761</v>
      </c>
    </row>
    <row r="7409" spans="2:2" ht="15.6">
      <c r="B7409" s="171">
        <v>-1383.4713164649911</v>
      </c>
    </row>
    <row r="7410" spans="2:2" ht="15.6">
      <c r="B7410" s="171">
        <v>-1384.3554434995372</v>
      </c>
    </row>
    <row r="7411" spans="2:2" ht="15.6">
      <c r="B7411" s="171">
        <v>-1202.6019137037797</v>
      </c>
    </row>
    <row r="7412" spans="2:2" ht="15.6">
      <c r="B7412" s="171">
        <v>-1801.6656029331177</v>
      </c>
    </row>
    <row r="7413" spans="2:2" ht="15.6">
      <c r="B7413" s="171">
        <v>-1538.2497742689536</v>
      </c>
    </row>
    <row r="7414" spans="2:2" ht="15.6">
      <c r="B7414" s="171">
        <v>-1815.5259321788785</v>
      </c>
    </row>
    <row r="7415" spans="2:2" ht="15.6">
      <c r="B7415" s="171">
        <v>-2873.9198323838737</v>
      </c>
    </row>
    <row r="7416" spans="2:2" ht="15.6">
      <c r="B7416" s="171">
        <v>-1053.3748931036814</v>
      </c>
    </row>
    <row r="7417" spans="2:2" ht="15.6">
      <c r="B7417" s="171">
        <v>-1590.4503833242509</v>
      </c>
    </row>
    <row r="7418" spans="2:2" ht="15.6">
      <c r="B7418" s="171">
        <v>-1028.0078937265405</v>
      </c>
    </row>
    <row r="7419" spans="2:2" ht="15.6">
      <c r="B7419" s="171">
        <v>-1432.1150679222628</v>
      </c>
    </row>
    <row r="7420" spans="2:2" ht="15.6">
      <c r="B7420" s="171">
        <v>-2020.0786386489945</v>
      </c>
    </row>
    <row r="7421" spans="2:2" ht="15.6">
      <c r="B7421" s="171">
        <v>-1100.7784672137861</v>
      </c>
    </row>
    <row r="7422" spans="2:2" ht="15.6">
      <c r="B7422" s="171">
        <v>-2315.591367676921</v>
      </c>
    </row>
    <row r="7423" spans="2:2" ht="15.6">
      <c r="B7423" s="171">
        <v>-1205.2379421437745</v>
      </c>
    </row>
    <row r="7424" spans="2:2" ht="15.6">
      <c r="B7424" s="171">
        <v>-1787.4749946686711</v>
      </c>
    </row>
    <row r="7425" spans="2:2" ht="15.6">
      <c r="B7425" s="171">
        <v>-1587.8157449736677</v>
      </c>
    </row>
    <row r="7426" spans="2:2" ht="15.6">
      <c r="B7426" s="171">
        <v>-1875.7657509093251</v>
      </c>
    </row>
    <row r="7427" spans="2:2" ht="15.6">
      <c r="B7427" s="171">
        <v>-2195.239139107523</v>
      </c>
    </row>
    <row r="7428" spans="2:2" ht="15.6">
      <c r="B7428" s="171">
        <v>-1585.7255772100141</v>
      </c>
    </row>
    <row r="7429" spans="2:2" ht="15.6">
      <c r="B7429" s="171">
        <v>-1326.4747775202347</v>
      </c>
    </row>
    <row r="7430" spans="2:2" ht="15.6">
      <c r="B7430" s="171">
        <v>-1581.0508196636158</v>
      </c>
    </row>
    <row r="7431" spans="2:2" ht="15.6">
      <c r="B7431" s="171">
        <v>-2283.5132630132612</v>
      </c>
    </row>
    <row r="7432" spans="2:2" ht="15.6">
      <c r="B7432" s="171">
        <v>-2597.4418514758809</v>
      </c>
    </row>
    <row r="7433" spans="2:2" ht="15.6">
      <c r="B7433" s="171">
        <v>-1214.5048934643078</v>
      </c>
    </row>
    <row r="7434" spans="2:2" ht="15.6">
      <c r="B7434" s="171">
        <v>-1522.0522896534681</v>
      </c>
    </row>
    <row r="7435" spans="2:2" ht="15.6">
      <c r="B7435" s="171">
        <v>-1478.4862534606486</v>
      </c>
    </row>
    <row r="7436" spans="2:2" ht="15.6">
      <c r="B7436" s="171">
        <v>-2626.7941752491834</v>
      </c>
    </row>
    <row r="7437" spans="2:2" ht="15.6">
      <c r="B7437" s="171">
        <v>-1583.3566434800732</v>
      </c>
    </row>
    <row r="7438" spans="2:2" ht="15.6">
      <c r="B7438" s="171">
        <v>-1291.6424723834771</v>
      </c>
    </row>
    <row r="7439" spans="2:2" ht="15.6">
      <c r="B7439" s="171">
        <v>-1399.0860419714284</v>
      </c>
    </row>
    <row r="7440" spans="2:2" ht="15.6">
      <c r="B7440" s="171">
        <v>-2435.1213992629046</v>
      </c>
    </row>
    <row r="7441" spans="2:2" ht="15.6">
      <c r="B7441" s="171">
        <v>-1309.8539076147104</v>
      </c>
    </row>
    <row r="7442" spans="2:2" ht="15.6">
      <c r="B7442" s="171">
        <v>-1544.5359096386305</v>
      </c>
    </row>
    <row r="7443" spans="2:2" ht="15.6">
      <c r="B7443" s="171">
        <v>-1054.7991368965745</v>
      </c>
    </row>
    <row r="7444" spans="2:2" ht="15.6">
      <c r="B7444" s="171">
        <v>-1137.4995335620979</v>
      </c>
    </row>
    <row r="7445" spans="2:2" ht="15.6">
      <c r="B7445" s="171">
        <v>-1617.8449966943517</v>
      </c>
    </row>
    <row r="7446" spans="2:2" ht="15.6">
      <c r="B7446" s="171">
        <v>-1664.6840562311781</v>
      </c>
    </row>
    <row r="7447" spans="2:2" ht="15.6">
      <c r="B7447" s="171">
        <v>-1310.3358939427342</v>
      </c>
    </row>
    <row r="7448" spans="2:2" ht="15.6">
      <c r="B7448" s="171">
        <v>-2009.1533387863096</v>
      </c>
    </row>
    <row r="7449" spans="2:2" ht="15.6">
      <c r="B7449" s="171">
        <v>-1555.0715389657053</v>
      </c>
    </row>
    <row r="7450" spans="2:2" ht="15.6">
      <c r="B7450" s="171">
        <v>-1369.1836450661472</v>
      </c>
    </row>
    <row r="7451" spans="2:2" ht="15.6">
      <c r="B7451" s="171">
        <v>-1677.8816007224821</v>
      </c>
    </row>
    <row r="7452" spans="2:2" ht="15.6">
      <c r="B7452" s="171">
        <v>-2005.5637494142004</v>
      </c>
    </row>
    <row r="7453" spans="2:2" ht="15.6">
      <c r="B7453" s="171">
        <v>-1854.8483727634896</v>
      </c>
    </row>
    <row r="7454" spans="2:2" ht="15.6">
      <c r="B7454" s="171">
        <v>-1050.2698550145562</v>
      </c>
    </row>
    <row r="7455" spans="2:2" ht="15.6">
      <c r="B7455" s="171">
        <v>-2249.5813535810939</v>
      </c>
    </row>
    <row r="7456" spans="2:2" ht="15.6">
      <c r="B7456" s="171">
        <v>-1757.0165435446897</v>
      </c>
    </row>
    <row r="7457" spans="2:2" ht="15.6">
      <c r="B7457" s="171">
        <v>-1532.4368689376167</v>
      </c>
    </row>
    <row r="7458" spans="2:2" ht="15.6">
      <c r="B7458" s="171">
        <v>-1478.2598235728881</v>
      </c>
    </row>
    <row r="7459" spans="2:2" ht="15.6">
      <c r="B7459" s="171">
        <v>-1765.7418701715389</v>
      </c>
    </row>
    <row r="7460" spans="2:2" ht="15.6">
      <c r="B7460" s="171">
        <v>-1408.8366764126592</v>
      </c>
    </row>
    <row r="7461" spans="2:2" ht="15.6">
      <c r="B7461" s="171">
        <v>-1817.9361747381845</v>
      </c>
    </row>
    <row r="7462" spans="2:2" ht="15.6">
      <c r="B7462" s="171">
        <v>-1432.7044801195791</v>
      </c>
    </row>
    <row r="7463" spans="2:2" ht="15.6">
      <c r="B7463" s="171">
        <v>-1491.1832083770068</v>
      </c>
    </row>
    <row r="7464" spans="2:2" ht="15.6">
      <c r="B7464" s="171">
        <v>-1624.3646899926962</v>
      </c>
    </row>
    <row r="7465" spans="2:2" ht="15.6">
      <c r="B7465" s="171">
        <v>-1678.8917830841367</v>
      </c>
    </row>
    <row r="7466" spans="2:2" ht="15.6">
      <c r="B7466" s="171">
        <v>-1557.2849088412568</v>
      </c>
    </row>
    <row r="7467" spans="2:2" ht="15.6">
      <c r="B7467" s="171">
        <v>-1697.03147785797</v>
      </c>
    </row>
    <row r="7468" spans="2:2" ht="15.6">
      <c r="B7468" s="171">
        <v>-1139.1156596094334</v>
      </c>
    </row>
    <row r="7469" spans="2:2" ht="15.6">
      <c r="B7469" s="171">
        <v>-1163.1799927595671</v>
      </c>
    </row>
    <row r="7470" spans="2:2" ht="15.6">
      <c r="B7470" s="171">
        <v>-1794.1013966017044</v>
      </c>
    </row>
    <row r="7471" spans="2:2" ht="15.6">
      <c r="B7471" s="171">
        <v>-2336.4117240502137</v>
      </c>
    </row>
    <row r="7472" spans="2:2" ht="15.6">
      <c r="B7472" s="171">
        <v>-1276.5086477152397</v>
      </c>
    </row>
    <row r="7473" spans="2:2" ht="15.6">
      <c r="B7473" s="171">
        <v>-1109.3732037817576</v>
      </c>
    </row>
    <row r="7474" spans="2:2" ht="15.6">
      <c r="B7474" s="171">
        <v>-1031.956770281043</v>
      </c>
    </row>
    <row r="7475" spans="2:2" ht="15.6">
      <c r="B7475" s="171">
        <v>-971.23184688713286</v>
      </c>
    </row>
    <row r="7476" spans="2:2" ht="15.6">
      <c r="B7476" s="171">
        <v>-1197.8754302537407</v>
      </c>
    </row>
    <row r="7477" spans="2:2" ht="15.6">
      <c r="B7477" s="171">
        <v>-2298.3904616034406</v>
      </c>
    </row>
    <row r="7478" spans="2:2" ht="15.6">
      <c r="B7478" s="171">
        <v>-1409.7438431831608</v>
      </c>
    </row>
    <row r="7479" spans="2:2" ht="15.6">
      <c r="B7479" s="171">
        <v>-1859.9756074649194</v>
      </c>
    </row>
    <row r="7480" spans="2:2" ht="15.6">
      <c r="B7480" s="171">
        <v>-1147.477370922812</v>
      </c>
    </row>
    <row r="7481" spans="2:2" ht="15.6">
      <c r="B7481" s="171">
        <v>-665.83794596089956</v>
      </c>
    </row>
    <row r="7482" spans="2:2" ht="15.6">
      <c r="B7482" s="171">
        <v>-1583.7113468170819</v>
      </c>
    </row>
    <row r="7483" spans="2:2" ht="15.6">
      <c r="B7483" s="171">
        <v>-1389.8857723664285</v>
      </c>
    </row>
    <row r="7484" spans="2:2" ht="15.6">
      <c r="B7484" s="171">
        <v>-1492.5307449641427</v>
      </c>
    </row>
    <row r="7485" spans="2:2" ht="15.6">
      <c r="B7485" s="171">
        <v>-1317.273540375792</v>
      </c>
    </row>
    <row r="7486" spans="2:2" ht="15.6">
      <c r="B7486" s="171">
        <v>-1168.9791083566183</v>
      </c>
    </row>
    <row r="7487" spans="2:2" ht="15.6">
      <c r="B7487" s="171">
        <v>-1375.8319382251607</v>
      </c>
    </row>
    <row r="7488" spans="2:2" ht="15.6">
      <c r="B7488" s="171">
        <v>-1592.5725689920032</v>
      </c>
    </row>
    <row r="7489" spans="2:2" ht="15.6">
      <c r="B7489" s="171">
        <v>-2488.9916498504572</v>
      </c>
    </row>
    <row r="7490" spans="2:2" ht="15.6">
      <c r="B7490" s="171">
        <v>-1587.0441643871243</v>
      </c>
    </row>
    <row r="7491" spans="2:2" ht="15.6">
      <c r="B7491" s="171">
        <v>-1245.4747015345395</v>
      </c>
    </row>
    <row r="7492" spans="2:2" ht="15.6">
      <c r="B7492" s="171">
        <v>-1738.7921638197877</v>
      </c>
    </row>
    <row r="7493" spans="2:2" ht="15.6">
      <c r="B7493" s="171">
        <v>-1320.9750423139749</v>
      </c>
    </row>
    <row r="7494" spans="2:2" ht="15.6">
      <c r="B7494" s="171">
        <v>-1481.5306147766012</v>
      </c>
    </row>
    <row r="7495" spans="2:2" ht="15.6">
      <c r="B7495" s="171">
        <v>-1964.5242043056614</v>
      </c>
    </row>
    <row r="7496" spans="2:2" ht="15.6">
      <c r="B7496" s="171">
        <v>-1523.7297874012579</v>
      </c>
    </row>
    <row r="7497" spans="2:2" ht="15.6">
      <c r="B7497" s="171">
        <v>-2056.2913384361473</v>
      </c>
    </row>
    <row r="7498" spans="2:2" ht="15.6">
      <c r="B7498" s="171">
        <v>-1536.5202789034406</v>
      </c>
    </row>
    <row r="7499" spans="2:2" ht="15.6">
      <c r="B7499" s="171">
        <v>-1377.1039557398997</v>
      </c>
    </row>
    <row r="7500" spans="2:2" ht="15.6">
      <c r="B7500" s="171">
        <v>-1880.7574416258653</v>
      </c>
    </row>
    <row r="7501" spans="2:2" ht="15.6">
      <c r="B7501" s="171">
        <v>-1880.4141329884008</v>
      </c>
    </row>
    <row r="7502" spans="2:2" ht="15.6">
      <c r="B7502" s="171">
        <v>-1925.4871014608837</v>
      </c>
    </row>
    <row r="7503" spans="2:2" ht="15.6">
      <c r="B7503" s="171">
        <v>-1637.9121571012411</v>
      </c>
    </row>
    <row r="7504" spans="2:2" ht="15.6">
      <c r="B7504" s="171">
        <v>-983.06781420833624</v>
      </c>
    </row>
    <row r="7505" spans="2:2" ht="15.6">
      <c r="B7505" s="171">
        <v>-2119.2756247285861</v>
      </c>
    </row>
    <row r="7506" spans="2:2" ht="15.6">
      <c r="B7506" s="171">
        <v>-1650.9119226162411</v>
      </c>
    </row>
    <row r="7507" spans="2:2" ht="15.6">
      <c r="B7507" s="171">
        <v>-2179.9267934674021</v>
      </c>
    </row>
    <row r="7508" spans="2:2" ht="15.6">
      <c r="B7508" s="171">
        <v>-1901.1386134329896</v>
      </c>
    </row>
    <row r="7509" spans="2:2" ht="15.6">
      <c r="B7509" s="171">
        <v>-2000.370524235082</v>
      </c>
    </row>
    <row r="7510" spans="2:2" ht="15.6">
      <c r="B7510" s="171">
        <v>-1823.9110769194253</v>
      </c>
    </row>
    <row r="7511" spans="2:2" ht="15.6">
      <c r="B7511" s="171">
        <v>-1450.7221361710274</v>
      </c>
    </row>
    <row r="7512" spans="2:2" ht="15.6">
      <c r="B7512" s="171">
        <v>-1595.2325631845974</v>
      </c>
    </row>
    <row r="7513" spans="2:2" ht="15.6">
      <c r="B7513" s="171">
        <v>-3647.6260233620369</v>
      </c>
    </row>
    <row r="7514" spans="2:2" ht="15.6">
      <c r="B7514" s="171">
        <v>-1772.1860402761931</v>
      </c>
    </row>
    <row r="7515" spans="2:2" ht="15.6">
      <c r="B7515" s="171">
        <v>-1409.5769115541316</v>
      </c>
    </row>
    <row r="7516" spans="2:2" ht="15.6">
      <c r="B7516" s="171">
        <v>-1531.0805216424344</v>
      </c>
    </row>
    <row r="7517" spans="2:2" ht="15.6">
      <c r="B7517" s="171">
        <v>-2355.9024912883478</v>
      </c>
    </row>
    <row r="7518" spans="2:2" ht="15.6">
      <c r="B7518" s="171">
        <v>-1702.4055837234891</v>
      </c>
    </row>
    <row r="7519" spans="2:2" ht="15.6">
      <c r="B7519" s="171">
        <v>-2006.5895964650831</v>
      </c>
    </row>
    <row r="7520" spans="2:2" ht="15.6">
      <c r="B7520" s="171">
        <v>-1609.5553550870245</v>
      </c>
    </row>
    <row r="7521" spans="2:2" ht="15.6">
      <c r="B7521" s="171">
        <v>-1842.3303040653132</v>
      </c>
    </row>
    <row r="7522" spans="2:2" ht="15.6">
      <c r="B7522" s="171">
        <v>-1668.1218025099165</v>
      </c>
    </row>
    <row r="7523" spans="2:2" ht="15.6">
      <c r="B7523" s="171">
        <v>-1142.674119724323</v>
      </c>
    </row>
    <row r="7524" spans="2:2" ht="15.6">
      <c r="B7524" s="171">
        <v>-2451.0288473265837</v>
      </c>
    </row>
    <row r="7525" spans="2:2" ht="15.6">
      <c r="B7525" s="171">
        <v>-1178.8247942629407</v>
      </c>
    </row>
    <row r="7526" spans="2:2" ht="15.6">
      <c r="B7526" s="171">
        <v>-1472.0693438822975</v>
      </c>
    </row>
    <row r="7527" spans="2:2" ht="15.6">
      <c r="B7527" s="171">
        <v>-1840.1622324812856</v>
      </c>
    </row>
    <row r="7528" spans="2:2" ht="15.6">
      <c r="B7528" s="171">
        <v>-1601.2503731126344</v>
      </c>
    </row>
    <row r="7529" spans="2:2" ht="15.6">
      <c r="B7529" s="171">
        <v>-1385.6579799344934</v>
      </c>
    </row>
    <row r="7530" spans="2:2" ht="15.6">
      <c r="B7530" s="171">
        <v>-1225.5318367347465</v>
      </c>
    </row>
    <row r="7531" spans="2:2" ht="15.6">
      <c r="B7531" s="171">
        <v>-1553.8469825901172</v>
      </c>
    </row>
    <row r="7532" spans="2:2" ht="15.6">
      <c r="B7532" s="171">
        <v>-1599.5093429792507</v>
      </c>
    </row>
    <row r="7533" spans="2:2" ht="15.6">
      <c r="B7533" s="171">
        <v>-1986.6914532449337</v>
      </c>
    </row>
    <row r="7534" spans="2:2" ht="15.6">
      <c r="B7534" s="171">
        <v>-1488.0091523848973</v>
      </c>
    </row>
    <row r="7535" spans="2:2" ht="15.6">
      <c r="B7535" s="171">
        <v>-1914.8667496475182</v>
      </c>
    </row>
    <row r="7536" spans="2:2" ht="15.6">
      <c r="B7536" s="171">
        <v>-2330.2461607039972</v>
      </c>
    </row>
    <row r="7537" spans="2:2" ht="15.6">
      <c r="B7537" s="171">
        <v>-857.05933134608335</v>
      </c>
    </row>
    <row r="7538" spans="2:2" ht="15.6">
      <c r="B7538" s="171">
        <v>-1224.542090468708</v>
      </c>
    </row>
    <row r="7539" spans="2:2" ht="15.6">
      <c r="B7539" s="171">
        <v>-1668.4336660040572</v>
      </c>
    </row>
    <row r="7540" spans="2:2" ht="15.6">
      <c r="B7540" s="171">
        <v>-1091.0895438064476</v>
      </c>
    </row>
    <row r="7541" spans="2:2" ht="15.6">
      <c r="B7541" s="171">
        <v>-1641.5934172211905</v>
      </c>
    </row>
    <row r="7542" spans="2:2" ht="15.6">
      <c r="B7542" s="171">
        <v>-1712.9809162556323</v>
      </c>
    </row>
    <row r="7543" spans="2:2" ht="15.6">
      <c r="B7543" s="171">
        <v>-1300.2621695447085</v>
      </c>
    </row>
    <row r="7544" spans="2:2" ht="15.6">
      <c r="B7544" s="171">
        <v>-1814.6496920839561</v>
      </c>
    </row>
    <row r="7545" spans="2:2" ht="15.6">
      <c r="B7545" s="171">
        <v>-1838.1535729670741</v>
      </c>
    </row>
    <row r="7546" spans="2:2" ht="15.6">
      <c r="B7546" s="171">
        <v>-1765.1316917081663</v>
      </c>
    </row>
    <row r="7547" spans="2:2" ht="15.6">
      <c r="B7547" s="171">
        <v>-2072.0317846008156</v>
      </c>
    </row>
    <row r="7548" spans="2:2" ht="15.6">
      <c r="B7548" s="171">
        <v>-555.93401314554978</v>
      </c>
    </row>
    <row r="7549" spans="2:2" ht="15.6">
      <c r="B7549" s="171">
        <v>-963.80772508452344</v>
      </c>
    </row>
    <row r="7550" spans="2:2" ht="15.6">
      <c r="B7550" s="171">
        <v>-1219.4320178211276</v>
      </c>
    </row>
    <row r="7551" spans="2:2" ht="15.6">
      <c r="B7551" s="171">
        <v>-1650.5980120845793</v>
      </c>
    </row>
    <row r="7552" spans="2:2" ht="15.6">
      <c r="B7552" s="171">
        <v>-1439.9811587412353</v>
      </c>
    </row>
    <row r="7553" spans="2:2" ht="15.6">
      <c r="B7553" s="171">
        <v>-1975.0231025553753</v>
      </c>
    </row>
    <row r="7554" spans="2:2" ht="15.6">
      <c r="B7554" s="171">
        <v>-1106.7360942534879</v>
      </c>
    </row>
    <row r="7555" spans="2:2" ht="15.6">
      <c r="B7555" s="171">
        <v>-2011.6819855346757</v>
      </c>
    </row>
    <row r="7556" spans="2:2" ht="15.6">
      <c r="B7556" s="171">
        <v>-1413.7235918331085</v>
      </c>
    </row>
    <row r="7557" spans="2:2" ht="15.6">
      <c r="B7557" s="171">
        <v>-1858.3616095546836</v>
      </c>
    </row>
    <row r="7558" spans="2:2" ht="15.6">
      <c r="B7558" s="171">
        <v>-1562.9751621367907</v>
      </c>
    </row>
    <row r="7559" spans="2:2" ht="15.6">
      <c r="B7559" s="171">
        <v>-1107.0891910780106</v>
      </c>
    </row>
    <row r="7560" spans="2:2" ht="15.6">
      <c r="B7560" s="171">
        <v>-1906.5325962956585</v>
      </c>
    </row>
    <row r="7561" spans="2:2" ht="15.6">
      <c r="B7561" s="171">
        <v>-974.49183417437666</v>
      </c>
    </row>
    <row r="7562" spans="2:2" ht="15.6">
      <c r="B7562" s="171">
        <v>-1321.721160483319</v>
      </c>
    </row>
    <row r="7563" spans="2:2" ht="15.6">
      <c r="B7563" s="171">
        <v>-1785.8774315832466</v>
      </c>
    </row>
    <row r="7564" spans="2:2" ht="15.6">
      <c r="B7564" s="171">
        <v>-1650.5386659360915</v>
      </c>
    </row>
    <row r="7565" spans="2:2" ht="15.6">
      <c r="B7565" s="171">
        <v>-977.49553265115787</v>
      </c>
    </row>
    <row r="7566" spans="2:2" ht="15.6">
      <c r="B7566" s="171">
        <v>-1562.0835740223736</v>
      </c>
    </row>
    <row r="7567" spans="2:2" ht="15.6">
      <c r="B7567" s="171">
        <v>-1168.566201857459</v>
      </c>
    </row>
    <row r="7568" spans="2:2" ht="15.6">
      <c r="B7568" s="171">
        <v>-1884.6260871056691</v>
      </c>
    </row>
    <row r="7569" spans="2:2" ht="15.6">
      <c r="B7569" s="171">
        <v>-2414.5775712026789</v>
      </c>
    </row>
    <row r="7570" spans="2:2" ht="15.6">
      <c r="B7570" s="171">
        <v>-2257.4973793641275</v>
      </c>
    </row>
    <row r="7571" spans="2:2" ht="15.6">
      <c r="B7571" s="171">
        <v>-962.36845894944543</v>
      </c>
    </row>
    <row r="7572" spans="2:2" ht="15.6">
      <c r="B7572" s="171">
        <v>-1658.3577038708381</v>
      </c>
    </row>
    <row r="7573" spans="2:2" ht="15.6">
      <c r="B7573" s="171">
        <v>-2103.5913391562681</v>
      </c>
    </row>
    <row r="7574" spans="2:2" ht="15.6">
      <c r="B7574" s="171">
        <v>-1255.4779160109701</v>
      </c>
    </row>
    <row r="7575" spans="2:2" ht="15.6">
      <c r="B7575" s="171">
        <v>-1611.4438653392026</v>
      </c>
    </row>
    <row r="7576" spans="2:2" ht="15.6">
      <c r="B7576" s="171">
        <v>-1845.5671231741835</v>
      </c>
    </row>
    <row r="7577" spans="2:2" ht="15.6">
      <c r="B7577" s="171">
        <v>-1274.087810025374</v>
      </c>
    </row>
    <row r="7578" spans="2:2" ht="15.6">
      <c r="B7578" s="171">
        <v>-903.36720114091986</v>
      </c>
    </row>
    <row r="7579" spans="2:2" ht="15.6">
      <c r="B7579" s="171">
        <v>-1863.5710860778929</v>
      </c>
    </row>
    <row r="7580" spans="2:2" ht="15.6">
      <c r="B7580" s="171">
        <v>-1733.7483456779394</v>
      </c>
    </row>
    <row r="7581" spans="2:2" ht="15.6">
      <c r="B7581" s="171">
        <v>-2012.8505611032911</v>
      </c>
    </row>
    <row r="7582" spans="2:2" ht="15.6">
      <c r="B7582" s="171">
        <v>-1163.9585022208239</v>
      </c>
    </row>
    <row r="7583" spans="2:2" ht="15.6">
      <c r="B7583" s="171">
        <v>-2013.8673214115038</v>
      </c>
    </row>
    <row r="7584" spans="2:2" ht="15.6">
      <c r="B7584" s="171">
        <v>-1733.0377103691362</v>
      </c>
    </row>
    <row r="7585" spans="2:2" ht="15.6">
      <c r="B7585" s="171">
        <v>-1322.6848533135676</v>
      </c>
    </row>
    <row r="7586" spans="2:2" ht="15.6">
      <c r="B7586" s="171">
        <v>-2166.0667830690018</v>
      </c>
    </row>
    <row r="7587" spans="2:2" ht="15.6">
      <c r="B7587" s="171">
        <v>-1429.475599582111</v>
      </c>
    </row>
    <row r="7588" spans="2:2" ht="15.6">
      <c r="B7588" s="171">
        <v>-1532.9396486989117</v>
      </c>
    </row>
    <row r="7589" spans="2:2" ht="15.6">
      <c r="B7589" s="171">
        <v>-1224.6914353681452</v>
      </c>
    </row>
    <row r="7590" spans="2:2" ht="15.6">
      <c r="B7590" s="171">
        <v>-1485.4447571169244</v>
      </c>
    </row>
    <row r="7591" spans="2:2" ht="15.6">
      <c r="B7591" s="171">
        <v>-1706.3342018635758</v>
      </c>
    </row>
    <row r="7592" spans="2:2" ht="15.6">
      <c r="B7592" s="171">
        <v>-1361.4115793252179</v>
      </c>
    </row>
    <row r="7593" spans="2:2" ht="15.6">
      <c r="B7593" s="171">
        <v>-1379.0141161978345</v>
      </c>
    </row>
    <row r="7594" spans="2:2" ht="15.6">
      <c r="B7594" s="171">
        <v>-2516.3311205366449</v>
      </c>
    </row>
    <row r="7595" spans="2:2" ht="15.6">
      <c r="B7595" s="171">
        <v>-766.94608774261997</v>
      </c>
    </row>
    <row r="7596" spans="2:2" ht="15.6">
      <c r="B7596" s="171">
        <v>-1764.2973683005559</v>
      </c>
    </row>
    <row r="7597" spans="2:2" ht="15.6">
      <c r="B7597" s="171">
        <v>-1384.8660896535525</v>
      </c>
    </row>
    <row r="7598" spans="2:2" ht="15.6">
      <c r="B7598" s="171">
        <v>-1516.2622937437336</v>
      </c>
    </row>
    <row r="7599" spans="2:2" ht="15.6">
      <c r="B7599" s="171">
        <v>-1489.5096154557405</v>
      </c>
    </row>
    <row r="7600" spans="2:2" ht="15.6">
      <c r="B7600" s="171">
        <v>-1665.1933899202095</v>
      </c>
    </row>
    <row r="7601" spans="2:2" ht="15.6">
      <c r="B7601" s="171">
        <v>-1393.7049950964965</v>
      </c>
    </row>
    <row r="7602" spans="2:2" ht="15.6">
      <c r="B7602" s="171">
        <v>-2223.5212077886745</v>
      </c>
    </row>
    <row r="7603" spans="2:2" ht="15.6">
      <c r="B7603" s="171">
        <v>-1472.5480388956776</v>
      </c>
    </row>
    <row r="7604" spans="2:2" ht="15.6">
      <c r="B7604" s="171">
        <v>-1597.3803854017924</v>
      </c>
    </row>
    <row r="7605" spans="2:2" ht="15.6">
      <c r="B7605" s="171">
        <v>-1579.4093008030545</v>
      </c>
    </row>
    <row r="7606" spans="2:2" ht="15.6">
      <c r="B7606" s="171">
        <v>-1262.9264797822236</v>
      </c>
    </row>
    <row r="7607" spans="2:2" ht="15.6">
      <c r="B7607" s="171">
        <v>-2138.1495789314295</v>
      </c>
    </row>
    <row r="7608" spans="2:2" ht="15.6">
      <c r="B7608" s="171">
        <v>-1180.825001000889</v>
      </c>
    </row>
    <row r="7609" spans="2:2" ht="15.6">
      <c r="B7609" s="171">
        <v>-2145.6912303065756</v>
      </c>
    </row>
    <row r="7610" spans="2:2" ht="15.6">
      <c r="B7610" s="171">
        <v>-1859.0175282238556</v>
      </c>
    </row>
    <row r="7611" spans="2:2" ht="15.6">
      <c r="B7611" s="171">
        <v>-2363.3826993187854</v>
      </c>
    </row>
    <row r="7612" spans="2:2" ht="15.6">
      <c r="B7612" s="171">
        <v>-1562.1634849716361</v>
      </c>
    </row>
    <row r="7613" spans="2:2" ht="15.6">
      <c r="B7613" s="171">
        <v>-1385.6496622387608</v>
      </c>
    </row>
    <row r="7614" spans="2:2" ht="15.6">
      <c r="B7614" s="171">
        <v>-1940.0146845079298</v>
      </c>
    </row>
    <row r="7615" spans="2:2" ht="15.6">
      <c r="B7615" s="171">
        <v>-1593.310439359441</v>
      </c>
    </row>
    <row r="7616" spans="2:2" ht="15.6">
      <c r="B7616" s="171">
        <v>-1353.9911781975252</v>
      </c>
    </row>
    <row r="7617" spans="2:2" ht="15.6">
      <c r="B7617" s="171">
        <v>-1382.9144665989606</v>
      </c>
    </row>
    <row r="7618" spans="2:2" ht="15.6">
      <c r="B7618" s="171">
        <v>-1057.3308906990935</v>
      </c>
    </row>
    <row r="7619" spans="2:2" ht="15.6">
      <c r="B7619" s="171">
        <v>-1880.6636913973114</v>
      </c>
    </row>
    <row r="7620" spans="2:2" ht="15.6">
      <c r="B7620" s="171">
        <v>-1640.2308155210328</v>
      </c>
    </row>
    <row r="7621" spans="2:2" ht="15.6">
      <c r="B7621" s="171">
        <v>-1690.1582969556603</v>
      </c>
    </row>
    <row r="7622" spans="2:2" ht="15.6">
      <c r="B7622" s="171">
        <v>-777.0567329937478</v>
      </c>
    </row>
    <row r="7623" spans="2:2" ht="15.6">
      <c r="B7623" s="171">
        <v>-1447.0417725917059</v>
      </c>
    </row>
    <row r="7624" spans="2:2" ht="15.6">
      <c r="B7624" s="171">
        <v>-1707.8724632259859</v>
      </c>
    </row>
    <row r="7625" spans="2:2" ht="15.6">
      <c r="B7625" s="171">
        <v>-1119.6452372126639</v>
      </c>
    </row>
    <row r="7626" spans="2:2" ht="15.6">
      <c r="B7626" s="171">
        <v>-1522.7485412139995</v>
      </c>
    </row>
    <row r="7627" spans="2:2" ht="15.6">
      <c r="B7627" s="171">
        <v>-1606.5177935533738</v>
      </c>
    </row>
    <row r="7628" spans="2:2" ht="15.6">
      <c r="B7628" s="171">
        <v>-1740.4980240116947</v>
      </c>
    </row>
    <row r="7629" spans="2:2" ht="15.6">
      <c r="B7629" s="171">
        <v>-1611.7550958330062</v>
      </c>
    </row>
    <row r="7630" spans="2:2" ht="15.6">
      <c r="B7630" s="171">
        <v>-1337.0834566268009</v>
      </c>
    </row>
    <row r="7631" spans="2:2" ht="15.6">
      <c r="B7631" s="171">
        <v>-1410.0924094167415</v>
      </c>
    </row>
    <row r="7632" spans="2:2" ht="15.6">
      <c r="B7632" s="171">
        <v>-1602.4253246130775</v>
      </c>
    </row>
    <row r="7633" spans="2:2" ht="15.6">
      <c r="B7633" s="171">
        <v>-1657.5481419730511</v>
      </c>
    </row>
    <row r="7634" spans="2:2" ht="15.6">
      <c r="B7634" s="171">
        <v>-1338.6755088256707</v>
      </c>
    </row>
    <row r="7635" spans="2:2" ht="15.6">
      <c r="B7635" s="171">
        <v>-1715.1856826693383</v>
      </c>
    </row>
    <row r="7636" spans="2:2" ht="15.6">
      <c r="B7636" s="171">
        <v>-2175.5406312331797</v>
      </c>
    </row>
    <row r="7637" spans="2:2" ht="15.6">
      <c r="B7637" s="171">
        <v>-1269.5744558316851</v>
      </c>
    </row>
    <row r="7638" spans="2:2" ht="15.6">
      <c r="B7638" s="171">
        <v>-2165.7098686572149</v>
      </c>
    </row>
    <row r="7639" spans="2:2" ht="15.6">
      <c r="B7639" s="171">
        <v>-2120.3012469165278</v>
      </c>
    </row>
    <row r="7640" spans="2:2" ht="15.6">
      <c r="B7640" s="171">
        <v>-1640.7820607894892</v>
      </c>
    </row>
    <row r="7641" spans="2:2" ht="15.6">
      <c r="B7641" s="171">
        <v>-1684.5993190449105</v>
      </c>
    </row>
    <row r="7642" spans="2:2" ht="15.6">
      <c r="B7642" s="171">
        <v>-1567.4362565877539</v>
      </c>
    </row>
    <row r="7643" spans="2:2" ht="15.6">
      <c r="B7643" s="171">
        <v>-2079.6977415182791</v>
      </c>
    </row>
    <row r="7644" spans="2:2" ht="15.6">
      <c r="B7644" s="171">
        <v>-1177.2399460104671</v>
      </c>
    </row>
    <row r="7645" spans="2:2" ht="15.6">
      <c r="B7645" s="171">
        <v>-1843.1519236934785</v>
      </c>
    </row>
    <row r="7646" spans="2:2" ht="15.6">
      <c r="B7646" s="171">
        <v>-1050.4865062682188</v>
      </c>
    </row>
    <row r="7647" spans="2:2" ht="15.6">
      <c r="B7647" s="171">
        <v>-1888.6637169710468</v>
      </c>
    </row>
    <row r="7648" spans="2:2" ht="15.6">
      <c r="B7648" s="171">
        <v>-1487.364677575069</v>
      </c>
    </row>
    <row r="7649" spans="2:2" ht="15.6">
      <c r="B7649" s="171">
        <v>-1223.5608317801787</v>
      </c>
    </row>
    <row r="7650" spans="2:2" ht="15.6">
      <c r="B7650" s="171">
        <v>-1601.8514030270592</v>
      </c>
    </row>
    <row r="7651" spans="2:2" ht="15.6">
      <c r="B7651" s="171">
        <v>-1735.0320462029426</v>
      </c>
    </row>
    <row r="7652" spans="2:2" ht="15.6">
      <c r="B7652" s="171">
        <v>-2165.6058452795014</v>
      </c>
    </row>
    <row r="7653" spans="2:2" ht="15.6">
      <c r="B7653" s="171">
        <v>-1576.7082693967502</v>
      </c>
    </row>
    <row r="7654" spans="2:2" ht="15.6">
      <c r="B7654" s="171">
        <v>-2237.9840526843273</v>
      </c>
    </row>
    <row r="7655" spans="2:2" ht="15.6">
      <c r="B7655" s="171">
        <v>-1348.4940164284617</v>
      </c>
    </row>
    <row r="7656" spans="2:2" ht="15.6">
      <c r="B7656" s="171">
        <v>-1691.5186510235199</v>
      </c>
    </row>
    <row r="7657" spans="2:2" ht="15.6">
      <c r="B7657" s="171">
        <v>-1686.5607549792926</v>
      </c>
    </row>
    <row r="7658" spans="2:2" ht="15.6">
      <c r="B7658" s="171">
        <v>-1458.7905767885372</v>
      </c>
    </row>
    <row r="7659" spans="2:2" ht="15.6">
      <c r="B7659" s="171">
        <v>-1665.5273830826238</v>
      </c>
    </row>
    <row r="7660" spans="2:2" ht="15.6">
      <c r="B7660" s="171">
        <v>-1484.8100761540895</v>
      </c>
    </row>
    <row r="7661" spans="2:2" ht="15.6">
      <c r="B7661" s="171">
        <v>-1552.8496155271391</v>
      </c>
    </row>
    <row r="7662" spans="2:2" ht="15.6">
      <c r="B7662" s="171">
        <v>-1292.8006324758899</v>
      </c>
    </row>
    <row r="7663" spans="2:2" ht="15.6">
      <c r="B7663" s="171">
        <v>-2010.1064321682102</v>
      </c>
    </row>
    <row r="7664" spans="2:2" ht="15.6">
      <c r="B7664" s="171">
        <v>-1514.8452261052346</v>
      </c>
    </row>
    <row r="7665" spans="2:2" ht="15.6">
      <c r="B7665" s="171">
        <v>-1420.7357688632521</v>
      </c>
    </row>
    <row r="7666" spans="2:2" ht="15.6">
      <c r="B7666" s="171">
        <v>-1793.4857089621614</v>
      </c>
    </row>
    <row r="7667" spans="2:2" ht="15.6">
      <c r="B7667" s="171">
        <v>-1444.0336751250504</v>
      </c>
    </row>
    <row r="7668" spans="2:2" ht="15.6">
      <c r="B7668" s="171">
        <v>-733.59253652289465</v>
      </c>
    </row>
    <row r="7669" spans="2:2" ht="15.6">
      <c r="B7669" s="171">
        <v>-1833.2346959552162</v>
      </c>
    </row>
    <row r="7670" spans="2:2" ht="15.6">
      <c r="B7670" s="171">
        <v>-1578.8931285539668</v>
      </c>
    </row>
    <row r="7671" spans="2:2" ht="15.6">
      <c r="B7671" s="171">
        <v>-919.49694412507063</v>
      </c>
    </row>
    <row r="7672" spans="2:2" ht="15.6">
      <c r="B7672" s="171">
        <v>-1385.8997122318749</v>
      </c>
    </row>
    <row r="7673" spans="2:2" ht="15.6">
      <c r="B7673" s="171">
        <v>-1257.4791255066666</v>
      </c>
    </row>
    <row r="7674" spans="2:2" ht="15.6">
      <c r="B7674" s="171">
        <v>-1835.3556574891186</v>
      </c>
    </row>
    <row r="7675" spans="2:2" ht="15.6">
      <c r="B7675" s="171">
        <v>-1194.9797927336713</v>
      </c>
    </row>
    <row r="7676" spans="2:2" ht="15.6">
      <c r="B7676" s="171">
        <v>-1676.7340399410186</v>
      </c>
    </row>
    <row r="7677" spans="2:2" ht="15.6">
      <c r="B7677" s="171">
        <v>-1857.1032527928508</v>
      </c>
    </row>
    <row r="7678" spans="2:2" ht="15.6">
      <c r="B7678" s="171">
        <v>-1237.1641319331202</v>
      </c>
    </row>
    <row r="7679" spans="2:2" ht="15.6">
      <c r="B7679" s="171">
        <v>-1219.45369900436</v>
      </c>
    </row>
    <row r="7680" spans="2:2" ht="15.6">
      <c r="B7680" s="171">
        <v>-2050.3079989873108</v>
      </c>
    </row>
    <row r="7681" spans="2:2" ht="15.6">
      <c r="B7681" s="171">
        <v>-1221.7566559175777</v>
      </c>
    </row>
    <row r="7682" spans="2:2" ht="15.6">
      <c r="B7682" s="171">
        <v>-1617.8566491583056</v>
      </c>
    </row>
    <row r="7683" spans="2:2" ht="15.6">
      <c r="B7683" s="171">
        <v>-1664.6765118083647</v>
      </c>
    </row>
    <row r="7684" spans="2:2" ht="15.6">
      <c r="B7684" s="171">
        <v>-2347.346417021723</v>
      </c>
    </row>
    <row r="7685" spans="2:2" ht="15.6">
      <c r="B7685" s="171">
        <v>-1849.284517504459</v>
      </c>
    </row>
    <row r="7686" spans="2:2" ht="15.6">
      <c r="B7686" s="171">
        <v>-956.64282137284238</v>
      </c>
    </row>
    <row r="7687" spans="2:2" ht="15.6">
      <c r="B7687" s="171">
        <v>-1032.5866538809623</v>
      </c>
    </row>
    <row r="7688" spans="2:2" ht="15.6">
      <c r="B7688" s="171">
        <v>-1497.7598736949753</v>
      </c>
    </row>
    <row r="7689" spans="2:2" ht="15.6">
      <c r="B7689" s="171">
        <v>-1107.7402059081239</v>
      </c>
    </row>
    <row r="7690" spans="2:2" ht="15.6">
      <c r="B7690" s="171">
        <v>-1226.6115513162199</v>
      </c>
    </row>
    <row r="7691" spans="2:2" ht="15.6">
      <c r="B7691" s="171">
        <v>-1293.2452503051852</v>
      </c>
    </row>
    <row r="7692" spans="2:2" ht="15.6">
      <c r="B7692" s="171">
        <v>-1739.6507009917013</v>
      </c>
    </row>
    <row r="7693" spans="2:2" ht="15.6">
      <c r="B7693" s="171">
        <v>-1472.7337658110512</v>
      </c>
    </row>
    <row r="7694" spans="2:2" ht="15.6">
      <c r="B7694" s="171">
        <v>-1468.2813089936981</v>
      </c>
    </row>
    <row r="7695" spans="2:2" ht="15.6">
      <c r="B7695" s="171">
        <v>-1695.7133560839254</v>
      </c>
    </row>
    <row r="7696" spans="2:2" ht="15.6">
      <c r="B7696" s="171">
        <v>-1211.7126720677302</v>
      </c>
    </row>
    <row r="7697" spans="2:2" ht="15.6">
      <c r="B7697" s="171">
        <v>-1498.2260194620437</v>
      </c>
    </row>
    <row r="7698" spans="2:2" ht="15.6">
      <c r="B7698" s="171">
        <v>-1605.9047449969703</v>
      </c>
    </row>
    <row r="7699" spans="2:2" ht="15.6">
      <c r="B7699" s="171">
        <v>-1768.1301256658371</v>
      </c>
    </row>
    <row r="7700" spans="2:2" ht="15.6">
      <c r="B7700" s="171">
        <v>-1849.9042335194808</v>
      </c>
    </row>
    <row r="7701" spans="2:2" ht="15.6">
      <c r="B7701" s="171">
        <v>-1479.6519125404325</v>
      </c>
    </row>
    <row r="7702" spans="2:2" ht="15.6">
      <c r="B7702" s="171">
        <v>-1413.1714948134556</v>
      </c>
    </row>
    <row r="7703" spans="2:2" ht="15.6">
      <c r="B7703" s="171">
        <v>-1547.2974377453397</v>
      </c>
    </row>
    <row r="7704" spans="2:2" ht="15.6">
      <c r="B7704" s="171">
        <v>-1462.1402181689962</v>
      </c>
    </row>
    <row r="7705" spans="2:2" ht="15.6">
      <c r="B7705" s="171">
        <v>-1883.9081841026343</v>
      </c>
    </row>
    <row r="7706" spans="2:2" ht="15.6">
      <c r="B7706" s="171">
        <v>-1770.3699433641809</v>
      </c>
    </row>
    <row r="7707" spans="2:2" ht="15.6">
      <c r="B7707" s="171">
        <v>-2111.6470814509944</v>
      </c>
    </row>
    <row r="7708" spans="2:2" ht="15.6">
      <c r="B7708" s="171">
        <v>-2249.0278405305198</v>
      </c>
    </row>
    <row r="7709" spans="2:2" ht="15.6">
      <c r="B7709" s="171">
        <v>-612.22911879400408</v>
      </c>
    </row>
    <row r="7710" spans="2:2" ht="15.6">
      <c r="B7710" s="171">
        <v>-1767.7917021770197</v>
      </c>
    </row>
    <row r="7711" spans="2:2" ht="15.6">
      <c r="B7711" s="171">
        <v>-1253.4144453254235</v>
      </c>
    </row>
    <row r="7712" spans="2:2" ht="15.6">
      <c r="B7712" s="171">
        <v>-2045.6869728801341</v>
      </c>
    </row>
    <row r="7713" spans="2:2" ht="15.6">
      <c r="B7713" s="171">
        <v>-1827.658930956824</v>
      </c>
    </row>
    <row r="7714" spans="2:2" ht="15.6">
      <c r="B7714" s="171">
        <v>-1651.4302758019712</v>
      </c>
    </row>
    <row r="7715" spans="2:2" ht="15.6">
      <c r="B7715" s="171">
        <v>-1170.6398744787887</v>
      </c>
    </row>
    <row r="7716" spans="2:2" ht="15.6">
      <c r="B7716" s="171">
        <v>-1833.7547710968988</v>
      </c>
    </row>
    <row r="7717" spans="2:2" ht="15.6">
      <c r="B7717" s="171">
        <v>-1499.8520899866239</v>
      </c>
    </row>
    <row r="7718" spans="2:2" ht="15.6">
      <c r="B7718" s="171">
        <v>-1420.1217778952559</v>
      </c>
    </row>
    <row r="7719" spans="2:2" ht="15.6">
      <c r="B7719" s="171">
        <v>-1912.9894546415157</v>
      </c>
    </row>
    <row r="7720" spans="2:2" ht="15.6">
      <c r="B7720" s="171">
        <v>-2159.1000573039064</v>
      </c>
    </row>
    <row r="7721" spans="2:2" ht="15.6">
      <c r="B7721" s="171">
        <v>-1631.8994424872155</v>
      </c>
    </row>
    <row r="7722" spans="2:2" ht="15.6">
      <c r="B7722" s="171">
        <v>-1879.4406754265515</v>
      </c>
    </row>
    <row r="7723" spans="2:2" ht="15.6">
      <c r="B7723" s="171">
        <v>-970.75176591252489</v>
      </c>
    </row>
    <row r="7724" spans="2:2" ht="15.6">
      <c r="B7724" s="171">
        <v>-1796.0378488886395</v>
      </c>
    </row>
    <row r="7725" spans="2:2" ht="15.6">
      <c r="B7725" s="171">
        <v>-1497.5200278124148</v>
      </c>
    </row>
    <row r="7726" spans="2:2" ht="15.6">
      <c r="B7726" s="171">
        <v>-713.80493230474428</v>
      </c>
    </row>
    <row r="7727" spans="2:2" ht="15.6">
      <c r="B7727" s="171">
        <v>-1854.8652564794043</v>
      </c>
    </row>
    <row r="7728" spans="2:2" ht="15.6">
      <c r="B7728" s="171">
        <v>-2703.6289473536026</v>
      </c>
    </row>
    <row r="7729" spans="2:2" ht="15.6">
      <c r="B7729" s="171">
        <v>-1779.8365855408888</v>
      </c>
    </row>
    <row r="7730" spans="2:2" ht="15.6">
      <c r="B7730" s="171">
        <v>-1996.0915906326732</v>
      </c>
    </row>
    <row r="7731" spans="2:2" ht="15.6">
      <c r="B7731" s="171">
        <v>-1336.1083825388801</v>
      </c>
    </row>
    <row r="7732" spans="2:2" ht="15.6">
      <c r="B7732" s="171">
        <v>-1461.0023437532961</v>
      </c>
    </row>
    <row r="7733" spans="2:2" ht="15.6">
      <c r="B7733" s="171">
        <v>-1856.344929387059</v>
      </c>
    </row>
    <row r="7734" spans="2:2" ht="15.6">
      <c r="B7734" s="171">
        <v>-2076.5272260866191</v>
      </c>
    </row>
    <row r="7735" spans="2:2" ht="15.6">
      <c r="B7735" s="171">
        <v>-1111.4842084104985</v>
      </c>
    </row>
    <row r="7736" spans="2:2" ht="15.6">
      <c r="B7736" s="171">
        <v>-1827.185172107384</v>
      </c>
    </row>
    <row r="7737" spans="2:2" ht="15.6">
      <c r="B7737" s="171">
        <v>-1534.3907395968783</v>
      </c>
    </row>
    <row r="7738" spans="2:2" ht="15.6">
      <c r="B7738" s="171">
        <v>-983.92503592936828</v>
      </c>
    </row>
    <row r="7739" spans="2:2" ht="15.6">
      <c r="B7739" s="171">
        <v>-1976.9921813669025</v>
      </c>
    </row>
    <row r="7740" spans="2:2" ht="15.6">
      <c r="B7740" s="171">
        <v>-1460.1863992397607</v>
      </c>
    </row>
    <row r="7741" spans="2:2" ht="15.6">
      <c r="B7741" s="171">
        <v>-2022.0666503136349</v>
      </c>
    </row>
    <row r="7742" spans="2:2" ht="15.6">
      <c r="B7742" s="171">
        <v>-839.97353879391994</v>
      </c>
    </row>
    <row r="7743" spans="2:2" ht="15.6">
      <c r="B7743" s="171">
        <v>-1669.6760335945244</v>
      </c>
    </row>
    <row r="7744" spans="2:2" ht="15.6">
      <c r="B7744" s="171">
        <v>-1487.892757438826</v>
      </c>
    </row>
    <row r="7745" spans="2:2" ht="15.6">
      <c r="B7745" s="171">
        <v>-2163.9743929887868</v>
      </c>
    </row>
    <row r="7746" spans="2:2" ht="15.6">
      <c r="B7746" s="171">
        <v>-1049.5308651397943</v>
      </c>
    </row>
    <row r="7747" spans="2:2" ht="15.6">
      <c r="B7747" s="171">
        <v>-1662.8351457386859</v>
      </c>
    </row>
    <row r="7748" spans="2:2" ht="15.6">
      <c r="B7748" s="171">
        <v>-1047.8651878923863</v>
      </c>
    </row>
    <row r="7749" spans="2:2" ht="15.6">
      <c r="B7749" s="171">
        <v>-2216.5270469877137</v>
      </c>
    </row>
    <row r="7750" spans="2:2" ht="15.6">
      <c r="B7750" s="171">
        <v>-1380.6400653825553</v>
      </c>
    </row>
    <row r="7751" spans="2:2" ht="15.6">
      <c r="B7751" s="171">
        <v>-1823.5019140666398</v>
      </c>
    </row>
    <row r="7752" spans="2:2" ht="15.6">
      <c r="B7752" s="171">
        <v>-1617.298092252059</v>
      </c>
    </row>
    <row r="7753" spans="2:2" ht="15.6">
      <c r="B7753" s="171">
        <v>-2274.079011741343</v>
      </c>
    </row>
    <row r="7754" spans="2:2" ht="15.6">
      <c r="B7754" s="171">
        <v>-1913.982843935258</v>
      </c>
    </row>
    <row r="7755" spans="2:2" ht="15.6">
      <c r="B7755" s="171">
        <v>-1129.4911803797922</v>
      </c>
    </row>
    <row r="7756" spans="2:2" ht="15.6">
      <c r="B7756" s="171">
        <v>-2321.3121538008936</v>
      </c>
    </row>
    <row r="7757" spans="2:2" ht="15.6">
      <c r="B7757" s="171">
        <v>-1768.9857791266829</v>
      </c>
    </row>
    <row r="7758" spans="2:2" ht="15.6">
      <c r="B7758" s="171">
        <v>-1168.95100044527</v>
      </c>
    </row>
    <row r="7759" spans="2:2" ht="15.6">
      <c r="B7759" s="171">
        <v>-1606.6234370528034</v>
      </c>
    </row>
    <row r="7760" spans="2:2" ht="15.6">
      <c r="B7760" s="171">
        <v>-1769.8804566757462</v>
      </c>
    </row>
    <row r="7761" spans="2:2" ht="15.6">
      <c r="B7761" s="171">
        <v>-2102.8371998163866</v>
      </c>
    </row>
    <row r="7762" spans="2:2" ht="15.6">
      <c r="B7762" s="171">
        <v>-1398.6839344959076</v>
      </c>
    </row>
    <row r="7763" spans="2:2" ht="15.6">
      <c r="B7763" s="171">
        <v>-1176.9029265656247</v>
      </c>
    </row>
    <row r="7764" spans="2:2" ht="15.6">
      <c r="B7764" s="171">
        <v>-1257.0954781300097</v>
      </c>
    </row>
    <row r="7765" spans="2:2" ht="15.6">
      <c r="B7765" s="171">
        <v>-1335.3766272633286</v>
      </c>
    </row>
    <row r="7766" spans="2:2" ht="15.6">
      <c r="B7766" s="171">
        <v>-1572.6074523766902</v>
      </c>
    </row>
    <row r="7767" spans="2:2" ht="15.6">
      <c r="B7767" s="171">
        <v>-1479.0271359072076</v>
      </c>
    </row>
    <row r="7768" spans="2:2" ht="15.6">
      <c r="B7768" s="171">
        <v>-1741.6279103465506</v>
      </c>
    </row>
    <row r="7769" spans="2:2" ht="15.6">
      <c r="B7769" s="171">
        <v>-1455.8526610180122</v>
      </c>
    </row>
    <row r="7770" spans="2:2" ht="15.6">
      <c r="B7770" s="171">
        <v>-1226.6693983424268</v>
      </c>
    </row>
    <row r="7771" spans="2:2" ht="15.6">
      <c r="B7771" s="171">
        <v>-1928.2887918151209</v>
      </c>
    </row>
    <row r="7772" spans="2:2" ht="15.6">
      <c r="B7772" s="171">
        <v>-1903.2826593320065</v>
      </c>
    </row>
    <row r="7773" spans="2:2" ht="15.6">
      <c r="B7773" s="171">
        <v>-2394.0207300903976</v>
      </c>
    </row>
    <row r="7774" spans="2:2" ht="15.6">
      <c r="B7774" s="171">
        <v>-2117.6474355891505</v>
      </c>
    </row>
    <row r="7775" spans="2:2" ht="15.6">
      <c r="B7775" s="171">
        <v>-1449.9369682328174</v>
      </c>
    </row>
    <row r="7776" spans="2:2" ht="15.6">
      <c r="B7776" s="171">
        <v>-2571.7115063213255</v>
      </c>
    </row>
    <row r="7777" spans="2:2" ht="15.6">
      <c r="B7777" s="171">
        <v>-1210.0619518644901</v>
      </c>
    </row>
    <row r="7778" spans="2:2" ht="15.6">
      <c r="B7778" s="171">
        <v>-1854.755065353253</v>
      </c>
    </row>
    <row r="7779" spans="2:2" ht="15.6">
      <c r="B7779" s="171">
        <v>-1510.5075681363862</v>
      </c>
    </row>
    <row r="7780" spans="2:2" ht="15.6">
      <c r="B7780" s="171">
        <v>-1921.3610103865258</v>
      </c>
    </row>
    <row r="7781" spans="2:2" ht="15.6">
      <c r="B7781" s="171">
        <v>-1460.5773652060423</v>
      </c>
    </row>
    <row r="7782" spans="2:2" ht="15.6">
      <c r="B7782" s="171">
        <v>-1525.2195288225635</v>
      </c>
    </row>
    <row r="7783" spans="2:2" ht="15.6">
      <c r="B7783" s="171">
        <v>-1537.9792095752623</v>
      </c>
    </row>
    <row r="7784" spans="2:2" ht="15.6">
      <c r="B7784" s="171">
        <v>-1196.7582675722761</v>
      </c>
    </row>
    <row r="7785" spans="2:2" ht="15.6">
      <c r="B7785" s="171">
        <v>-1480.143984795362</v>
      </c>
    </row>
    <row r="7786" spans="2:2" ht="15.6">
      <c r="B7786" s="171">
        <v>-1944.3581151382798</v>
      </c>
    </row>
    <row r="7787" spans="2:2" ht="15.6">
      <c r="B7787" s="171">
        <v>-1757.5791980878573</v>
      </c>
    </row>
    <row r="7788" spans="2:2" ht="15.6">
      <c r="B7788" s="171">
        <v>-1419.6902198594757</v>
      </c>
    </row>
    <row r="7789" spans="2:2" ht="15.6">
      <c r="B7789" s="171">
        <v>-3290.6340195830317</v>
      </c>
    </row>
    <row r="7790" spans="2:2" ht="15.6">
      <c r="B7790" s="171">
        <v>-1239.0872531727239</v>
      </c>
    </row>
    <row r="7791" spans="2:2" ht="15.6">
      <c r="B7791" s="171">
        <v>-2031.2546908260549</v>
      </c>
    </row>
    <row r="7792" spans="2:2" ht="15.6">
      <c r="B7792" s="171">
        <v>-2150.2007271027778</v>
      </c>
    </row>
    <row r="7793" spans="2:2" ht="15.6">
      <c r="B7793" s="171">
        <v>-1673.9060465748228</v>
      </c>
    </row>
    <row r="7794" spans="2:2" ht="15.6">
      <c r="B7794" s="171">
        <v>-2402.4947824569203</v>
      </c>
    </row>
    <row r="7795" spans="2:2" ht="15.6">
      <c r="B7795" s="171">
        <v>-1593.6366996955617</v>
      </c>
    </row>
    <row r="7796" spans="2:2" ht="15.6">
      <c r="B7796" s="171">
        <v>-1289.3630764250279</v>
      </c>
    </row>
    <row r="7797" spans="2:2" ht="15.6">
      <c r="B7797" s="171">
        <v>-1119.2760724290524</v>
      </c>
    </row>
    <row r="7798" spans="2:2" ht="15.6">
      <c r="B7798" s="171">
        <v>-1386.3210919165278</v>
      </c>
    </row>
    <row r="7799" spans="2:2" ht="15.6">
      <c r="B7799" s="171">
        <v>-2381.998411404179</v>
      </c>
    </row>
    <row r="7800" spans="2:2" ht="15.6">
      <c r="B7800" s="171">
        <v>-1898.6627207418428</v>
      </c>
    </row>
    <row r="7801" spans="2:2" ht="15.6">
      <c r="B7801" s="171">
        <v>-1787.7631410359472</v>
      </c>
    </row>
    <row r="7802" spans="2:2" ht="15.6">
      <c r="B7802" s="171">
        <v>-1364.8745222938012</v>
      </c>
    </row>
    <row r="7803" spans="2:2" ht="15.6">
      <c r="B7803" s="171">
        <v>-1231.2604887431523</v>
      </c>
    </row>
    <row r="7804" spans="2:2" ht="15.6">
      <c r="B7804" s="171">
        <v>-1168.6204912699748</v>
      </c>
    </row>
    <row r="7805" spans="2:2" ht="15.6">
      <c r="B7805" s="171">
        <v>-2360.0258143424489</v>
      </c>
    </row>
    <row r="7806" spans="2:2" ht="15.6">
      <c r="B7806" s="171">
        <v>-1744.1643846951768</v>
      </c>
    </row>
    <row r="7807" spans="2:2" ht="15.6">
      <c r="B7807" s="171">
        <v>-1379.1744284282981</v>
      </c>
    </row>
    <row r="7808" spans="2:2" ht="15.6">
      <c r="B7808" s="171">
        <v>-1352.8200890969742</v>
      </c>
    </row>
    <row r="7809" spans="2:2" ht="15.6">
      <c r="B7809" s="171">
        <v>-1060.3728813932826</v>
      </c>
    </row>
    <row r="7810" spans="2:2" ht="15.6">
      <c r="B7810" s="171">
        <v>-891.50457996976752</v>
      </c>
    </row>
    <row r="7811" spans="2:2" ht="15.6">
      <c r="B7811" s="171">
        <v>-1507.2032528287523</v>
      </c>
    </row>
    <row r="7812" spans="2:2" ht="15.6">
      <c r="B7812" s="171">
        <v>-1628.378245536921</v>
      </c>
    </row>
    <row r="7813" spans="2:2" ht="15.6">
      <c r="B7813" s="171">
        <v>-1719.1554568574961</v>
      </c>
    </row>
    <row r="7814" spans="2:2" ht="15.6">
      <c r="B7814" s="171">
        <v>-1823.0313084964689</v>
      </c>
    </row>
    <row r="7815" spans="2:2" ht="15.6">
      <c r="B7815" s="171">
        <v>-1895.1329456398473</v>
      </c>
    </row>
    <row r="7816" spans="2:2" ht="15.6">
      <c r="B7816" s="171">
        <v>-1979.7056878880767</v>
      </c>
    </row>
    <row r="7817" spans="2:2" ht="15.6">
      <c r="B7817" s="171">
        <v>-1146.230542795875</v>
      </c>
    </row>
    <row r="7818" spans="2:2" ht="15.6">
      <c r="B7818" s="171">
        <v>-1652.0004822823983</v>
      </c>
    </row>
    <row r="7819" spans="2:2" ht="15.6">
      <c r="B7819" s="171">
        <v>-1663.7596061644927</v>
      </c>
    </row>
    <row r="7820" spans="2:2" ht="15.6">
      <c r="B7820" s="171">
        <v>-1849.5479609405729</v>
      </c>
    </row>
    <row r="7821" spans="2:2" ht="15.6">
      <c r="B7821" s="171">
        <v>-1711.9343545649701</v>
      </c>
    </row>
    <row r="7822" spans="2:2" ht="15.6">
      <c r="B7822" s="171">
        <v>-2464.5626267423067</v>
      </c>
    </row>
    <row r="7823" spans="2:2" ht="15.6">
      <c r="B7823" s="171">
        <v>-1844.4168681071783</v>
      </c>
    </row>
    <row r="7824" spans="2:2" ht="15.6">
      <c r="B7824" s="171">
        <v>-1563.380541454999</v>
      </c>
    </row>
    <row r="7825" spans="2:2" ht="15.6">
      <c r="B7825" s="171">
        <v>-1639.7536154259899</v>
      </c>
    </row>
    <row r="7826" spans="2:2" ht="15.6">
      <c r="B7826" s="171">
        <v>-1595.2366937239408</v>
      </c>
    </row>
    <row r="7827" spans="2:2" ht="15.6">
      <c r="B7827" s="171">
        <v>-1206.3745117845692</v>
      </c>
    </row>
    <row r="7828" spans="2:2" ht="15.6">
      <c r="B7828" s="171">
        <v>-1471.4123791429556</v>
      </c>
    </row>
    <row r="7829" spans="2:2" ht="15.6">
      <c r="B7829" s="171">
        <v>-2579.7176213808298</v>
      </c>
    </row>
    <row r="7830" spans="2:2" ht="15.6">
      <c r="B7830" s="171">
        <v>-2212.6379423629155</v>
      </c>
    </row>
    <row r="7831" spans="2:2" ht="15.6">
      <c r="B7831" s="171">
        <v>-2099.250506053058</v>
      </c>
    </row>
    <row r="7832" spans="2:2" ht="15.6">
      <c r="B7832" s="171">
        <v>-2260.2279299356751</v>
      </c>
    </row>
    <row r="7833" spans="2:2" ht="15.6">
      <c r="B7833" s="171">
        <v>-1729.6754867810312</v>
      </c>
    </row>
    <row r="7834" spans="2:2" ht="15.6">
      <c r="B7834" s="171">
        <v>-1801.5830554887252</v>
      </c>
    </row>
    <row r="7835" spans="2:2" ht="15.6">
      <c r="B7835" s="171">
        <v>-2216.5707291501431</v>
      </c>
    </row>
    <row r="7836" spans="2:2" ht="15.6">
      <c r="B7836" s="171">
        <v>-1667.3501976435653</v>
      </c>
    </row>
    <row r="7837" spans="2:2" ht="15.6">
      <c r="B7837" s="171">
        <v>-1175.6666011504822</v>
      </c>
    </row>
    <row r="7838" spans="2:2" ht="15.6">
      <c r="B7838" s="171">
        <v>-1314.5343154161999</v>
      </c>
    </row>
    <row r="7839" spans="2:2" ht="15.6">
      <c r="B7839" s="171">
        <v>-1018.4531966198516</v>
      </c>
    </row>
    <row r="7840" spans="2:2" ht="15.6">
      <c r="B7840" s="171">
        <v>-1548.5038143818801</v>
      </c>
    </row>
    <row r="7841" spans="2:2" ht="15.6">
      <c r="B7841" s="171">
        <v>-1755.5322975450204</v>
      </c>
    </row>
    <row r="7842" spans="2:2" ht="15.6">
      <c r="B7842" s="171">
        <v>-1123.6977145724634</v>
      </c>
    </row>
    <row r="7843" spans="2:2" ht="15.6">
      <c r="B7843" s="171">
        <v>-2192.4018103133258</v>
      </c>
    </row>
    <row r="7844" spans="2:2" ht="15.6">
      <c r="B7844" s="171">
        <v>-1368.6457471997335</v>
      </c>
    </row>
    <row r="7845" spans="2:2" ht="15.6">
      <c r="B7845" s="171">
        <v>-1247.6991017153341</v>
      </c>
    </row>
    <row r="7846" spans="2:2" ht="15.6">
      <c r="B7846" s="171">
        <v>-1805.6221156897616</v>
      </c>
    </row>
    <row r="7847" spans="2:2" ht="15.6">
      <c r="B7847" s="171">
        <v>-1697.3005135987157</v>
      </c>
    </row>
    <row r="7848" spans="2:2" ht="15.6">
      <c r="B7848" s="171">
        <v>-1525.1217298401248</v>
      </c>
    </row>
    <row r="7849" spans="2:2" ht="15.6">
      <c r="B7849" s="171">
        <v>-1487.2115561192863</v>
      </c>
    </row>
    <row r="7850" spans="2:2" ht="15.6">
      <c r="B7850" s="171">
        <v>-1687.9710074637571</v>
      </c>
    </row>
    <row r="7851" spans="2:2" ht="15.6">
      <c r="B7851" s="171">
        <v>-1697.1088233191751</v>
      </c>
    </row>
    <row r="7852" spans="2:2" ht="15.6">
      <c r="B7852" s="171">
        <v>-1326.947197213058</v>
      </c>
    </row>
    <row r="7853" spans="2:2" ht="15.6">
      <c r="B7853" s="171">
        <v>-1296.1428973704824</v>
      </c>
    </row>
    <row r="7854" spans="2:2" ht="15.6">
      <c r="B7854" s="171">
        <v>-1340.5873725367296</v>
      </c>
    </row>
    <row r="7855" spans="2:2" ht="15.6">
      <c r="B7855" s="171">
        <v>-1337.9169211467133</v>
      </c>
    </row>
    <row r="7856" spans="2:2" ht="15.6">
      <c r="B7856" s="171">
        <v>-1543.535721544521</v>
      </c>
    </row>
    <row r="7857" spans="2:2" ht="15.6">
      <c r="B7857" s="171">
        <v>-1529.0472568967971</v>
      </c>
    </row>
    <row r="7858" spans="2:2" ht="15.6">
      <c r="B7858" s="171">
        <v>-1152.063010615236</v>
      </c>
    </row>
    <row r="7859" spans="2:2" ht="15.6">
      <c r="B7859" s="171">
        <v>-1694.5349461451824</v>
      </c>
    </row>
    <row r="7860" spans="2:2" ht="15.6">
      <c r="B7860" s="171">
        <v>-2206.1618951209125</v>
      </c>
    </row>
    <row r="7861" spans="2:2" ht="15.6">
      <c r="B7861" s="171">
        <v>-1101.8232012176293</v>
      </c>
    </row>
    <row r="7862" spans="2:2" ht="15.6">
      <c r="B7862" s="171">
        <v>-2409.6871316988836</v>
      </c>
    </row>
    <row r="7863" spans="2:2" ht="15.6">
      <c r="B7863" s="171">
        <v>-1197.6279032336017</v>
      </c>
    </row>
    <row r="7864" spans="2:2" ht="15.6">
      <c r="B7864" s="171">
        <v>-1822.7494727582439</v>
      </c>
    </row>
    <row r="7865" spans="2:2" ht="15.6">
      <c r="B7865" s="171">
        <v>-1482.9168197129277</v>
      </c>
    </row>
    <row r="7866" spans="2:2" ht="15.6">
      <c r="B7866" s="171">
        <v>-1598.1568354697556</v>
      </c>
    </row>
    <row r="7867" spans="2:2" ht="15.6">
      <c r="B7867" s="171">
        <v>-1830.3280618315935</v>
      </c>
    </row>
    <row r="7868" spans="2:2" ht="15.6">
      <c r="B7868" s="171">
        <v>-1499.7177813377675</v>
      </c>
    </row>
    <row r="7869" spans="2:2" ht="15.6">
      <c r="B7869" s="171">
        <v>-1047.673821877318</v>
      </c>
    </row>
    <row r="7870" spans="2:2" ht="15.6">
      <c r="B7870" s="171">
        <v>-2458.2704699682417</v>
      </c>
    </row>
    <row r="7871" spans="2:2" ht="15.6">
      <c r="B7871" s="171">
        <v>-1664.9125769507154</v>
      </c>
    </row>
    <row r="7872" spans="2:2" ht="15.6">
      <c r="B7872" s="171">
        <v>-1133.9169404781428</v>
      </c>
    </row>
    <row r="7873" spans="2:2" ht="15.6">
      <c r="B7873" s="171">
        <v>-1336.8032973571055</v>
      </c>
    </row>
    <row r="7874" spans="2:2" ht="15.6">
      <c r="B7874" s="171">
        <v>-821.79213713780166</v>
      </c>
    </row>
    <row r="7875" spans="2:2" ht="15.6">
      <c r="B7875" s="171">
        <v>-1372.4619692504782</v>
      </c>
    </row>
    <row r="7876" spans="2:2" ht="15.6">
      <c r="B7876" s="171">
        <v>-2433.4457138300004</v>
      </c>
    </row>
    <row r="7877" spans="2:2" ht="15.6">
      <c r="B7877" s="171">
        <v>-1412.5265396769353</v>
      </c>
    </row>
    <row r="7878" spans="2:2" ht="15.6">
      <c r="B7878" s="171">
        <v>-1311.110814093719</v>
      </c>
    </row>
    <row r="7879" spans="2:2" ht="15.6">
      <c r="B7879" s="171">
        <v>-1587.2197808734968</v>
      </c>
    </row>
    <row r="7880" spans="2:2" ht="15.6">
      <c r="B7880" s="171">
        <v>-1365.44003172969</v>
      </c>
    </row>
    <row r="7881" spans="2:2" ht="15.6">
      <c r="B7881" s="171">
        <v>-1070.5099169879361</v>
      </c>
    </row>
    <row r="7882" spans="2:2" ht="15.6">
      <c r="B7882" s="171">
        <v>-1405.4634450582255</v>
      </c>
    </row>
    <row r="7883" spans="2:2" ht="15.6">
      <c r="B7883" s="171">
        <v>-1526.8430688374856</v>
      </c>
    </row>
    <row r="7884" spans="2:2" ht="15.6">
      <c r="B7884" s="171">
        <v>-1892.0341097709561</v>
      </c>
    </row>
    <row r="7885" spans="2:2" ht="15.6">
      <c r="B7885" s="171">
        <v>-2001.3461902215704</v>
      </c>
    </row>
    <row r="7886" spans="2:2" ht="15.6">
      <c r="B7886" s="171">
        <v>-1295.0021951760421</v>
      </c>
    </row>
    <row r="7887" spans="2:2" ht="15.6">
      <c r="B7887" s="171">
        <v>-2110.6420000568764</v>
      </c>
    </row>
    <row r="7888" spans="2:2" ht="15.6">
      <c r="B7888" s="171">
        <v>-1769.2321858199989</v>
      </c>
    </row>
    <row r="7889" spans="2:2" ht="15.6">
      <c r="B7889" s="171">
        <v>-1434.6171030606731</v>
      </c>
    </row>
    <row r="7890" spans="2:2" ht="15.6">
      <c r="B7890" s="171">
        <v>-2002.3203515178739</v>
      </c>
    </row>
    <row r="7891" spans="2:2" ht="15.6">
      <c r="B7891" s="171">
        <v>-1315.7179137963753</v>
      </c>
    </row>
    <row r="7892" spans="2:2" ht="15.6">
      <c r="B7892" s="171">
        <v>-2399.0139158644197</v>
      </c>
    </row>
    <row r="7893" spans="2:2" ht="15.6">
      <c r="B7893" s="171">
        <v>-1524.7346219002843</v>
      </c>
    </row>
    <row r="7894" spans="2:2" ht="15.6">
      <c r="B7894" s="171">
        <v>-1345.8563245543937</v>
      </c>
    </row>
    <row r="7895" spans="2:2" ht="15.6">
      <c r="B7895" s="171">
        <v>-1997.7407951712976</v>
      </c>
    </row>
    <row r="7896" spans="2:2" ht="15.6">
      <c r="B7896" s="171">
        <v>-1205.3779120208512</v>
      </c>
    </row>
    <row r="7897" spans="2:2" ht="15.6">
      <c r="B7897" s="171">
        <v>-1152.73301474861</v>
      </c>
    </row>
    <row r="7898" spans="2:2" ht="15.6">
      <c r="B7898" s="171">
        <v>-1722.9312935963026</v>
      </c>
    </row>
    <row r="7899" spans="2:2" ht="15.6">
      <c r="B7899" s="171">
        <v>-985.13082155924735</v>
      </c>
    </row>
    <row r="7900" spans="2:2" ht="15.6">
      <c r="B7900" s="171">
        <v>-1378.0323393590543</v>
      </c>
    </row>
    <row r="7901" spans="2:2" ht="15.6">
      <c r="B7901" s="171">
        <v>-1636.1052006612429</v>
      </c>
    </row>
    <row r="7902" spans="2:2" ht="15.6">
      <c r="B7902" s="171">
        <v>-1572.8547987721104</v>
      </c>
    </row>
    <row r="7903" spans="2:2" ht="15.6">
      <c r="B7903" s="171">
        <v>-1178.4572458690718</v>
      </c>
    </row>
    <row r="7904" spans="2:2" ht="15.6">
      <c r="B7904" s="171">
        <v>-869.15296345434933</v>
      </c>
    </row>
    <row r="7905" spans="2:2" ht="15.6">
      <c r="B7905" s="171">
        <v>-1570.9873864316523</v>
      </c>
    </row>
    <row r="7906" spans="2:2" ht="15.6">
      <c r="B7906" s="171">
        <v>-1575.586765468048</v>
      </c>
    </row>
    <row r="7907" spans="2:2" ht="15.6">
      <c r="B7907" s="171">
        <v>-1050.2733601443631</v>
      </c>
    </row>
    <row r="7908" spans="2:2" ht="15.6">
      <c r="B7908" s="171">
        <v>-1661.7578958494773</v>
      </c>
    </row>
    <row r="7909" spans="2:2" ht="15.6">
      <c r="B7909" s="171">
        <v>-2766.3276694759088</v>
      </c>
    </row>
    <row r="7910" spans="2:2" ht="15.6">
      <c r="B7910" s="171">
        <v>-1564.5121683341645</v>
      </c>
    </row>
    <row r="7911" spans="2:2" ht="15.6">
      <c r="B7911" s="171">
        <v>-1025.5780457491358</v>
      </c>
    </row>
    <row r="7912" spans="2:2" ht="15.6">
      <c r="B7912" s="171">
        <v>-2478.5854715537012</v>
      </c>
    </row>
    <row r="7913" spans="2:2" ht="15.6">
      <c r="B7913" s="171">
        <v>-1294.6863986381907</v>
      </c>
    </row>
    <row r="7914" spans="2:2" ht="15.6">
      <c r="B7914" s="171">
        <v>-1945.0019344073114</v>
      </c>
    </row>
    <row r="7915" spans="2:2" ht="15.6">
      <c r="B7915" s="171">
        <v>-1393.9696302954758</v>
      </c>
    </row>
    <row r="7916" spans="2:2" ht="15.6">
      <c r="B7916" s="171">
        <v>-2111.1178846946491</v>
      </c>
    </row>
    <row r="7917" spans="2:2" ht="15.6">
      <c r="B7917" s="171">
        <v>-2028.2851376482774</v>
      </c>
    </row>
    <row r="7918" spans="2:2" ht="15.6">
      <c r="B7918" s="171">
        <v>-1723.6334948746924</v>
      </c>
    </row>
    <row r="7919" spans="2:2" ht="15.6">
      <c r="B7919" s="171">
        <v>-1949.7026458729874</v>
      </c>
    </row>
    <row r="7920" spans="2:2" ht="15.6">
      <c r="B7920" s="171">
        <v>-1327.5157651750046</v>
      </c>
    </row>
    <row r="7921" spans="2:2" ht="15.6">
      <c r="B7921" s="171">
        <v>-1708.3109582802256</v>
      </c>
    </row>
    <row r="7922" spans="2:2" ht="15.6">
      <c r="B7922" s="171">
        <v>-2063.2807782365835</v>
      </c>
    </row>
    <row r="7923" spans="2:2" ht="15.6">
      <c r="B7923" s="171">
        <v>-1581.5025898781207</v>
      </c>
    </row>
    <row r="7924" spans="2:2" ht="15.6">
      <c r="B7924" s="171">
        <v>-1319.3166884703464</v>
      </c>
    </row>
    <row r="7925" spans="2:2" ht="15.6">
      <c r="B7925" s="171">
        <v>-1191.6874459145581</v>
      </c>
    </row>
    <row r="7926" spans="2:2" ht="15.6">
      <c r="B7926" s="171">
        <v>-1304.9402021790586</v>
      </c>
    </row>
    <row r="7927" spans="2:2" ht="15.6">
      <c r="B7927" s="171">
        <v>-1269.4724356864924</v>
      </c>
    </row>
    <row r="7928" spans="2:2" ht="15.6">
      <c r="B7928" s="171">
        <v>-1961.7985532044338</v>
      </c>
    </row>
    <row r="7929" spans="2:2" ht="15.6">
      <c r="B7929" s="171">
        <v>-1684.6852278257752</v>
      </c>
    </row>
    <row r="7930" spans="2:2" ht="15.6">
      <c r="B7930" s="171">
        <v>-1499.7979326070308</v>
      </c>
    </row>
    <row r="7931" spans="2:2" ht="15.6">
      <c r="B7931" s="171">
        <v>-1797.9783488377614</v>
      </c>
    </row>
    <row r="7932" spans="2:2" ht="15.6">
      <c r="B7932" s="171">
        <v>-1904.813848016046</v>
      </c>
    </row>
    <row r="7933" spans="2:2" ht="15.6">
      <c r="B7933" s="171">
        <v>-1089.9420418388545</v>
      </c>
    </row>
    <row r="7934" spans="2:2" ht="15.6">
      <c r="B7934" s="171">
        <v>-1419.4663589830216</v>
      </c>
    </row>
    <row r="7935" spans="2:2" ht="15.6">
      <c r="B7935" s="171">
        <v>-1308.0622624212124</v>
      </c>
    </row>
    <row r="7936" spans="2:2" ht="15.6">
      <c r="B7936" s="171">
        <v>-1550.1173502376021</v>
      </c>
    </row>
    <row r="7937" spans="2:2" ht="15.6">
      <c r="B7937" s="171">
        <v>-1177.9158191190586</v>
      </c>
    </row>
    <row r="7938" spans="2:2" ht="15.6">
      <c r="B7938" s="171">
        <v>-2048.2478329333753</v>
      </c>
    </row>
    <row r="7939" spans="2:2" ht="15.6">
      <c r="B7939" s="171">
        <v>-1653.0934351641436</v>
      </c>
    </row>
    <row r="7940" spans="2:2" ht="15.6">
      <c r="B7940" s="171">
        <v>-2028.352769650086</v>
      </c>
    </row>
    <row r="7941" spans="2:2" ht="15.6">
      <c r="B7941" s="171">
        <v>-1458.601458017097</v>
      </c>
    </row>
    <row r="7942" spans="2:2" ht="15.6">
      <c r="B7942" s="171">
        <v>-1164.8217031524759</v>
      </c>
    </row>
    <row r="7943" spans="2:2" ht="15.6">
      <c r="B7943" s="171">
        <v>-1333.6576097220873</v>
      </c>
    </row>
    <row r="7944" spans="2:2" ht="15.6">
      <c r="B7944" s="171">
        <v>-1809.7490620178223</v>
      </c>
    </row>
    <row r="7945" spans="2:2" ht="15.6">
      <c r="B7945" s="171">
        <v>-966.22088926278275</v>
      </c>
    </row>
    <row r="7946" spans="2:2" ht="15.6">
      <c r="B7946" s="171">
        <v>-1243.0728006509696</v>
      </c>
    </row>
    <row r="7947" spans="2:2" ht="15.6">
      <c r="B7947" s="171">
        <v>-1982.9198405429725</v>
      </c>
    </row>
    <row r="7948" spans="2:2" ht="15.6">
      <c r="B7948" s="171">
        <v>-1449.7691154572806</v>
      </c>
    </row>
    <row r="7949" spans="2:2" ht="15.6">
      <c r="B7949" s="171">
        <v>-1742.271329848307</v>
      </c>
    </row>
    <row r="7950" spans="2:2" ht="15.6">
      <c r="B7950" s="171">
        <v>-1431.7198763236149</v>
      </c>
    </row>
    <row r="7951" spans="2:2" ht="15.6">
      <c r="B7951" s="171">
        <v>-1357.2109808450359</v>
      </c>
    </row>
    <row r="7952" spans="2:2" ht="15.6">
      <c r="B7952" s="171">
        <v>-1152.0787997683017</v>
      </c>
    </row>
    <row r="7953" spans="2:2" ht="15.6">
      <c r="B7953" s="171">
        <v>-1369.7104337273952</v>
      </c>
    </row>
    <row r="7954" spans="2:2" ht="15.6">
      <c r="B7954" s="171">
        <v>-1352.9332720809398</v>
      </c>
    </row>
    <row r="7955" spans="2:2" ht="15.6">
      <c r="B7955" s="171">
        <v>-2508.0427052437099</v>
      </c>
    </row>
    <row r="7956" spans="2:2" ht="15.6">
      <c r="B7956" s="171">
        <v>-1641.2537556614022</v>
      </c>
    </row>
    <row r="7957" spans="2:2" ht="15.6">
      <c r="B7957" s="171">
        <v>-1088.2216191022487</v>
      </c>
    </row>
    <row r="7958" spans="2:2" ht="15.6">
      <c r="B7958" s="171">
        <v>-1277.0631528762731</v>
      </c>
    </row>
    <row r="7959" spans="2:2" ht="15.6">
      <c r="B7959" s="171">
        <v>-1954.79678811385</v>
      </c>
    </row>
    <row r="7960" spans="2:2" ht="15.6">
      <c r="B7960" s="171">
        <v>-1900.993552134868</v>
      </c>
    </row>
    <row r="7961" spans="2:2" ht="15.6">
      <c r="B7961" s="171">
        <v>-1110.1945771351732</v>
      </c>
    </row>
    <row r="7962" spans="2:2" ht="15.6">
      <c r="B7962" s="171">
        <v>-1573.0783594360284</v>
      </c>
    </row>
    <row r="7963" spans="2:2" ht="15.6">
      <c r="B7963" s="171">
        <v>-2077.0834813097531</v>
      </c>
    </row>
    <row r="7964" spans="2:2" ht="15.6">
      <c r="B7964" s="171">
        <v>-1333.5568572538348</v>
      </c>
    </row>
    <row r="7965" spans="2:2" ht="15.6">
      <c r="B7965" s="171">
        <v>-710.76738947220338</v>
      </c>
    </row>
    <row r="7966" spans="2:2" ht="15.6">
      <c r="B7966" s="171">
        <v>-1443.8344648728228</v>
      </c>
    </row>
    <row r="7967" spans="2:2" ht="15.6">
      <c r="B7967" s="171">
        <v>-2218.6475561175107</v>
      </c>
    </row>
    <row r="7968" spans="2:2" ht="15.6">
      <c r="B7968" s="171">
        <v>-1363.2248325360897</v>
      </c>
    </row>
    <row r="7969" spans="2:2" ht="15.6">
      <c r="B7969" s="171">
        <v>-1625.8990745592794</v>
      </c>
    </row>
    <row r="7970" spans="2:2" ht="15.6">
      <c r="B7970" s="171">
        <v>-1324.5700137999568</v>
      </c>
    </row>
    <row r="7971" spans="2:2" ht="15.6">
      <c r="B7971" s="171">
        <v>-1052.1508357853522</v>
      </c>
    </row>
    <row r="7972" spans="2:2" ht="15.6">
      <c r="B7972" s="171">
        <v>-1591.6640448067426</v>
      </c>
    </row>
    <row r="7973" spans="2:2" ht="15.6">
      <c r="B7973" s="171">
        <v>-1062.8435349809663</v>
      </c>
    </row>
    <row r="7974" spans="2:2" ht="15.6">
      <c r="B7974" s="171">
        <v>-1254.2141500079094</v>
      </c>
    </row>
    <row r="7975" spans="2:2" ht="15.6">
      <c r="B7975" s="171">
        <v>-1830.4017224209717</v>
      </c>
    </row>
    <row r="7976" spans="2:2" ht="15.6">
      <c r="B7976" s="171">
        <v>-2411.5738545601625</v>
      </c>
    </row>
    <row r="7977" spans="2:2" ht="15.6">
      <c r="B7977" s="171">
        <v>-1408.432594647986</v>
      </c>
    </row>
    <row r="7978" spans="2:2" ht="15.6">
      <c r="B7978" s="171">
        <v>-1657.6323637770799</v>
      </c>
    </row>
    <row r="7979" spans="2:2" ht="15.6">
      <c r="B7979" s="171">
        <v>-2442.3510329306105</v>
      </c>
    </row>
    <row r="7980" spans="2:2" ht="15.6">
      <c r="B7980" s="171">
        <v>-1721.2405503093926</v>
      </c>
    </row>
    <row r="7981" spans="2:2" ht="15.6">
      <c r="B7981" s="171">
        <v>-2110.2524327080787</v>
      </c>
    </row>
    <row r="7982" spans="2:2" ht="15.6">
      <c r="B7982" s="171">
        <v>-1230.6578749029634</v>
      </c>
    </row>
    <row r="7983" spans="2:2" ht="15.6">
      <c r="B7983" s="171">
        <v>-2294.2517407303772</v>
      </c>
    </row>
    <row r="7984" spans="2:2" ht="15.6">
      <c r="B7984" s="171">
        <v>-1527.1766265502133</v>
      </c>
    </row>
    <row r="7985" spans="2:2" ht="15.6">
      <c r="B7985" s="171">
        <v>-1809.6463748594749</v>
      </c>
    </row>
    <row r="7986" spans="2:2" ht="15.6">
      <c r="B7986" s="171">
        <v>-1522.2247776745435</v>
      </c>
    </row>
    <row r="7987" spans="2:2" ht="15.6">
      <c r="B7987" s="171">
        <v>-1817.961427791598</v>
      </c>
    </row>
    <row r="7988" spans="2:2" ht="15.6">
      <c r="B7988" s="171">
        <v>-1748.4549257770805</v>
      </c>
    </row>
    <row r="7989" spans="2:2" ht="15.6">
      <c r="B7989" s="171">
        <v>-1347.7827703469929</v>
      </c>
    </row>
    <row r="7990" spans="2:2" ht="15.6">
      <c r="B7990" s="171">
        <v>-2455.8968057406764</v>
      </c>
    </row>
    <row r="7991" spans="2:2" ht="15.6">
      <c r="B7991" s="171">
        <v>-1725.9172234769853</v>
      </c>
    </row>
    <row r="7992" spans="2:2" ht="15.6">
      <c r="B7992" s="171">
        <v>-1894.7441077228982</v>
      </c>
    </row>
    <row r="7993" spans="2:2" ht="15.6">
      <c r="B7993" s="171">
        <v>-1507.8437716394128</v>
      </c>
    </row>
    <row r="7994" spans="2:2" ht="15.6">
      <c r="B7994" s="171">
        <v>-1354.8007315690106</v>
      </c>
    </row>
    <row r="7995" spans="2:2" ht="15.6">
      <c r="B7995" s="171">
        <v>-1279.3580689645514</v>
      </c>
    </row>
    <row r="7996" spans="2:2" ht="15.6">
      <c r="B7996" s="171">
        <v>-1662.758381412785</v>
      </c>
    </row>
    <row r="7997" spans="2:2" ht="15.6">
      <c r="B7997" s="171">
        <v>-1535.9748550630611</v>
      </c>
    </row>
    <row r="7998" spans="2:2" ht="15.6">
      <c r="B7998" s="171">
        <v>-1552.1540142785484</v>
      </c>
    </row>
    <row r="7999" spans="2:2" ht="15.6">
      <c r="B7999" s="171">
        <v>-1238.3409246318511</v>
      </c>
    </row>
    <row r="8000" spans="2:2" ht="15.6">
      <c r="B8000" s="171">
        <v>-1115.6736256624408</v>
      </c>
    </row>
    <row r="8001" spans="2:2" ht="15.6">
      <c r="B8001" s="171">
        <v>-1430.215979701049</v>
      </c>
    </row>
    <row r="8002" spans="2:2" ht="15.6">
      <c r="B8002" s="171">
        <v>-1228.6313430691275</v>
      </c>
    </row>
    <row r="8003" spans="2:2" ht="15.6">
      <c r="B8003" s="171">
        <v>-1011.8143909690889</v>
      </c>
    </row>
    <row r="8004" spans="2:2" ht="15.6">
      <c r="B8004" s="171">
        <v>-1130.5402996538965</v>
      </c>
    </row>
    <row r="8005" spans="2:2" ht="15.6">
      <c r="B8005" s="171">
        <v>-1609.8925863540894</v>
      </c>
    </row>
    <row r="8006" spans="2:2" ht="15.6">
      <c r="B8006" s="171">
        <v>-753.94189545387997</v>
      </c>
    </row>
    <row r="8007" spans="2:2" ht="15.6">
      <c r="B8007" s="171">
        <v>-1456.8882841617901</v>
      </c>
    </row>
    <row r="8008" spans="2:2" ht="15.6">
      <c r="B8008" s="171">
        <v>-1584.0730942457687</v>
      </c>
    </row>
    <row r="8009" spans="2:2" ht="15.6">
      <c r="B8009" s="171">
        <v>-1647.6839434165383</v>
      </c>
    </row>
    <row r="8010" spans="2:2" ht="15.6">
      <c r="B8010" s="171">
        <v>-1944.7676199218538</v>
      </c>
    </row>
    <row r="8011" spans="2:2" ht="15.6">
      <c r="B8011" s="171">
        <v>-1439.8728088193766</v>
      </c>
    </row>
    <row r="8012" spans="2:2" ht="15.6">
      <c r="B8012" s="171">
        <v>-2309.9295317503606</v>
      </c>
    </row>
    <row r="8013" spans="2:2" ht="15.6">
      <c r="B8013" s="171">
        <v>-1598.4436177298287</v>
      </c>
    </row>
    <row r="8014" spans="2:2" ht="15.6">
      <c r="B8014" s="171">
        <v>-1001.1868394933954</v>
      </c>
    </row>
    <row r="8015" spans="2:2" ht="15.6">
      <c r="B8015" s="171">
        <v>-1928.8694321647354</v>
      </c>
    </row>
    <row r="8016" spans="2:2" ht="15.6">
      <c r="B8016" s="171">
        <v>-1588.0016906564983</v>
      </c>
    </row>
    <row r="8017" spans="2:2" ht="15.6">
      <c r="B8017" s="171">
        <v>-2084.6452677000848</v>
      </c>
    </row>
    <row r="8018" spans="2:2" ht="15.6">
      <c r="B8018" s="171">
        <v>-1796.0727510430281</v>
      </c>
    </row>
    <row r="8019" spans="2:2" ht="15.6">
      <c r="B8019" s="171">
        <v>-1174.3664556055103</v>
      </c>
    </row>
    <row r="8020" spans="2:2" ht="15.6">
      <c r="B8020" s="171">
        <v>-1923.9717909668507</v>
      </c>
    </row>
    <row r="8021" spans="2:2" ht="15.6">
      <c r="B8021" s="171">
        <v>-1708.309381260354</v>
      </c>
    </row>
    <row r="8022" spans="2:2" ht="15.6">
      <c r="B8022" s="171">
        <v>-1406.1961583900554</v>
      </c>
    </row>
    <row r="8023" spans="2:2" ht="15.6">
      <c r="B8023" s="171">
        <v>-1214.75869630427</v>
      </c>
    </row>
    <row r="8024" spans="2:2" ht="15.6">
      <c r="B8024" s="171">
        <v>-1558.643079536406</v>
      </c>
    </row>
    <row r="8025" spans="2:2" ht="15.6">
      <c r="B8025" s="171">
        <v>-2311.5014079443108</v>
      </c>
    </row>
    <row r="8026" spans="2:2" ht="15.6">
      <c r="B8026" s="171">
        <v>-1464.9246708376086</v>
      </c>
    </row>
    <row r="8027" spans="2:2" ht="15.6">
      <c r="B8027" s="171">
        <v>-1874.0691079058922</v>
      </c>
    </row>
    <row r="8028" spans="2:2" ht="15.6">
      <c r="B8028" s="171">
        <v>-942.10804506045349</v>
      </c>
    </row>
    <row r="8029" spans="2:2" ht="15.6">
      <c r="B8029" s="171">
        <v>-1815.9037020387048</v>
      </c>
    </row>
    <row r="8030" spans="2:2" ht="15.6">
      <c r="B8030" s="171">
        <v>-2201.7776048621863</v>
      </c>
    </row>
    <row r="8031" spans="2:2" ht="15.6">
      <c r="B8031" s="171">
        <v>-1732.0434371984925</v>
      </c>
    </row>
    <row r="8032" spans="2:2" ht="15.6">
      <c r="B8032" s="171">
        <v>-1947.4689750090618</v>
      </c>
    </row>
    <row r="8033" spans="2:2" ht="15.6">
      <c r="B8033" s="171">
        <v>-1383.4695458049312</v>
      </c>
    </row>
    <row r="8034" spans="2:2" ht="15.6">
      <c r="B8034" s="171">
        <v>-1634.4924900655972</v>
      </c>
    </row>
    <row r="8035" spans="2:2" ht="15.6">
      <c r="B8035" s="171">
        <v>-1868.833746765712</v>
      </c>
    </row>
    <row r="8036" spans="2:2" ht="15.6">
      <c r="B8036" s="171">
        <v>-1946.6429245296144</v>
      </c>
    </row>
    <row r="8037" spans="2:2" ht="15.6">
      <c r="B8037" s="171">
        <v>-1559.3187597348688</v>
      </c>
    </row>
    <row r="8038" spans="2:2" ht="15.6">
      <c r="B8038" s="171">
        <v>-1190.4374507689161</v>
      </c>
    </row>
    <row r="8039" spans="2:2" ht="15.6">
      <c r="B8039" s="171">
        <v>-2505.7195876683004</v>
      </c>
    </row>
    <row r="8040" spans="2:2" ht="15.6">
      <c r="B8040" s="171">
        <v>-2088.8717412801807</v>
      </c>
    </row>
    <row r="8041" spans="2:2" ht="15.6">
      <c r="B8041" s="171">
        <v>-1409.0699649795001</v>
      </c>
    </row>
    <row r="8042" spans="2:2" ht="15.6">
      <c r="B8042" s="171">
        <v>-1002.3200215127506</v>
      </c>
    </row>
    <row r="8043" spans="2:2" ht="15.6">
      <c r="B8043" s="171">
        <v>-1227.9167301364687</v>
      </c>
    </row>
    <row r="8044" spans="2:2" ht="15.6">
      <c r="B8044" s="171">
        <v>-1363.7005981339721</v>
      </c>
    </row>
    <row r="8045" spans="2:2" ht="15.6">
      <c r="B8045" s="171">
        <v>-1965.4952584288749</v>
      </c>
    </row>
    <row r="8046" spans="2:2" ht="15.6">
      <c r="B8046" s="171">
        <v>-1421.2803309466562</v>
      </c>
    </row>
    <row r="8047" spans="2:2" ht="15.6">
      <c r="B8047" s="171">
        <v>-1507.7193443392171</v>
      </c>
    </row>
    <row r="8048" spans="2:2" ht="15.6">
      <c r="B8048" s="171">
        <v>-1298.5537425540638</v>
      </c>
    </row>
    <row r="8049" spans="2:2" ht="15.6">
      <c r="B8049" s="171">
        <v>-1777.8423582885905</v>
      </c>
    </row>
    <row r="8050" spans="2:2" ht="15.6">
      <c r="B8050" s="171">
        <v>-1384.5307207732253</v>
      </c>
    </row>
    <row r="8051" spans="2:2" ht="15.6">
      <c r="B8051" s="171">
        <v>-2065.1093558920206</v>
      </c>
    </row>
    <row r="8052" spans="2:2" ht="15.6">
      <c r="B8052" s="171">
        <v>-1146.6524693377512</v>
      </c>
    </row>
    <row r="8053" spans="2:2" ht="15.6">
      <c r="B8053" s="171">
        <v>-1492.0041005531457</v>
      </c>
    </row>
    <row r="8054" spans="2:2" ht="15.6">
      <c r="B8054" s="171">
        <v>-1478.787909972604</v>
      </c>
    </row>
    <row r="8055" spans="2:2" ht="15.6">
      <c r="B8055" s="171">
        <v>-1340.6160116486988</v>
      </c>
    </row>
    <row r="8056" spans="2:2" ht="15.6">
      <c r="B8056" s="171">
        <v>-1951.2504476522249</v>
      </c>
    </row>
    <row r="8057" spans="2:2" ht="15.6">
      <c r="B8057" s="171">
        <v>-2288.4115276694974</v>
      </c>
    </row>
    <row r="8058" spans="2:2" ht="15.6">
      <c r="B8058" s="171">
        <v>-473.14434624528963</v>
      </c>
    </row>
    <row r="8059" spans="2:2" ht="15.6">
      <c r="B8059" s="171">
        <v>-1107.0851297551581</v>
      </c>
    </row>
    <row r="8060" spans="2:2" ht="15.6">
      <c r="B8060" s="171">
        <v>-1964.5916466752481</v>
      </c>
    </row>
    <row r="8061" spans="2:2" ht="15.6">
      <c r="B8061" s="171">
        <v>-1099.0447682749621</v>
      </c>
    </row>
    <row r="8062" spans="2:2" ht="15.6">
      <c r="B8062" s="171">
        <v>-1544.1227365014333</v>
      </c>
    </row>
    <row r="8063" spans="2:2" ht="15.6">
      <c r="B8063" s="171">
        <v>-1486.3837033509608</v>
      </c>
    </row>
    <row r="8064" spans="2:2" ht="15.6">
      <c r="B8064" s="171">
        <v>-1464.6980122532509</v>
      </c>
    </row>
    <row r="8065" spans="2:2" ht="15.6">
      <c r="B8065" s="171">
        <v>-2520.4321717226335</v>
      </c>
    </row>
    <row r="8066" spans="2:2" ht="15.6">
      <c r="B8066" s="171">
        <v>-1045.7063581979733</v>
      </c>
    </row>
    <row r="8067" spans="2:2" ht="15.6">
      <c r="B8067" s="171">
        <v>-1742.528078389126</v>
      </c>
    </row>
    <row r="8068" spans="2:2" ht="15.6">
      <c r="B8068" s="171">
        <v>-1945.6311503384245</v>
      </c>
    </row>
    <row r="8069" spans="2:2" ht="15.6">
      <c r="B8069" s="171">
        <v>-2566.2174638286897</v>
      </c>
    </row>
    <row r="8070" spans="2:2" ht="15.6">
      <c r="B8070" s="171">
        <v>-1257.6846873641673</v>
      </c>
    </row>
    <row r="8071" spans="2:2" ht="15.6">
      <c r="B8071" s="171">
        <v>-1616.8681685131853</v>
      </c>
    </row>
    <row r="8072" spans="2:2" ht="15.6">
      <c r="B8072" s="171">
        <v>-1508.9402512374741</v>
      </c>
    </row>
    <row r="8073" spans="2:2" ht="15.6">
      <c r="B8073" s="171">
        <v>-1168.8222490398525</v>
      </c>
    </row>
    <row r="8074" spans="2:2" ht="15.6">
      <c r="B8074" s="171">
        <v>-1808.8459756974889</v>
      </c>
    </row>
    <row r="8075" spans="2:2" ht="15.6">
      <c r="B8075" s="171">
        <v>-1514.8429166063827</v>
      </c>
    </row>
    <row r="8076" spans="2:2" ht="15.6">
      <c r="B8076" s="171">
        <v>-1436.630667853889</v>
      </c>
    </row>
    <row r="8077" spans="2:2" ht="15.6">
      <c r="B8077" s="171">
        <v>-2980.2150273099683</v>
      </c>
    </row>
    <row r="8078" spans="2:2" ht="15.6">
      <c r="B8078" s="171">
        <v>-1650.7107069048807</v>
      </c>
    </row>
    <row r="8079" spans="2:2" ht="15.6">
      <c r="B8079" s="171">
        <v>-1132.1282386980745</v>
      </c>
    </row>
    <row r="8080" spans="2:2" ht="15.6">
      <c r="B8080" s="171">
        <v>-2039.2057679544776</v>
      </c>
    </row>
    <row r="8081" spans="2:2" ht="15.6">
      <c r="B8081" s="171">
        <v>-1699.9022306163515</v>
      </c>
    </row>
    <row r="8082" spans="2:2" ht="15.6">
      <c r="B8082" s="171">
        <v>-782.85768927123218</v>
      </c>
    </row>
    <row r="8083" spans="2:2" ht="15.6">
      <c r="B8083" s="171">
        <v>-1207.7986024694824</v>
      </c>
    </row>
    <row r="8084" spans="2:2" ht="15.6">
      <c r="B8084" s="171">
        <v>-1857.120855573703</v>
      </c>
    </row>
    <row r="8085" spans="2:2" ht="15.6">
      <c r="B8085" s="171">
        <v>-2041.0110511266228</v>
      </c>
    </row>
    <row r="8086" spans="2:2" ht="15.6">
      <c r="B8086" s="171">
        <v>-1934.7543158790374</v>
      </c>
    </row>
    <row r="8087" spans="2:2" ht="15.6">
      <c r="B8087" s="171">
        <v>-1745.661783570785</v>
      </c>
    </row>
    <row r="8088" spans="2:2" ht="15.6">
      <c r="B8088" s="171">
        <v>-1304.2130106069146</v>
      </c>
    </row>
    <row r="8089" spans="2:2" ht="15.6">
      <c r="B8089" s="171">
        <v>-1992.5537407417</v>
      </c>
    </row>
    <row r="8090" spans="2:2" ht="15.6">
      <c r="B8090" s="171">
        <v>-1621.9341726061882</v>
      </c>
    </row>
    <row r="8091" spans="2:2" ht="15.6">
      <c r="B8091" s="171">
        <v>-1187.2645739118816</v>
      </c>
    </row>
    <row r="8092" spans="2:2" ht="15.6">
      <c r="B8092" s="171">
        <v>-1629.3162873480444</v>
      </c>
    </row>
    <row r="8093" spans="2:2" ht="15.6">
      <c r="B8093" s="171">
        <v>-2209.470123217719</v>
      </c>
    </row>
    <row r="8094" spans="2:2" ht="15.6">
      <c r="B8094" s="171">
        <v>-2127.1018261097456</v>
      </c>
    </row>
    <row r="8095" spans="2:2" ht="15.6">
      <c r="B8095" s="171">
        <v>-1903.6271469938793</v>
      </c>
    </row>
    <row r="8096" spans="2:2" ht="15.6">
      <c r="B8096" s="171">
        <v>-1448.4935588335677</v>
      </c>
    </row>
    <row r="8097" spans="2:2" ht="15.6">
      <c r="B8097" s="171">
        <v>-2042.9865436995419</v>
      </c>
    </row>
    <row r="8098" spans="2:2" ht="15.6">
      <c r="B8098" s="171">
        <v>-1793.6591244224346</v>
      </c>
    </row>
    <row r="8099" spans="2:2" ht="15.6">
      <c r="B8099" s="171">
        <v>-1314.8267503860829</v>
      </c>
    </row>
    <row r="8100" spans="2:2" ht="15.6">
      <c r="B8100" s="171">
        <v>-1277.4047906056928</v>
      </c>
    </row>
    <row r="8101" spans="2:2" ht="15.6">
      <c r="B8101" s="171">
        <v>-1556.4573544185582</v>
      </c>
    </row>
    <row r="8102" spans="2:2" ht="15.6">
      <c r="B8102" s="171">
        <v>-2036.2516287238971</v>
      </c>
    </row>
    <row r="8103" spans="2:2" ht="15.6">
      <c r="B8103" s="171">
        <v>-1843.0222631694055</v>
      </c>
    </row>
    <row r="8104" spans="2:2" ht="15.6">
      <c r="B8104" s="171">
        <v>-2160.584132899241</v>
      </c>
    </row>
    <row r="8105" spans="2:2" ht="15.6">
      <c r="B8105" s="171">
        <v>-1649.6019595303692</v>
      </c>
    </row>
    <row r="8106" spans="2:2" ht="15.6">
      <c r="B8106" s="171">
        <v>-1361.9072998271449</v>
      </c>
    </row>
    <row r="8107" spans="2:2" ht="15.6">
      <c r="B8107" s="171">
        <v>-1579.1371613562053</v>
      </c>
    </row>
    <row r="8108" spans="2:2" ht="15.6">
      <c r="B8108" s="171">
        <v>-1320.4970098738008</v>
      </c>
    </row>
    <row r="8109" spans="2:2" ht="15.6">
      <c r="B8109" s="171">
        <v>-970.52372304312905</v>
      </c>
    </row>
    <row r="8110" spans="2:2" ht="15.6">
      <c r="B8110" s="171">
        <v>-1200.7600907402195</v>
      </c>
    </row>
    <row r="8111" spans="2:2" ht="15.6">
      <c r="B8111" s="171">
        <v>-1369.8398982813346</v>
      </c>
    </row>
    <row r="8112" spans="2:2" ht="15.6">
      <c r="B8112" s="171">
        <v>-2230.8051947202493</v>
      </c>
    </row>
    <row r="8113" spans="2:2" ht="15.6">
      <c r="B8113" s="171">
        <v>-1021.150092228944</v>
      </c>
    </row>
    <row r="8114" spans="2:2" ht="15.6">
      <c r="B8114" s="171">
        <v>-1371.2922236200109</v>
      </c>
    </row>
    <row r="8115" spans="2:2" ht="15.6">
      <c r="B8115" s="171">
        <v>-1640.3481767282603</v>
      </c>
    </row>
    <row r="8116" spans="2:2" ht="15.6">
      <c r="B8116" s="171">
        <v>-1374.5042441459768</v>
      </c>
    </row>
    <row r="8117" spans="2:2" ht="15.6">
      <c r="B8117" s="171">
        <v>-1493.540981010043</v>
      </c>
    </row>
    <row r="8118" spans="2:2" ht="15.6">
      <c r="B8118" s="171">
        <v>-1505.0533886635842</v>
      </c>
    </row>
    <row r="8119" spans="2:2" ht="15.6">
      <c r="B8119" s="171">
        <v>-1000.590633313466</v>
      </c>
    </row>
    <row r="8120" spans="2:2" ht="15.6">
      <c r="B8120" s="171">
        <v>-2186.646777368625</v>
      </c>
    </row>
    <row r="8121" spans="2:2" ht="15.6">
      <c r="B8121" s="171">
        <v>-1661.6171860956356</v>
      </c>
    </row>
    <row r="8122" spans="2:2" ht="15.6">
      <c r="B8122" s="171">
        <v>-1750.4852836291298</v>
      </c>
    </row>
    <row r="8123" spans="2:2" ht="15.6">
      <c r="B8123" s="171">
        <v>-1195.7368562404977</v>
      </c>
    </row>
    <row r="8124" spans="2:2" ht="15.6">
      <c r="B8124" s="171">
        <v>-1749.7717037951313</v>
      </c>
    </row>
    <row r="8125" spans="2:2" ht="15.6">
      <c r="B8125" s="171">
        <v>-1856.021530103128</v>
      </c>
    </row>
    <row r="8126" spans="2:2" ht="15.6">
      <c r="B8126" s="171">
        <v>-1015.7795961333363</v>
      </c>
    </row>
    <row r="8127" spans="2:2" ht="15.6">
      <c r="B8127" s="171">
        <v>-1746.9669000221431</v>
      </c>
    </row>
    <row r="8128" spans="2:2" ht="15.6">
      <c r="B8128" s="171">
        <v>-1731.3488213374749</v>
      </c>
    </row>
    <row r="8129" spans="2:2" ht="15.6">
      <c r="B8129" s="171">
        <v>-2175.964327705572</v>
      </c>
    </row>
    <row r="8130" spans="2:2" ht="15.6">
      <c r="B8130" s="171">
        <v>-1610.020661347613</v>
      </c>
    </row>
    <row r="8131" spans="2:2" ht="15.6">
      <c r="B8131" s="171">
        <v>-2162.9993627334625</v>
      </c>
    </row>
    <row r="8132" spans="2:2" ht="15.6">
      <c r="B8132" s="171">
        <v>-1558.8401795030775</v>
      </c>
    </row>
    <row r="8133" spans="2:2" ht="15.6">
      <c r="B8133" s="171">
        <v>-1235.3483749728493</v>
      </c>
    </row>
    <row r="8134" spans="2:2" ht="15.6">
      <c r="B8134" s="171">
        <v>-1468.5138536423792</v>
      </c>
    </row>
    <row r="8135" spans="2:2" ht="15.6">
      <c r="B8135" s="171">
        <v>-1243.759903659291</v>
      </c>
    </row>
    <row r="8136" spans="2:2" ht="15.6">
      <c r="B8136" s="171">
        <v>-1582.9892305454682</v>
      </c>
    </row>
    <row r="8137" spans="2:2" ht="15.6">
      <c r="B8137" s="171">
        <v>-1909.9001600635327</v>
      </c>
    </row>
    <row r="8138" spans="2:2" ht="15.6">
      <c r="B8138" s="171">
        <v>-1846.2557662312734</v>
      </c>
    </row>
    <row r="8139" spans="2:2" ht="15.6">
      <c r="B8139" s="171">
        <v>-1442.8399347878471</v>
      </c>
    </row>
    <row r="8140" spans="2:2" ht="15.6">
      <c r="B8140" s="171">
        <v>-1873.5350650482649</v>
      </c>
    </row>
    <row r="8141" spans="2:2" ht="15.6">
      <c r="B8141" s="171">
        <v>-1951.5179490243534</v>
      </c>
    </row>
    <row r="8142" spans="2:2" ht="15.6">
      <c r="B8142" s="171">
        <v>-1839.5170452578593</v>
      </c>
    </row>
    <row r="8143" spans="2:2" ht="15.6">
      <c r="B8143" s="171">
        <v>-1495.7714492845898</v>
      </c>
    </row>
    <row r="8144" spans="2:2" ht="15.6">
      <c r="B8144" s="171">
        <v>-2097.7134950976674</v>
      </c>
    </row>
    <row r="8145" spans="2:2" ht="15.6">
      <c r="B8145" s="171">
        <v>-1567.5021376970276</v>
      </c>
    </row>
    <row r="8146" spans="2:2" ht="15.6">
      <c r="B8146" s="171">
        <v>-2038.9284364342734</v>
      </c>
    </row>
    <row r="8147" spans="2:2" ht="15.6">
      <c r="B8147" s="171">
        <v>-1714.386977193979</v>
      </c>
    </row>
    <row r="8148" spans="2:2" ht="15.6">
      <c r="B8148" s="171">
        <v>-1344.3841033741428</v>
      </c>
    </row>
    <row r="8149" spans="2:2" ht="15.6">
      <c r="B8149" s="171">
        <v>-1573.0615507954399</v>
      </c>
    </row>
    <row r="8150" spans="2:2" ht="15.6">
      <c r="B8150" s="171">
        <v>-1893.6378907315359</v>
      </c>
    </row>
    <row r="8151" spans="2:2" ht="15.6">
      <c r="B8151" s="171">
        <v>-1862.0657129601211</v>
      </c>
    </row>
    <row r="8152" spans="2:2" ht="15.6">
      <c r="B8152" s="171">
        <v>-2256.7908500496333</v>
      </c>
    </row>
    <row r="8153" spans="2:2" ht="15.6">
      <c r="B8153" s="171">
        <v>-1447.8113156221848</v>
      </c>
    </row>
    <row r="8154" spans="2:2" ht="15.6">
      <c r="B8154" s="171">
        <v>-1148.9803538969659</v>
      </c>
    </row>
    <row r="8155" spans="2:2" ht="15.6">
      <c r="B8155" s="171">
        <v>-637.90024685111644</v>
      </c>
    </row>
    <row r="8156" spans="2:2" ht="15.6">
      <c r="B8156" s="171">
        <v>-1484.1018362915258</v>
      </c>
    </row>
    <row r="8157" spans="2:2" ht="15.6">
      <c r="B8157" s="171">
        <v>-2248.2503693526673</v>
      </c>
    </row>
    <row r="8158" spans="2:2" ht="15.6">
      <c r="B8158" s="171">
        <v>-738.23541181895735</v>
      </c>
    </row>
    <row r="8159" spans="2:2" ht="15.6">
      <c r="B8159" s="171">
        <v>-1430.3688682952843</v>
      </c>
    </row>
    <row r="8160" spans="2:2" ht="15.6">
      <c r="B8160" s="171">
        <v>-1608.2709915392131</v>
      </c>
    </row>
    <row r="8161" spans="2:2" ht="15.6">
      <c r="B8161" s="171">
        <v>-1182.3225082575652</v>
      </c>
    </row>
    <row r="8162" spans="2:2" ht="15.6">
      <c r="B8162" s="171">
        <v>-1844.4549128001547</v>
      </c>
    </row>
    <row r="8163" spans="2:2" ht="15.6">
      <c r="B8163" s="171">
        <v>-1014.2296814229387</v>
      </c>
    </row>
    <row r="8164" spans="2:2" ht="15.6">
      <c r="B8164" s="171">
        <v>-1978.160751344446</v>
      </c>
    </row>
    <row r="8165" spans="2:2" ht="15.6">
      <c r="B8165" s="171">
        <v>-2216.8486344234971</v>
      </c>
    </row>
    <row r="8166" spans="2:2" ht="15.6">
      <c r="B8166" s="171">
        <v>-1158.6167724787856</v>
      </c>
    </row>
    <row r="8167" spans="2:2" ht="15.6">
      <c r="B8167" s="171">
        <v>-1620.7131435085321</v>
      </c>
    </row>
    <row r="8168" spans="2:2" ht="15.6">
      <c r="B8168" s="171">
        <v>-1237.706636329292</v>
      </c>
    </row>
    <row r="8169" spans="2:2" ht="15.6">
      <c r="B8169" s="171">
        <v>-1392.8648362410022</v>
      </c>
    </row>
    <row r="8170" spans="2:2" ht="15.6">
      <c r="B8170" s="171">
        <v>-2076.1171245056776</v>
      </c>
    </row>
    <row r="8171" spans="2:2" ht="15.6">
      <c r="B8171" s="171">
        <v>-1518.2479535176715</v>
      </c>
    </row>
    <row r="8172" spans="2:2" ht="15.6">
      <c r="B8172" s="171">
        <v>-1512.5600731257023</v>
      </c>
    </row>
    <row r="8173" spans="2:2" ht="15.6">
      <c r="B8173" s="171">
        <v>-1001.9491182308932</v>
      </c>
    </row>
    <row r="8174" spans="2:2" ht="15.6">
      <c r="B8174" s="171">
        <v>-1316.2985112512072</v>
      </c>
    </row>
    <row r="8175" spans="2:2" ht="15.6">
      <c r="B8175" s="171">
        <v>-1460.5645915876628</v>
      </c>
    </row>
    <row r="8176" spans="2:2" ht="15.6">
      <c r="B8176" s="171">
        <v>-1422.1919291298789</v>
      </c>
    </row>
    <row r="8177" spans="2:2" ht="15.6">
      <c r="B8177" s="171">
        <v>-1689.0785235815247</v>
      </c>
    </row>
    <row r="8178" spans="2:2" ht="15.6">
      <c r="B8178" s="171">
        <v>-1130.0608370648933</v>
      </c>
    </row>
    <row r="8179" spans="2:2" ht="15.6">
      <c r="B8179" s="171">
        <v>-1882.5318903841687</v>
      </c>
    </row>
    <row r="8180" spans="2:2" ht="15.6">
      <c r="B8180" s="171">
        <v>-1674.3919383264533</v>
      </c>
    </row>
    <row r="8181" spans="2:2" ht="15.6">
      <c r="B8181" s="171">
        <v>-999.2570178264715</v>
      </c>
    </row>
    <row r="8182" spans="2:2" ht="15.6">
      <c r="B8182" s="171">
        <v>-1567.8533103276602</v>
      </c>
    </row>
    <row r="8183" spans="2:2" ht="15.6">
      <c r="B8183" s="171">
        <v>-1868.744851108022</v>
      </c>
    </row>
    <row r="8184" spans="2:2" ht="15.6">
      <c r="B8184" s="171">
        <v>-1744.0645635944734</v>
      </c>
    </row>
    <row r="8185" spans="2:2" ht="15.6">
      <c r="B8185" s="171">
        <v>-1418.2105731323666</v>
      </c>
    </row>
    <row r="8186" spans="2:2" ht="15.6">
      <c r="B8186" s="171">
        <v>-1522.8042929057935</v>
      </c>
    </row>
    <row r="8187" spans="2:2" ht="15.6">
      <c r="B8187" s="171">
        <v>-1687.8496344011321</v>
      </c>
    </row>
    <row r="8188" spans="2:2" ht="15.6">
      <c r="B8188" s="171">
        <v>-1690.5762968470913</v>
      </c>
    </row>
    <row r="8189" spans="2:2" ht="15.6">
      <c r="B8189" s="171">
        <v>-1693.6970853304845</v>
      </c>
    </row>
    <row r="8190" spans="2:2" ht="15.6">
      <c r="B8190" s="171">
        <v>-1467.0197391167801</v>
      </c>
    </row>
    <row r="8191" spans="2:2" ht="15.6">
      <c r="B8191" s="171">
        <v>-1087.2004114482145</v>
      </c>
    </row>
    <row r="8192" spans="2:2" ht="15.6">
      <c r="B8192" s="171">
        <v>-1061.5628222309529</v>
      </c>
    </row>
    <row r="8193" spans="2:2" ht="15.6">
      <c r="B8193" s="171">
        <v>-1527.9332467551467</v>
      </c>
    </row>
    <row r="8194" spans="2:2" ht="15.6">
      <c r="B8194" s="171">
        <v>-1511.7900349333977</v>
      </c>
    </row>
    <row r="8195" spans="2:2" ht="15.6">
      <c r="B8195" s="171">
        <v>-1535.2551805219264</v>
      </c>
    </row>
    <row r="8196" spans="2:2" ht="15.6">
      <c r="B8196" s="171">
        <v>-1226.1481659160704</v>
      </c>
    </row>
    <row r="8197" spans="2:2" ht="15.6">
      <c r="B8197" s="171">
        <v>-894.81884537564031</v>
      </c>
    </row>
    <row r="8198" spans="2:2" ht="15.6">
      <c r="B8198" s="171">
        <v>-1697.7848148000198</v>
      </c>
    </row>
    <row r="8199" spans="2:2" ht="15.6">
      <c r="B8199" s="171">
        <v>-1436.6198296379762</v>
      </c>
    </row>
    <row r="8200" spans="2:2" ht="15.6">
      <c r="B8200" s="171">
        <v>-1784.8102879065937</v>
      </c>
    </row>
    <row r="8201" spans="2:2" ht="15.6">
      <c r="B8201" s="171">
        <v>-1811.1310639174133</v>
      </c>
    </row>
    <row r="8202" spans="2:2" ht="15.6">
      <c r="B8202" s="171">
        <v>-1230.4468489206333</v>
      </c>
    </row>
    <row r="8203" spans="2:2" ht="15.6">
      <c r="B8203" s="171">
        <v>-1584.5790650335884</v>
      </c>
    </row>
    <row r="8204" spans="2:2" ht="15.6">
      <c r="B8204" s="171">
        <v>-1397.691667485177</v>
      </c>
    </row>
    <row r="8205" spans="2:2" ht="15.6">
      <c r="B8205" s="171">
        <v>-2930.98642421144</v>
      </c>
    </row>
    <row r="8206" spans="2:2" ht="15.6">
      <c r="B8206" s="171">
        <v>-1656.4825146128546</v>
      </c>
    </row>
    <row r="8207" spans="2:2" ht="15.6">
      <c r="B8207" s="171">
        <v>-1273.8611064960696</v>
      </c>
    </row>
    <row r="8208" spans="2:2" ht="15.6">
      <c r="B8208" s="171">
        <v>-1505.1020197900966</v>
      </c>
    </row>
    <row r="8209" spans="2:2" ht="15.6">
      <c r="B8209" s="171">
        <v>-1911.0230741868118</v>
      </c>
    </row>
    <row r="8210" spans="2:2" ht="15.6">
      <c r="B8210" s="171">
        <v>-1794.6440173336514</v>
      </c>
    </row>
    <row r="8211" spans="2:2" ht="15.6">
      <c r="B8211" s="171">
        <v>-2176.6270658238182</v>
      </c>
    </row>
    <row r="8212" spans="2:2" ht="15.6">
      <c r="B8212" s="171">
        <v>-2066.0048133982382</v>
      </c>
    </row>
    <row r="8213" spans="2:2" ht="15.6">
      <c r="B8213" s="171">
        <v>-1576.2420200548531</v>
      </c>
    </row>
    <row r="8214" spans="2:2" ht="15.6">
      <c r="B8214" s="171">
        <v>-1223.0208793247002</v>
      </c>
    </row>
    <row r="8215" spans="2:2" ht="15.6">
      <c r="B8215" s="171">
        <v>-1341.2140240933816</v>
      </c>
    </row>
    <row r="8216" spans="2:2" ht="15.6">
      <c r="B8216" s="171">
        <v>-907.29251083842075</v>
      </c>
    </row>
    <row r="8217" spans="2:2" ht="15.6">
      <c r="B8217" s="171">
        <v>-1344.4931555089338</v>
      </c>
    </row>
    <row r="8218" spans="2:2" ht="15.6">
      <c r="B8218" s="171">
        <v>-1709.1206951710028</v>
      </c>
    </row>
    <row r="8219" spans="2:2" ht="15.6">
      <c r="B8219" s="171">
        <v>-1179.67403704098</v>
      </c>
    </row>
    <row r="8220" spans="2:2" ht="15.6">
      <c r="B8220" s="171">
        <v>-1357.6902082786216</v>
      </c>
    </row>
    <row r="8221" spans="2:2" ht="15.6">
      <c r="B8221" s="171">
        <v>-1333.0589053192061</v>
      </c>
    </row>
    <row r="8222" spans="2:2" ht="15.6">
      <c r="B8222" s="171">
        <v>-1358.2394314577969</v>
      </c>
    </row>
    <row r="8223" spans="2:2" ht="15.6">
      <c r="B8223" s="171">
        <v>-1424.1933740138691</v>
      </c>
    </row>
    <row r="8224" spans="2:2" ht="15.6">
      <c r="B8224" s="171">
        <v>-2734.4940284681743</v>
      </c>
    </row>
    <row r="8225" spans="2:2" ht="15.6">
      <c r="B8225" s="171">
        <v>-1222.2187538256258</v>
      </c>
    </row>
    <row r="8226" spans="2:2" ht="15.6">
      <c r="B8226" s="171">
        <v>-1497.5713862744187</v>
      </c>
    </row>
    <row r="8227" spans="2:2" ht="15.6">
      <c r="B8227" s="171">
        <v>-1650.9550026700417</v>
      </c>
    </row>
    <row r="8228" spans="2:2" ht="15.6">
      <c r="B8228" s="171">
        <v>-969.1964761856218</v>
      </c>
    </row>
    <row r="8229" spans="2:2" ht="15.6">
      <c r="B8229" s="171">
        <v>-1929.4182910270169</v>
      </c>
    </row>
    <row r="8230" spans="2:2" ht="15.6">
      <c r="B8230" s="171">
        <v>-1922.7373711109635</v>
      </c>
    </row>
    <row r="8231" spans="2:2" ht="15.6">
      <c r="B8231" s="171">
        <v>-1452.3748526047721</v>
      </c>
    </row>
    <row r="8232" spans="2:2" ht="15.6">
      <c r="B8232" s="171">
        <v>-1977.892922724679</v>
      </c>
    </row>
    <row r="8233" spans="2:2" ht="15.6">
      <c r="B8233" s="171">
        <v>-1590.0244430173623</v>
      </c>
    </row>
    <row r="8234" spans="2:2" ht="15.6">
      <c r="B8234" s="171">
        <v>-2928.6224209382726</v>
      </c>
    </row>
    <row r="8235" spans="2:2" ht="15.6">
      <c r="B8235" s="171">
        <v>-1600.8310971388578</v>
      </c>
    </row>
    <row r="8236" spans="2:2" ht="15.6">
      <c r="B8236" s="171">
        <v>-1315.8161627357752</v>
      </c>
    </row>
    <row r="8237" spans="2:2" ht="15.6">
      <c r="B8237" s="171">
        <v>-1340.6380942007495</v>
      </c>
    </row>
    <row r="8238" spans="2:2" ht="15.6">
      <c r="B8238" s="171">
        <v>-1352.9549559820487</v>
      </c>
    </row>
    <row r="8239" spans="2:2" ht="15.6">
      <c r="B8239" s="171">
        <v>-1578.8579811001484</v>
      </c>
    </row>
    <row r="8240" spans="2:2" ht="15.6">
      <c r="B8240" s="171">
        <v>-1508.4853725165513</v>
      </c>
    </row>
    <row r="8241" spans="2:2" ht="15.6">
      <c r="B8241" s="171">
        <v>-1318.0917178136488</v>
      </c>
    </row>
    <row r="8242" spans="2:2" ht="15.6">
      <c r="B8242" s="171">
        <v>-1327.7762395929453</v>
      </c>
    </row>
    <row r="8243" spans="2:2" ht="15.6">
      <c r="B8243" s="171">
        <v>-1572.3848327858448</v>
      </c>
    </row>
    <row r="8244" spans="2:2" ht="15.6">
      <c r="B8244" s="171">
        <v>-1710.4179332606034</v>
      </c>
    </row>
    <row r="8245" spans="2:2" ht="15.6">
      <c r="B8245" s="171">
        <v>-1443.6061406896872</v>
      </c>
    </row>
    <row r="8246" spans="2:2" ht="15.6">
      <c r="B8246" s="171">
        <v>-921.88737299935303</v>
      </c>
    </row>
    <row r="8247" spans="2:2" ht="15.6">
      <c r="B8247" s="171">
        <v>-1455.5435522583498</v>
      </c>
    </row>
    <row r="8248" spans="2:2" ht="15.6">
      <c r="B8248" s="171">
        <v>-1324.8525666349683</v>
      </c>
    </row>
    <row r="8249" spans="2:2" ht="15.6">
      <c r="B8249" s="171">
        <v>-1281.2233666354502</v>
      </c>
    </row>
    <row r="8250" spans="2:2" ht="15.6">
      <c r="B8250" s="171">
        <v>-1729.9353198169547</v>
      </c>
    </row>
    <row r="8251" spans="2:2" ht="15.6">
      <c r="B8251" s="171">
        <v>-1436.5905883561688</v>
      </c>
    </row>
    <row r="8252" spans="2:2" ht="15.6">
      <c r="B8252" s="171">
        <v>-1419.868860738487</v>
      </c>
    </row>
    <row r="8253" spans="2:2" ht="15.6">
      <c r="B8253" s="171">
        <v>-1741.9033440927747</v>
      </c>
    </row>
    <row r="8254" spans="2:2" ht="15.6">
      <c r="B8254" s="171">
        <v>-1405.0188792875449</v>
      </c>
    </row>
    <row r="8255" spans="2:2" ht="15.6">
      <c r="B8255" s="171">
        <v>-1181.9330743208766</v>
      </c>
    </row>
    <row r="8256" spans="2:2" ht="15.6">
      <c r="B8256" s="171">
        <v>-831.22232738928506</v>
      </c>
    </row>
    <row r="8257" spans="2:2" ht="15.6">
      <c r="B8257" s="171">
        <v>-1409.8996289496424</v>
      </c>
    </row>
    <row r="8258" spans="2:2" ht="15.6">
      <c r="B8258" s="171">
        <v>-1845.8640468538511</v>
      </c>
    </row>
    <row r="8259" spans="2:2" ht="15.6">
      <c r="B8259" s="171">
        <v>-1829.3370705277871</v>
      </c>
    </row>
    <row r="8260" spans="2:2" ht="15.6">
      <c r="B8260" s="171">
        <v>-949.09021173788415</v>
      </c>
    </row>
    <row r="8261" spans="2:2" ht="15.6">
      <c r="B8261" s="171">
        <v>-1883.1756664200859</v>
      </c>
    </row>
    <row r="8262" spans="2:2" ht="15.6">
      <c r="B8262" s="171">
        <v>-2092.2922664768807</v>
      </c>
    </row>
    <row r="8263" spans="2:2" ht="15.6">
      <c r="B8263" s="171">
        <v>-1409.5205631561275</v>
      </c>
    </row>
    <row r="8264" spans="2:2" ht="15.6">
      <c r="B8264" s="171">
        <v>-1400.261032989448</v>
      </c>
    </row>
    <row r="8265" spans="2:2" ht="15.6">
      <c r="B8265" s="171">
        <v>-1731.3548308102622</v>
      </c>
    </row>
    <row r="8266" spans="2:2" ht="15.6">
      <c r="B8266" s="171">
        <v>-1892.1241234626773</v>
      </c>
    </row>
    <row r="8267" spans="2:2" ht="15.6">
      <c r="B8267" s="171">
        <v>-946.35917599703726</v>
      </c>
    </row>
    <row r="8268" spans="2:2" ht="15.6">
      <c r="B8268" s="171">
        <v>-1561.4747000372247</v>
      </c>
    </row>
    <row r="8269" spans="2:2" ht="15.6">
      <c r="B8269" s="171">
        <v>-1962.510683762328</v>
      </c>
    </row>
    <row r="8270" spans="2:2" ht="15.6">
      <c r="B8270" s="171">
        <v>-1809.9225720499014</v>
      </c>
    </row>
    <row r="8271" spans="2:2" ht="15.6">
      <c r="B8271" s="171">
        <v>-1480.0105868006128</v>
      </c>
    </row>
    <row r="8272" spans="2:2" ht="15.6">
      <c r="B8272" s="171">
        <v>-1035.7315894688445</v>
      </c>
    </row>
    <row r="8273" spans="2:2" ht="15.6">
      <c r="B8273" s="171">
        <v>-1860.0101353381046</v>
      </c>
    </row>
    <row r="8274" spans="2:2" ht="15.6">
      <c r="B8274" s="171">
        <v>-2440.9753835975334</v>
      </c>
    </row>
    <row r="8275" spans="2:2" ht="15.6">
      <c r="B8275" s="171">
        <v>-1795.722730256648</v>
      </c>
    </row>
    <row r="8276" spans="2:2" ht="15.6">
      <c r="B8276" s="171">
        <v>-1184.6458271136485</v>
      </c>
    </row>
    <row r="8277" spans="2:2" ht="15.6">
      <c r="B8277" s="171">
        <v>-2071.3501581192709</v>
      </c>
    </row>
    <row r="8278" spans="2:2" ht="15.6">
      <c r="B8278" s="171">
        <v>-755.56265201493932</v>
      </c>
    </row>
    <row r="8279" spans="2:2" ht="15.6">
      <c r="B8279" s="171">
        <v>-1512.2455476258008</v>
      </c>
    </row>
    <row r="8280" spans="2:2" ht="15.6">
      <c r="B8280" s="171">
        <v>-1367.9594994468839</v>
      </c>
    </row>
    <row r="8281" spans="2:2" ht="15.6">
      <c r="B8281" s="171">
        <v>-2098.8546760714153</v>
      </c>
    </row>
    <row r="8282" spans="2:2" ht="15.6">
      <c r="B8282" s="171">
        <v>-2029.3220195027595</v>
      </c>
    </row>
    <row r="8283" spans="2:2" ht="15.6">
      <c r="B8283" s="171">
        <v>-1749.6218272053998</v>
      </c>
    </row>
    <row r="8284" spans="2:2" ht="15.6">
      <c r="B8284" s="171">
        <v>-2037.1566035724095</v>
      </c>
    </row>
    <row r="8285" spans="2:2" ht="15.6">
      <c r="B8285" s="171">
        <v>-2322.7835752829433</v>
      </c>
    </row>
    <row r="8286" spans="2:2" ht="15.6">
      <c r="B8286" s="171">
        <v>-2054.5860046087778</v>
      </c>
    </row>
    <row r="8287" spans="2:2" ht="15.6">
      <c r="B8287" s="171">
        <v>-1135.7955225298226</v>
      </c>
    </row>
    <row r="8288" spans="2:2" ht="15.6">
      <c r="B8288" s="171">
        <v>-1116.0595891994417</v>
      </c>
    </row>
    <row r="8289" spans="2:2" ht="15.6">
      <c r="B8289" s="171">
        <v>-1710.6703271466922</v>
      </c>
    </row>
    <row r="8290" spans="2:2" ht="15.6">
      <c r="B8290" s="171">
        <v>-2557.1335887374835</v>
      </c>
    </row>
    <row r="8291" spans="2:2" ht="15.6">
      <c r="B8291" s="171">
        <v>-2545.694540888067</v>
      </c>
    </row>
    <row r="8292" spans="2:2" ht="15.6">
      <c r="B8292" s="171">
        <v>-1543.6159788732371</v>
      </c>
    </row>
    <row r="8293" spans="2:2" ht="15.6">
      <c r="B8293" s="171">
        <v>-1117.7343159745274</v>
      </c>
    </row>
    <row r="8294" spans="2:2" ht="15.6">
      <c r="B8294" s="171">
        <v>-1517.6992693095222</v>
      </c>
    </row>
    <row r="8295" spans="2:2" ht="15.6">
      <c r="B8295" s="171">
        <v>-2165.1802602979096</v>
      </c>
    </row>
    <row r="8296" spans="2:2" ht="15.6">
      <c r="B8296" s="171">
        <v>-1988.9933935409344</v>
      </c>
    </row>
    <row r="8297" spans="2:2" ht="15.6">
      <c r="B8297" s="171">
        <v>-1529.1631462290834</v>
      </c>
    </row>
    <row r="8298" spans="2:2" ht="15.6">
      <c r="B8298" s="171">
        <v>-1651.2051234124403</v>
      </c>
    </row>
    <row r="8299" spans="2:2" ht="15.6">
      <c r="B8299" s="171">
        <v>-1616.5859911601196</v>
      </c>
    </row>
    <row r="8300" spans="2:2" ht="15.6">
      <c r="B8300" s="171">
        <v>-1455.9595124348123</v>
      </c>
    </row>
    <row r="8301" spans="2:2" ht="15.6">
      <c r="B8301" s="171">
        <v>-991.91869999642688</v>
      </c>
    </row>
    <row r="8302" spans="2:2" ht="15.6">
      <c r="B8302" s="171">
        <v>-1199.5159391297791</v>
      </c>
    </row>
    <row r="8303" spans="2:2" ht="15.6">
      <c r="B8303" s="171">
        <v>-2160.4247666924421</v>
      </c>
    </row>
    <row r="8304" spans="2:2" ht="15.6">
      <c r="B8304" s="171">
        <v>-1575.303903543869</v>
      </c>
    </row>
    <row r="8305" spans="2:2" ht="15.6">
      <c r="B8305" s="171">
        <v>-1389.0610834657352</v>
      </c>
    </row>
    <row r="8306" spans="2:2" ht="15.6">
      <c r="B8306" s="171">
        <v>-1642.4921574878329</v>
      </c>
    </row>
    <row r="8307" spans="2:2" ht="15.6">
      <c r="B8307" s="171">
        <v>-1404.0130609912392</v>
      </c>
    </row>
    <row r="8308" spans="2:2" ht="15.6">
      <c r="B8308" s="171">
        <v>-1004.2229426689687</v>
      </c>
    </row>
    <row r="8309" spans="2:2" ht="15.6">
      <c r="B8309" s="171">
        <v>-1548.2578216607956</v>
      </c>
    </row>
    <row r="8310" spans="2:2" ht="15.6">
      <c r="B8310" s="171">
        <v>-1974.6448476924829</v>
      </c>
    </row>
    <row r="8311" spans="2:2" ht="15.6">
      <c r="B8311" s="171">
        <v>-1624.0411028503288</v>
      </c>
    </row>
    <row r="8312" spans="2:2" ht="15.6">
      <c r="B8312" s="171">
        <v>-1840.0438733841943</v>
      </c>
    </row>
    <row r="8313" spans="2:2" ht="15.6">
      <c r="B8313" s="171">
        <v>-1472.6776272601089</v>
      </c>
    </row>
    <row r="8314" spans="2:2" ht="15.6">
      <c r="B8314" s="171">
        <v>-1420.0227721853271</v>
      </c>
    </row>
    <row r="8315" spans="2:2" ht="15.6">
      <c r="B8315" s="171">
        <v>-1685.185464389245</v>
      </c>
    </row>
    <row r="8316" spans="2:2" ht="15.6">
      <c r="B8316" s="171">
        <v>-1869.0199546111608</v>
      </c>
    </row>
    <row r="8317" spans="2:2" ht="15.6">
      <c r="B8317" s="171">
        <v>-1737.9842925934327</v>
      </c>
    </row>
    <row r="8318" spans="2:2" ht="15.6">
      <c r="B8318" s="171">
        <v>-1436.0692388747068</v>
      </c>
    </row>
    <row r="8319" spans="2:2" ht="15.6">
      <c r="B8319" s="171">
        <v>-1884.3275345398868</v>
      </c>
    </row>
    <row r="8320" spans="2:2" ht="15.6">
      <c r="B8320" s="171">
        <v>-1806.1227135957001</v>
      </c>
    </row>
    <row r="8321" spans="2:2" ht="15.6">
      <c r="B8321" s="171">
        <v>-1264.1788198654249</v>
      </c>
    </row>
    <row r="8322" spans="2:2" ht="15.6">
      <c r="B8322" s="171">
        <v>-1557.7441567533003</v>
      </c>
    </row>
    <row r="8323" spans="2:2" ht="15.6">
      <c r="B8323" s="171">
        <v>-2079.017736646324</v>
      </c>
    </row>
    <row r="8324" spans="2:2" ht="15.6">
      <c r="B8324" s="171">
        <v>-1716.0765370854265</v>
      </c>
    </row>
    <row r="8325" spans="2:2" ht="15.6">
      <c r="B8325" s="171">
        <v>-1534.3182715873613</v>
      </c>
    </row>
    <row r="8326" spans="2:2" ht="15.6">
      <c r="B8326" s="171">
        <v>-1612.4918012599992</v>
      </c>
    </row>
    <row r="8327" spans="2:2" ht="15.6">
      <c r="B8327" s="171">
        <v>-975.37537399244661</v>
      </c>
    </row>
    <row r="8328" spans="2:2" ht="15.6">
      <c r="B8328" s="171">
        <v>-1666.6084641510372</v>
      </c>
    </row>
    <row r="8329" spans="2:2" ht="15.6">
      <c r="B8329" s="171">
        <v>-1868.8754883405029</v>
      </c>
    </row>
    <row r="8330" spans="2:2" ht="15.6">
      <c r="B8330" s="171">
        <v>-1904.3254878642365</v>
      </c>
    </row>
    <row r="8331" spans="2:2" ht="15.6">
      <c r="B8331" s="171">
        <v>-1626.3552950209955</v>
      </c>
    </row>
    <row r="8332" spans="2:2" ht="15.6">
      <c r="B8332" s="171">
        <v>-1125.4567962288784</v>
      </c>
    </row>
    <row r="8333" spans="2:2" ht="15.6">
      <c r="B8333" s="171">
        <v>-1847.6811258989251</v>
      </c>
    </row>
    <row r="8334" spans="2:2" ht="15.6">
      <c r="B8334" s="171">
        <v>-1606.915436145161</v>
      </c>
    </row>
    <row r="8335" spans="2:2" ht="15.6">
      <c r="B8335" s="171">
        <v>-2315.1910628001133</v>
      </c>
    </row>
    <row r="8336" spans="2:2" ht="15.6">
      <c r="B8336" s="171">
        <v>-1794.7264956458707</v>
      </c>
    </row>
    <row r="8337" spans="2:2" ht="15.6">
      <c r="B8337" s="171">
        <v>-1381.8471242796443</v>
      </c>
    </row>
    <row r="8338" spans="2:2" ht="15.6">
      <c r="B8338" s="171">
        <v>-2312.3835500244231</v>
      </c>
    </row>
    <row r="8339" spans="2:2" ht="15.6">
      <c r="B8339" s="171">
        <v>-772.95288006123087</v>
      </c>
    </row>
    <row r="8340" spans="2:2" ht="15.6">
      <c r="B8340" s="171">
        <v>-2062.1274407058972</v>
      </c>
    </row>
    <row r="8341" spans="2:2" ht="15.6">
      <c r="B8341" s="171">
        <v>-1120.9359761502228</v>
      </c>
    </row>
    <row r="8342" spans="2:2" ht="15.6">
      <c r="B8342" s="171">
        <v>-1404.7497028746254</v>
      </c>
    </row>
    <row r="8343" spans="2:2" ht="15.6">
      <c r="B8343" s="171">
        <v>-1980.3895779305567</v>
      </c>
    </row>
    <row r="8344" spans="2:2" ht="15.6">
      <c r="B8344" s="171">
        <v>-1152.2090007546369</v>
      </c>
    </row>
    <row r="8345" spans="2:2" ht="15.6">
      <c r="B8345" s="171">
        <v>-1661.1896824529947</v>
      </c>
    </row>
    <row r="8346" spans="2:2" ht="15.6">
      <c r="B8346" s="171">
        <v>-1426.4051273470732</v>
      </c>
    </row>
    <row r="8347" spans="2:2" ht="15.6">
      <c r="B8347" s="171">
        <v>-1494.3800487496987</v>
      </c>
    </row>
    <row r="8348" spans="2:2" ht="15.6">
      <c r="B8348" s="171">
        <v>-1959.6523551719752</v>
      </c>
    </row>
    <row r="8349" spans="2:2" ht="15.6">
      <c r="B8349" s="171">
        <v>-2151.0771198711373</v>
      </c>
    </row>
    <row r="8350" spans="2:2" ht="15.6">
      <c r="B8350" s="171">
        <v>-1835.819008436747</v>
      </c>
    </row>
    <row r="8351" spans="2:2" ht="15.6">
      <c r="B8351" s="171">
        <v>-1976.3861608926331</v>
      </c>
    </row>
    <row r="8352" spans="2:2" ht="15.6">
      <c r="B8352" s="171">
        <v>-1342.9950558808171</v>
      </c>
    </row>
    <row r="8353" spans="2:2" ht="15.6">
      <c r="B8353" s="171">
        <v>-2181.3915529541009</v>
      </c>
    </row>
    <row r="8354" spans="2:2" ht="15.6">
      <c r="B8354" s="171">
        <v>-2052.6651910406836</v>
      </c>
    </row>
    <row r="8355" spans="2:2" ht="15.6">
      <c r="B8355" s="171">
        <v>-1713.0839568003294</v>
      </c>
    </row>
    <row r="8356" spans="2:2" ht="15.6">
      <c r="B8356" s="171">
        <v>-1777.8759653412699</v>
      </c>
    </row>
    <row r="8357" spans="2:2" ht="15.6">
      <c r="B8357" s="171">
        <v>-1840.2847581063547</v>
      </c>
    </row>
    <row r="8358" spans="2:2" ht="15.6">
      <c r="B8358" s="171">
        <v>-1357.9730053139699</v>
      </c>
    </row>
    <row r="8359" spans="2:2" ht="15.6">
      <c r="B8359" s="171">
        <v>-1130.7780994341463</v>
      </c>
    </row>
    <row r="8360" spans="2:2" ht="15.6">
      <c r="B8360" s="171">
        <v>-1447.8574727687901</v>
      </c>
    </row>
    <row r="8361" spans="2:2" ht="15.6">
      <c r="B8361" s="171">
        <v>-1809.1306321602578</v>
      </c>
    </row>
    <row r="8362" spans="2:2" ht="15.6">
      <c r="B8362" s="171">
        <v>-1679.5297587871389</v>
      </c>
    </row>
    <row r="8363" spans="2:2" ht="15.6">
      <c r="B8363" s="171">
        <v>-1179.1079234424535</v>
      </c>
    </row>
    <row r="8364" spans="2:2" ht="15.6">
      <c r="B8364" s="171">
        <v>-1712.5671653393824</v>
      </c>
    </row>
    <row r="8365" spans="2:2" ht="15.6">
      <c r="B8365" s="171">
        <v>-1613.5825298624075</v>
      </c>
    </row>
    <row r="8366" spans="2:2" ht="15.6">
      <c r="B8366" s="171">
        <v>-1926.758557345338</v>
      </c>
    </row>
    <row r="8367" spans="2:2" ht="15.6">
      <c r="B8367" s="171">
        <v>-1738.0936899676972</v>
      </c>
    </row>
    <row r="8368" spans="2:2" ht="15.6">
      <c r="B8368" s="171">
        <v>-2431.5613413811598</v>
      </c>
    </row>
    <row r="8369" spans="2:2" ht="15.6">
      <c r="B8369" s="171">
        <v>-1584.9618009432224</v>
      </c>
    </row>
    <row r="8370" spans="2:2" ht="15.6">
      <c r="B8370" s="171">
        <v>-1518.1309076976947</v>
      </c>
    </row>
    <row r="8371" spans="2:2" ht="15.6">
      <c r="B8371" s="171">
        <v>-1686.3608762551851</v>
      </c>
    </row>
    <row r="8372" spans="2:2" ht="15.6">
      <c r="B8372" s="171">
        <v>-1337.5294140051369</v>
      </c>
    </row>
    <row r="8373" spans="2:2" ht="15.6">
      <c r="B8373" s="171">
        <v>-1152.6206487677655</v>
      </c>
    </row>
    <row r="8374" spans="2:2" ht="15.6">
      <c r="B8374" s="171">
        <v>-1630.6138387646988</v>
      </c>
    </row>
    <row r="8375" spans="2:2" ht="15.6">
      <c r="B8375" s="171">
        <v>-1716.14984357859</v>
      </c>
    </row>
    <row r="8376" spans="2:2" ht="15.6">
      <c r="B8376" s="171">
        <v>-1547.7694278400559</v>
      </c>
    </row>
    <row r="8377" spans="2:2" ht="15.6">
      <c r="B8377" s="171">
        <v>-1970.7096344291681</v>
      </c>
    </row>
    <row r="8378" spans="2:2" ht="15.6">
      <c r="B8378" s="171">
        <v>-1797.1064502750096</v>
      </c>
    </row>
    <row r="8379" spans="2:2" ht="15.6">
      <c r="B8379" s="171">
        <v>-1789.2278869143061</v>
      </c>
    </row>
    <row r="8380" spans="2:2" ht="15.6">
      <c r="B8380" s="171">
        <v>-1616.572735657973</v>
      </c>
    </row>
    <row r="8381" spans="2:2" ht="15.6">
      <c r="B8381" s="171">
        <v>-2104.3786432486359</v>
      </c>
    </row>
    <row r="8382" spans="2:2" ht="15.6">
      <c r="B8382" s="171">
        <v>-1458.1682353430549</v>
      </c>
    </row>
    <row r="8383" spans="2:2" ht="15.6">
      <c r="B8383" s="171">
        <v>-1628.6945944390295</v>
      </c>
    </row>
    <row r="8384" spans="2:2" ht="15.6">
      <c r="B8384" s="171">
        <v>-1075.3612796367829</v>
      </c>
    </row>
    <row r="8385" spans="2:2" ht="15.6">
      <c r="B8385" s="171">
        <v>-1802.8361150327262</v>
      </c>
    </row>
    <row r="8386" spans="2:2" ht="15.6">
      <c r="B8386" s="171">
        <v>-1436.9887492679247</v>
      </c>
    </row>
    <row r="8387" spans="2:2" ht="15.6">
      <c r="B8387" s="171">
        <v>-1651.9045458767969</v>
      </c>
    </row>
    <row r="8388" spans="2:2" ht="15.6">
      <c r="B8388" s="171">
        <v>-1248.4140903369253</v>
      </c>
    </row>
    <row r="8389" spans="2:2" ht="15.6">
      <c r="B8389" s="171">
        <v>-1212.7868067638965</v>
      </c>
    </row>
    <row r="8390" spans="2:2" ht="15.6">
      <c r="B8390" s="171">
        <v>-1712.0205023172548</v>
      </c>
    </row>
    <row r="8391" spans="2:2" ht="15.6">
      <c r="B8391" s="171">
        <v>-1133.8141301507628</v>
      </c>
    </row>
    <row r="8392" spans="2:2" ht="15.6">
      <c r="B8392" s="171">
        <v>-1665.6720557578328</v>
      </c>
    </row>
    <row r="8393" spans="2:2" ht="15.6">
      <c r="B8393" s="171">
        <v>-2391.3490515811459</v>
      </c>
    </row>
    <row r="8394" spans="2:2" ht="15.6">
      <c r="B8394" s="171">
        <v>-1660.9527696475345</v>
      </c>
    </row>
    <row r="8395" spans="2:2" ht="15.6">
      <c r="B8395" s="171">
        <v>-1339.7935277216727</v>
      </c>
    </row>
    <row r="8396" spans="2:2" ht="15.6">
      <c r="B8396" s="171">
        <v>-1462.4524108658943</v>
      </c>
    </row>
    <row r="8397" spans="2:2" ht="15.6">
      <c r="B8397" s="171">
        <v>-844.92972795856042</v>
      </c>
    </row>
    <row r="8398" spans="2:2" ht="15.6">
      <c r="B8398" s="171">
        <v>-1324.8702800100896</v>
      </c>
    </row>
    <row r="8399" spans="2:2" ht="15.6">
      <c r="B8399" s="171">
        <v>-1753.7004853961002</v>
      </c>
    </row>
    <row r="8400" spans="2:2" ht="15.6">
      <c r="B8400" s="171">
        <v>-1362.7754470540365</v>
      </c>
    </row>
    <row r="8401" spans="2:2" ht="15.6">
      <c r="B8401" s="171">
        <v>-1131.71175956614</v>
      </c>
    </row>
    <row r="8402" spans="2:2" ht="15.6">
      <c r="B8402" s="171">
        <v>-1963.7743177021907</v>
      </c>
    </row>
    <row r="8403" spans="2:2" ht="15.6">
      <c r="B8403" s="171">
        <v>-1355.9941256410461</v>
      </c>
    </row>
    <row r="8404" spans="2:2" ht="15.6">
      <c r="B8404" s="171">
        <v>-1506.5721768238623</v>
      </c>
    </row>
    <row r="8405" spans="2:2" ht="15.6">
      <c r="B8405" s="171">
        <v>-1495.5428905382885</v>
      </c>
    </row>
    <row r="8406" spans="2:2" ht="15.6">
      <c r="B8406" s="171">
        <v>-1892.6766603443316</v>
      </c>
    </row>
    <row r="8407" spans="2:2" ht="15.6">
      <c r="B8407" s="171">
        <v>-1344.5976968926709</v>
      </c>
    </row>
    <row r="8408" spans="2:2" ht="15.6">
      <c r="B8408" s="171">
        <v>-1589.7362771191215</v>
      </c>
    </row>
    <row r="8409" spans="2:2" ht="15.6">
      <c r="B8409" s="171">
        <v>-2370.4695633432857</v>
      </c>
    </row>
    <row r="8410" spans="2:2" ht="15.6">
      <c r="B8410" s="171">
        <v>-1328.2446212760062</v>
      </c>
    </row>
    <row r="8411" spans="2:2" ht="15.6">
      <c r="B8411" s="171">
        <v>-1768.5149053116863</v>
      </c>
    </row>
    <row r="8412" spans="2:2" ht="15.6">
      <c r="B8412" s="171">
        <v>-987.71116787809535</v>
      </c>
    </row>
    <row r="8413" spans="2:2" ht="15.6">
      <c r="B8413" s="171">
        <v>-1542.9565463033002</v>
      </c>
    </row>
    <row r="8414" spans="2:2" ht="15.6">
      <c r="B8414" s="171">
        <v>-1555.1579358866743</v>
      </c>
    </row>
    <row r="8415" spans="2:2" ht="15.6">
      <c r="B8415" s="171">
        <v>-1810.6000259794682</v>
      </c>
    </row>
    <row r="8416" spans="2:2" ht="15.6">
      <c r="B8416" s="171">
        <v>-1109.7644544925943</v>
      </c>
    </row>
    <row r="8417" spans="2:2" ht="15.6">
      <c r="B8417" s="171">
        <v>-1225.3863585633862</v>
      </c>
    </row>
    <row r="8418" spans="2:2" ht="15.6">
      <c r="B8418" s="171">
        <v>-1819.1000568165373</v>
      </c>
    </row>
    <row r="8419" spans="2:2" ht="15.6">
      <c r="B8419" s="171">
        <v>-2224.1008176055457</v>
      </c>
    </row>
    <row r="8420" spans="2:2" ht="15.6">
      <c r="B8420" s="171">
        <v>-1850.3218912052034</v>
      </c>
    </row>
    <row r="8421" spans="2:2" ht="15.6">
      <c r="B8421" s="171">
        <v>-1130.8227419390109</v>
      </c>
    </row>
    <row r="8422" spans="2:2" ht="15.6">
      <c r="B8422" s="171">
        <v>-1198.9198030452526</v>
      </c>
    </row>
    <row r="8423" spans="2:2" ht="15.6">
      <c r="B8423" s="171">
        <v>-1650.516755329865</v>
      </c>
    </row>
    <row r="8424" spans="2:2" ht="15.6">
      <c r="B8424" s="171">
        <v>-2282.3044450377702</v>
      </c>
    </row>
    <row r="8425" spans="2:2" ht="15.6">
      <c r="B8425" s="171">
        <v>-1794.5104717251861</v>
      </c>
    </row>
    <row r="8426" spans="2:2" ht="15.6">
      <c r="B8426" s="171">
        <v>-1178.6852324997733</v>
      </c>
    </row>
    <row r="8427" spans="2:2" ht="15.6">
      <c r="B8427" s="171">
        <v>-1090.3304969577525</v>
      </c>
    </row>
    <row r="8428" spans="2:2" ht="15.6">
      <c r="B8428" s="171">
        <v>-1646.5619156169105</v>
      </c>
    </row>
    <row r="8429" spans="2:2" ht="15.6">
      <c r="B8429" s="171">
        <v>-1372.5817026476202</v>
      </c>
    </row>
    <row r="8430" spans="2:2" ht="15.6">
      <c r="B8430" s="171">
        <v>-1522.6658580794988</v>
      </c>
    </row>
    <row r="8431" spans="2:2" ht="15.6">
      <c r="B8431" s="171">
        <v>-1190.9248404959465</v>
      </c>
    </row>
    <row r="8432" spans="2:2" ht="15.6">
      <c r="B8432" s="171">
        <v>-1568.802496689998</v>
      </c>
    </row>
    <row r="8433" spans="2:2" ht="15.6">
      <c r="B8433" s="171">
        <v>-1587.0148080070815</v>
      </c>
    </row>
    <row r="8434" spans="2:2" ht="15.6">
      <c r="B8434" s="171">
        <v>-1510.3475632701613</v>
      </c>
    </row>
    <row r="8435" spans="2:2" ht="15.6">
      <c r="B8435" s="171">
        <v>-1735.8008194647355</v>
      </c>
    </row>
    <row r="8436" spans="2:2" ht="15.6">
      <c r="B8436" s="171">
        <v>-1354.2239546942092</v>
      </c>
    </row>
    <row r="8437" spans="2:2" ht="15.6">
      <c r="B8437" s="171">
        <v>-2303.6519174995801</v>
      </c>
    </row>
    <row r="8438" spans="2:2" ht="15.6">
      <c r="B8438" s="171">
        <v>-1730.2152335976102</v>
      </c>
    </row>
    <row r="8439" spans="2:2" ht="15.6">
      <c r="B8439" s="171">
        <v>-1269.3902821709337</v>
      </c>
    </row>
    <row r="8440" spans="2:2" ht="15.6">
      <c r="B8440" s="171">
        <v>-1105.7583117617035</v>
      </c>
    </row>
    <row r="8441" spans="2:2" ht="15.6">
      <c r="B8441" s="171">
        <v>-1431.0611480942562</v>
      </c>
    </row>
    <row r="8442" spans="2:2" ht="15.6">
      <c r="B8442" s="171">
        <v>-1263.387167210532</v>
      </c>
    </row>
    <row r="8443" spans="2:2" ht="15.6">
      <c r="B8443" s="171">
        <v>-1585.4341085522433</v>
      </c>
    </row>
    <row r="8444" spans="2:2" ht="15.6">
      <c r="B8444" s="171">
        <v>-1434.5968950537365</v>
      </c>
    </row>
    <row r="8445" spans="2:2" ht="15.6">
      <c r="B8445" s="171">
        <v>-1535.0109498745833</v>
      </c>
    </row>
    <row r="8446" spans="2:2" ht="15.6">
      <c r="B8446" s="171">
        <v>-1995.3966393562191</v>
      </c>
    </row>
    <row r="8447" spans="2:2" ht="15.6">
      <c r="B8447" s="171">
        <v>-2310.9694359086911</v>
      </c>
    </row>
    <row r="8448" spans="2:2" ht="15.6">
      <c r="B8448" s="171">
        <v>-1263.7429240507565</v>
      </c>
    </row>
    <row r="8449" spans="2:2" ht="15.6">
      <c r="B8449" s="171">
        <v>-1197.9021511917629</v>
      </c>
    </row>
    <row r="8450" spans="2:2" ht="15.6">
      <c r="B8450" s="171">
        <v>-1255.7042551249974</v>
      </c>
    </row>
    <row r="8451" spans="2:2" ht="15.6">
      <c r="B8451" s="171">
        <v>-2479.0844396922498</v>
      </c>
    </row>
    <row r="8452" spans="2:2" ht="15.6">
      <c r="B8452" s="171">
        <v>-1589.9528079930751</v>
      </c>
    </row>
    <row r="8453" spans="2:2" ht="15.6">
      <c r="B8453" s="171">
        <v>-1453.5454045705285</v>
      </c>
    </row>
    <row r="8454" spans="2:2" ht="15.6">
      <c r="B8454" s="171">
        <v>-1912.4803692820537</v>
      </c>
    </row>
    <row r="8455" spans="2:2" ht="15.6">
      <c r="B8455" s="171">
        <v>-1429.4191526546754</v>
      </c>
    </row>
    <row r="8456" spans="2:2" ht="15.6">
      <c r="B8456" s="171">
        <v>-1735.5029315121087</v>
      </c>
    </row>
    <row r="8457" spans="2:2" ht="15.6">
      <c r="B8457" s="171">
        <v>-1717.8238023446006</v>
      </c>
    </row>
    <row r="8458" spans="2:2" ht="15.6">
      <c r="B8458" s="171">
        <v>-1757.692086437338</v>
      </c>
    </row>
    <row r="8459" spans="2:2" ht="15.6">
      <c r="B8459" s="171">
        <v>-1307.5683851456797</v>
      </c>
    </row>
    <row r="8460" spans="2:2" ht="15.6">
      <c r="B8460" s="171">
        <v>-1467.4514797799648</v>
      </c>
    </row>
    <row r="8461" spans="2:2" ht="15.6">
      <c r="B8461" s="171">
        <v>-1556.825676837082</v>
      </c>
    </row>
    <row r="8462" spans="2:2" ht="15.6">
      <c r="B8462" s="171">
        <v>-2363.5507098008156</v>
      </c>
    </row>
    <row r="8463" spans="2:2" ht="15.6">
      <c r="B8463" s="171">
        <v>-1873.9573040645362</v>
      </c>
    </row>
    <row r="8464" spans="2:2" ht="15.6">
      <c r="B8464" s="171">
        <v>-1950.4615715572395</v>
      </c>
    </row>
    <row r="8465" spans="2:2" ht="15.6">
      <c r="B8465" s="171">
        <v>-1110.1167696227139</v>
      </c>
    </row>
    <row r="8466" spans="2:2" ht="15.6">
      <c r="B8466" s="171">
        <v>-1764.2962215601856</v>
      </c>
    </row>
    <row r="8467" spans="2:2" ht="15.6">
      <c r="B8467" s="171">
        <v>-1605.220175681259</v>
      </c>
    </row>
    <row r="8468" spans="2:2" ht="15.6">
      <c r="B8468" s="171">
        <v>-1032.4819259755495</v>
      </c>
    </row>
    <row r="8469" spans="2:2" ht="15.6">
      <c r="B8469" s="171">
        <v>-1641.0259799133719</v>
      </c>
    </row>
    <row r="8470" spans="2:2" ht="15.6">
      <c r="B8470" s="171">
        <v>-871.92214084244063</v>
      </c>
    </row>
    <row r="8471" spans="2:2" ht="15.6">
      <c r="B8471" s="171">
        <v>-1859.5314058637284</v>
      </c>
    </row>
    <row r="8472" spans="2:2" ht="15.6">
      <c r="B8472" s="171">
        <v>-2271.9267155262155</v>
      </c>
    </row>
    <row r="8473" spans="2:2" ht="15.6">
      <c r="B8473" s="171">
        <v>-1239.4108207434076</v>
      </c>
    </row>
    <row r="8474" spans="2:2" ht="15.6">
      <c r="B8474" s="171">
        <v>-2049.8702560432566</v>
      </c>
    </row>
    <row r="8475" spans="2:2" ht="15.6">
      <c r="B8475" s="171">
        <v>-1811.8533699952891</v>
      </c>
    </row>
    <row r="8476" spans="2:2" ht="15.6">
      <c r="B8476" s="171">
        <v>-1604.8708837205124</v>
      </c>
    </row>
    <row r="8477" spans="2:2" ht="15.6">
      <c r="B8477" s="171">
        <v>-1246.2658825072192</v>
      </c>
    </row>
    <row r="8478" spans="2:2" ht="15.6">
      <c r="B8478" s="171">
        <v>-692.57669848285491</v>
      </c>
    </row>
    <row r="8479" spans="2:2" ht="15.6">
      <c r="B8479" s="171">
        <v>-1746.4507527277115</v>
      </c>
    </row>
    <row r="8480" spans="2:2" ht="15.6">
      <c r="B8480" s="171">
        <v>-1478.8134704542076</v>
      </c>
    </row>
    <row r="8481" spans="2:2" ht="15.6">
      <c r="B8481" s="171">
        <v>-1141.2599918535338</v>
      </c>
    </row>
    <row r="8482" spans="2:2" ht="15.6">
      <c r="B8482" s="171">
        <v>-2368.8915473826924</v>
      </c>
    </row>
    <row r="8483" spans="2:2" ht="15.6">
      <c r="B8483" s="171">
        <v>-2190.1540461958944</v>
      </c>
    </row>
    <row r="8484" spans="2:2" ht="15.6">
      <c r="B8484" s="171">
        <v>-1970.1966188581832</v>
      </c>
    </row>
    <row r="8485" spans="2:2" ht="15.6">
      <c r="B8485" s="171">
        <v>-2742.4836541045706</v>
      </c>
    </row>
    <row r="8486" spans="2:2" ht="15.6">
      <c r="B8486" s="171">
        <v>-1179.6191663150273</v>
      </c>
    </row>
    <row r="8487" spans="2:2" ht="15.6">
      <c r="B8487" s="171">
        <v>-551.21601495411619</v>
      </c>
    </row>
    <row r="8488" spans="2:2" ht="15.6">
      <c r="B8488" s="171">
        <v>-1530.8958454217195</v>
      </c>
    </row>
    <row r="8489" spans="2:2" ht="15.6">
      <c r="B8489" s="171">
        <v>-1527.0961141648424</v>
      </c>
    </row>
    <row r="8490" spans="2:2" ht="15.6">
      <c r="B8490" s="171">
        <v>-2311.3088036010795</v>
      </c>
    </row>
    <row r="8491" spans="2:2" ht="15.6">
      <c r="B8491" s="171">
        <v>-2048.9376619851801</v>
      </c>
    </row>
    <row r="8492" spans="2:2" ht="15.6">
      <c r="B8492" s="171">
        <v>-1495.5152150739571</v>
      </c>
    </row>
    <row r="8493" spans="2:2" ht="15.6">
      <c r="B8493" s="171">
        <v>-1594.3886175510302</v>
      </c>
    </row>
    <row r="8494" spans="2:2" ht="15.6">
      <c r="B8494" s="171">
        <v>-1661.1216245702001</v>
      </c>
    </row>
    <row r="8495" spans="2:2" ht="15.6">
      <c r="B8495" s="171">
        <v>-1293.7569051524847</v>
      </c>
    </row>
    <row r="8496" spans="2:2" ht="15.6">
      <c r="B8496" s="171">
        <v>-1283.839125981294</v>
      </c>
    </row>
    <row r="8497" spans="2:2" ht="15.6">
      <c r="B8497" s="171">
        <v>-1190.2937291918593</v>
      </c>
    </row>
    <row r="8498" spans="2:2" ht="15.6">
      <c r="B8498" s="171">
        <v>-1310.5767403764205</v>
      </c>
    </row>
    <row r="8499" spans="2:2" ht="15.6">
      <c r="B8499" s="171">
        <v>-1897.8161830139816</v>
      </c>
    </row>
    <row r="8500" spans="2:2" ht="15.6">
      <c r="B8500" s="171">
        <v>-640.10592415384838</v>
      </c>
    </row>
    <row r="8501" spans="2:2" ht="15.6">
      <c r="B8501" s="171">
        <v>-1226.5164973215565</v>
      </c>
    </row>
    <row r="8502" spans="2:2" ht="15.6">
      <c r="B8502" s="171">
        <v>-1124.8062500874207</v>
      </c>
    </row>
    <row r="8503" spans="2:2" ht="15.6">
      <c r="B8503" s="171">
        <v>-1691.7988082453198</v>
      </c>
    </row>
    <row r="8504" spans="2:2" ht="15.6">
      <c r="B8504" s="171">
        <v>-1560.4438452308204</v>
      </c>
    </row>
    <row r="8505" spans="2:2" ht="15.6">
      <c r="B8505" s="171">
        <v>-1417.1542415727645</v>
      </c>
    </row>
    <row r="8506" spans="2:2" ht="15.6">
      <c r="B8506" s="171">
        <v>-1205.4392510441014</v>
      </c>
    </row>
    <row r="8507" spans="2:2" ht="15.6">
      <c r="B8507" s="171">
        <v>-1723.427686121644</v>
      </c>
    </row>
    <row r="8508" spans="2:2" ht="15.6">
      <c r="B8508" s="171">
        <v>-1528.1989999362322</v>
      </c>
    </row>
    <row r="8509" spans="2:2" ht="15.6">
      <c r="B8509" s="171">
        <v>-1310.1249453297996</v>
      </c>
    </row>
    <row r="8510" spans="2:2" ht="15.6">
      <c r="B8510" s="171">
        <v>-2416.3762164799355</v>
      </c>
    </row>
    <row r="8511" spans="2:2" ht="15.6">
      <c r="B8511" s="171">
        <v>-1406.1058767246893</v>
      </c>
    </row>
    <row r="8512" spans="2:2" ht="15.6">
      <c r="B8512" s="171">
        <v>-1635.5069363143953</v>
      </c>
    </row>
    <row r="8513" spans="2:2" ht="15.6">
      <c r="B8513" s="171">
        <v>-1957.2002170672954</v>
      </c>
    </row>
    <row r="8514" spans="2:2" ht="15.6">
      <c r="B8514" s="171">
        <v>-1518.6232312785203</v>
      </c>
    </row>
    <row r="8515" spans="2:2" ht="15.6">
      <c r="B8515" s="171">
        <v>-1198.9458548430152</v>
      </c>
    </row>
    <row r="8516" spans="2:2" ht="15.6">
      <c r="B8516" s="171">
        <v>-2137.9834322179486</v>
      </c>
    </row>
    <row r="8517" spans="2:2" ht="15.6">
      <c r="B8517" s="171">
        <v>-2234.6640889973596</v>
      </c>
    </row>
    <row r="8518" spans="2:2" ht="15.6">
      <c r="B8518" s="171">
        <v>-825.88128655991704</v>
      </c>
    </row>
    <row r="8519" spans="2:2" ht="15.6">
      <c r="B8519" s="171">
        <v>-1063.8597457110825</v>
      </c>
    </row>
    <row r="8520" spans="2:2" ht="15.6">
      <c r="B8520" s="171">
        <v>-1825.9335442682407</v>
      </c>
    </row>
    <row r="8521" spans="2:2" ht="15.6">
      <c r="B8521" s="171">
        <v>-1078.9022267811499</v>
      </c>
    </row>
    <row r="8522" spans="2:2" ht="15.6">
      <c r="B8522" s="171">
        <v>-1421.9908004028227</v>
      </c>
    </row>
    <row r="8523" spans="2:2" ht="15.6">
      <c r="B8523" s="171">
        <v>-1614.8940402044418</v>
      </c>
    </row>
    <row r="8524" spans="2:2" ht="15.6">
      <c r="B8524" s="171">
        <v>-1776.4697774358965</v>
      </c>
    </row>
    <row r="8525" spans="2:2" ht="15.6">
      <c r="B8525" s="171">
        <v>-1341.9600433566941</v>
      </c>
    </row>
    <row r="8526" spans="2:2" ht="15.6">
      <c r="B8526" s="171">
        <v>-1792.1917295158246</v>
      </c>
    </row>
    <row r="8527" spans="2:2" ht="15.6">
      <c r="B8527" s="171">
        <v>-937.45711811244018</v>
      </c>
    </row>
    <row r="8528" spans="2:2" ht="15.6">
      <c r="B8528" s="171">
        <v>-1022.2434757330436</v>
      </c>
    </row>
    <row r="8529" spans="2:2" ht="15.6">
      <c r="B8529" s="171">
        <v>-1306.292395572822</v>
      </c>
    </row>
    <row r="8530" spans="2:2" ht="15.6">
      <c r="B8530" s="171">
        <v>-1466.7677404126932</v>
      </c>
    </row>
    <row r="8531" spans="2:2" ht="15.6">
      <c r="B8531" s="171">
        <v>-1064.665854630618</v>
      </c>
    </row>
    <row r="8532" spans="2:2" ht="15.6">
      <c r="B8532" s="171">
        <v>-1719.8093437086191</v>
      </c>
    </row>
    <row r="8533" spans="2:2" ht="15.6">
      <c r="B8533" s="171">
        <v>-1843.8480000290706</v>
      </c>
    </row>
    <row r="8534" spans="2:2" ht="15.6">
      <c r="B8534" s="171">
        <v>-1819.42010014272</v>
      </c>
    </row>
    <row r="8535" spans="2:2" ht="15.6">
      <c r="B8535" s="171">
        <v>-1138.682948292342</v>
      </c>
    </row>
    <row r="8536" spans="2:2" ht="15.6">
      <c r="B8536" s="171">
        <v>-1802.9690528278024</v>
      </c>
    </row>
    <row r="8537" spans="2:2" ht="15.6">
      <c r="B8537" s="171">
        <v>-1530.5148082330045</v>
      </c>
    </row>
    <row r="8538" spans="2:2" ht="15.6">
      <c r="B8538" s="171">
        <v>-2242.26549437229</v>
      </c>
    </row>
    <row r="8539" spans="2:2" ht="15.6">
      <c r="B8539" s="171">
        <v>-1644.2314433323827</v>
      </c>
    </row>
    <row r="8540" spans="2:2" ht="15.6">
      <c r="B8540" s="171">
        <v>-1786.1435201685215</v>
      </c>
    </row>
    <row r="8541" spans="2:2" ht="15.6">
      <c r="B8541" s="171">
        <v>-1264.8570151319423</v>
      </c>
    </row>
    <row r="8542" spans="2:2" ht="15.6">
      <c r="B8542" s="171">
        <v>-2131.8008747319996</v>
      </c>
    </row>
    <row r="8543" spans="2:2" ht="15.6">
      <c r="B8543" s="171">
        <v>-1229.9219952253977</v>
      </c>
    </row>
    <row r="8544" spans="2:2" ht="15.6">
      <c r="B8544" s="171">
        <v>-1664.2676757142476</v>
      </c>
    </row>
    <row r="8545" spans="2:2" ht="15.6">
      <c r="B8545" s="171">
        <v>-1407.0868842705372</v>
      </c>
    </row>
    <row r="8546" spans="2:2" ht="15.6">
      <c r="B8546" s="171">
        <v>-1119.5244841528136</v>
      </c>
    </row>
    <row r="8547" spans="2:2" ht="15.6">
      <c r="B8547" s="171">
        <v>-2273.2933142188103</v>
      </c>
    </row>
    <row r="8548" spans="2:2" ht="15.6">
      <c r="B8548" s="171">
        <v>-1847.4696333816892</v>
      </c>
    </row>
    <row r="8549" spans="2:2" ht="15.6">
      <c r="B8549" s="171">
        <v>-1636.4788193293991</v>
      </c>
    </row>
    <row r="8550" spans="2:2" ht="15.6">
      <c r="B8550" s="171">
        <v>-810.02187986084368</v>
      </c>
    </row>
    <row r="8551" spans="2:2" ht="15.6">
      <c r="B8551" s="171">
        <v>-2249.2206582676022</v>
      </c>
    </row>
    <row r="8552" spans="2:2" ht="15.6">
      <c r="B8552" s="171">
        <v>-1757.8326617185189</v>
      </c>
    </row>
    <row r="8553" spans="2:2" ht="15.6">
      <c r="B8553" s="171">
        <v>-1475.7745517762469</v>
      </c>
    </row>
    <row r="8554" spans="2:2" ht="15.6">
      <c r="B8554" s="171">
        <v>-1431.8424882985298</v>
      </c>
    </row>
    <row r="8555" spans="2:2" ht="15.6">
      <c r="B8555" s="171">
        <v>-1456.916463040697</v>
      </c>
    </row>
    <row r="8556" spans="2:2" ht="15.6">
      <c r="B8556" s="171">
        <v>-1614.9741057631036</v>
      </c>
    </row>
    <row r="8557" spans="2:2" ht="15.6">
      <c r="B8557" s="171">
        <v>-1429.4443054283265</v>
      </c>
    </row>
    <row r="8558" spans="2:2" ht="15.6">
      <c r="B8558" s="171">
        <v>-1625.0758119471382</v>
      </c>
    </row>
    <row r="8559" spans="2:2" ht="15.6">
      <c r="B8559" s="171">
        <v>-1263.588795708203</v>
      </c>
    </row>
    <row r="8560" spans="2:2" ht="15.6">
      <c r="B8560" s="171">
        <v>-1874.589017307663</v>
      </c>
    </row>
    <row r="8561" spans="2:2" ht="15.6">
      <c r="B8561" s="171">
        <v>-1306.5388403789134</v>
      </c>
    </row>
    <row r="8562" spans="2:2" ht="15.6">
      <c r="B8562" s="171">
        <v>-1922.6832420338008</v>
      </c>
    </row>
    <row r="8563" spans="2:2" ht="15.6">
      <c r="B8563" s="171">
        <v>-2066.7198268139109</v>
      </c>
    </row>
    <row r="8564" spans="2:2" ht="15.6">
      <c r="B8564" s="171">
        <v>-2731.2338485630744</v>
      </c>
    </row>
    <row r="8565" spans="2:2" ht="15.6">
      <c r="B8565" s="171">
        <v>-2068.4547267674543</v>
      </c>
    </row>
    <row r="8566" spans="2:2" ht="15.6">
      <c r="B8566" s="171">
        <v>-1785.0130149509414</v>
      </c>
    </row>
    <row r="8567" spans="2:2" ht="15.6">
      <c r="B8567" s="171">
        <v>-1969.0340202595944</v>
      </c>
    </row>
    <row r="8568" spans="2:2" ht="15.6">
      <c r="B8568" s="171">
        <v>-1815.9442232186759</v>
      </c>
    </row>
    <row r="8569" spans="2:2" ht="15.6">
      <c r="B8569" s="171">
        <v>-1094.6538905782591</v>
      </c>
    </row>
    <row r="8570" spans="2:2" ht="15.6">
      <c r="B8570" s="171">
        <v>-1182.0542905967668</v>
      </c>
    </row>
    <row r="8571" spans="2:2" ht="15.6">
      <c r="B8571" s="171">
        <v>-1962.5700476963548</v>
      </c>
    </row>
    <row r="8572" spans="2:2" ht="15.6">
      <c r="B8572" s="171">
        <v>-1613.4715021283919</v>
      </c>
    </row>
    <row r="8573" spans="2:2" ht="15.6">
      <c r="B8573" s="171">
        <v>-1615.536188700913</v>
      </c>
    </row>
    <row r="8574" spans="2:2" ht="15.6">
      <c r="B8574" s="171">
        <v>-1183.1696538047504</v>
      </c>
    </row>
    <row r="8575" spans="2:2" ht="15.6">
      <c r="B8575" s="171">
        <v>-1352.3984259609397</v>
      </c>
    </row>
    <row r="8576" spans="2:2" ht="15.6">
      <c r="B8576" s="171">
        <v>-1890.5627137959041</v>
      </c>
    </row>
    <row r="8577" spans="2:2" ht="15.6">
      <c r="B8577" s="171">
        <v>-1422.3594960113085</v>
      </c>
    </row>
    <row r="8578" spans="2:2" ht="15.6">
      <c r="B8578" s="171">
        <v>-1627.306409157635</v>
      </c>
    </row>
    <row r="8579" spans="2:2" ht="15.6">
      <c r="B8579" s="171">
        <v>-1157.2690664702322</v>
      </c>
    </row>
    <row r="8580" spans="2:2" ht="15.6">
      <c r="B8580" s="171">
        <v>-1520.4114905547908</v>
      </c>
    </row>
    <row r="8581" spans="2:2" ht="15.6">
      <c r="B8581" s="171">
        <v>-1798.3052018226751</v>
      </c>
    </row>
    <row r="8582" spans="2:2" ht="15.6">
      <c r="B8582" s="171">
        <v>-1655.9608880383412</v>
      </c>
    </row>
    <row r="8583" spans="2:2" ht="15.6">
      <c r="B8583" s="171">
        <v>-1691.4146889651133</v>
      </c>
    </row>
    <row r="8584" spans="2:2" ht="15.6">
      <c r="B8584" s="171">
        <v>-1138.7194175690288</v>
      </c>
    </row>
    <row r="8585" spans="2:2" ht="15.6">
      <c r="B8585" s="171">
        <v>-1920.1889338370243</v>
      </c>
    </row>
    <row r="8586" spans="2:2" ht="15.6">
      <c r="B8586" s="171">
        <v>-1374.4832694311829</v>
      </c>
    </row>
    <row r="8587" spans="2:2" ht="15.6">
      <c r="B8587" s="171">
        <v>-2085.4920004809437</v>
      </c>
    </row>
    <row r="8588" spans="2:2" ht="15.6">
      <c r="B8588" s="171">
        <v>-1095.4006833336432</v>
      </c>
    </row>
    <row r="8589" spans="2:2" ht="15.6">
      <c r="B8589" s="171">
        <v>-2182.5613409342013</v>
      </c>
    </row>
    <row r="8590" spans="2:2" ht="15.6">
      <c r="B8590" s="171">
        <v>-1281.0415545319154</v>
      </c>
    </row>
    <row r="8591" spans="2:2" ht="15.6">
      <c r="B8591" s="171">
        <v>-2241.7609660828666</v>
      </c>
    </row>
    <row r="8592" spans="2:2" ht="15.6">
      <c r="B8592" s="171">
        <v>-1343.2692693852698</v>
      </c>
    </row>
    <row r="8593" spans="2:2" ht="15.6">
      <c r="B8593" s="171">
        <v>-1853.8785145470358</v>
      </c>
    </row>
    <row r="8594" spans="2:2" ht="15.6">
      <c r="B8594" s="171">
        <v>-1496.1486609945755</v>
      </c>
    </row>
    <row r="8595" spans="2:2" ht="15.6">
      <c r="B8595" s="171">
        <v>-2014.0016375451619</v>
      </c>
    </row>
    <row r="8596" spans="2:2" ht="15.6">
      <c r="B8596" s="171">
        <v>-1757.6130070575732</v>
      </c>
    </row>
    <row r="8597" spans="2:2" ht="15.6">
      <c r="B8597" s="171">
        <v>-929.45480059505678</v>
      </c>
    </row>
    <row r="8598" spans="2:2" ht="15.6">
      <c r="B8598" s="171">
        <v>-1540.0491077462793</v>
      </c>
    </row>
    <row r="8599" spans="2:2" ht="15.6">
      <c r="B8599" s="171">
        <v>-1818.7155541382615</v>
      </c>
    </row>
    <row r="8600" spans="2:2" ht="15.6">
      <c r="B8600" s="171">
        <v>-1742.9211899208437</v>
      </c>
    </row>
    <row r="8601" spans="2:2" ht="15.6">
      <c r="B8601" s="171">
        <v>-2113.7686979662813</v>
      </c>
    </row>
    <row r="8602" spans="2:2" ht="15.6">
      <c r="B8602" s="171">
        <v>-1087.1150448788417</v>
      </c>
    </row>
    <row r="8603" spans="2:2" ht="15.6">
      <c r="B8603" s="171">
        <v>-1739.610039877253</v>
      </c>
    </row>
    <row r="8604" spans="2:2" ht="15.6">
      <c r="B8604" s="171">
        <v>-1484.6493808580954</v>
      </c>
    </row>
    <row r="8605" spans="2:2" ht="15.6">
      <c r="B8605" s="171">
        <v>-1834.6846798348729</v>
      </c>
    </row>
    <row r="8606" spans="2:2" ht="15.6">
      <c r="B8606" s="171">
        <v>-1737.1094245685238</v>
      </c>
    </row>
    <row r="8607" spans="2:2" ht="15.6">
      <c r="B8607" s="171">
        <v>-1743.3698351989328</v>
      </c>
    </row>
    <row r="8608" spans="2:2" ht="15.6">
      <c r="B8608" s="171">
        <v>-1059.7519497520875</v>
      </c>
    </row>
    <row r="8609" spans="2:2" ht="15.6">
      <c r="B8609" s="171">
        <v>-1434.550232781336</v>
      </c>
    </row>
    <row r="8610" spans="2:2" ht="15.6">
      <c r="B8610" s="171">
        <v>-1242.1025381711381</v>
      </c>
    </row>
    <row r="8611" spans="2:2" ht="15.6">
      <c r="B8611" s="171">
        <v>-2270.9307782246333</v>
      </c>
    </row>
    <row r="8612" spans="2:2" ht="15.6">
      <c r="B8612" s="171">
        <v>-2320.8169840663732</v>
      </c>
    </row>
    <row r="8613" spans="2:2" ht="15.6">
      <c r="B8613" s="171">
        <v>-851.61385127168876</v>
      </c>
    </row>
    <row r="8614" spans="2:2" ht="15.6">
      <c r="B8614" s="171">
        <v>-1770.5802071712214</v>
      </c>
    </row>
    <row r="8615" spans="2:2" ht="15.6">
      <c r="B8615" s="171">
        <v>-1304.0915597804678</v>
      </c>
    </row>
    <row r="8616" spans="2:2" ht="15.6">
      <c r="B8616" s="171">
        <v>-1917.6828165685677</v>
      </c>
    </row>
    <row r="8617" spans="2:2" ht="15.6">
      <c r="B8617" s="171">
        <v>-1181.6475553769383</v>
      </c>
    </row>
    <row r="8618" spans="2:2" ht="15.6">
      <c r="B8618" s="171">
        <v>-1487.5830291477128</v>
      </c>
    </row>
    <row r="8619" spans="2:2" ht="15.6">
      <c r="B8619" s="171">
        <v>-1280.1919584421414</v>
      </c>
    </row>
    <row r="8620" spans="2:2" ht="15.6">
      <c r="B8620" s="171">
        <v>-2010.9594201972807</v>
      </c>
    </row>
    <row r="8621" spans="2:2" ht="15.6">
      <c r="B8621" s="171">
        <v>-1288.2547141715913</v>
      </c>
    </row>
    <row r="8622" spans="2:2" ht="15.6">
      <c r="B8622" s="171">
        <v>-1315.058140932613</v>
      </c>
    </row>
    <row r="8623" spans="2:2" ht="15.6">
      <c r="B8623" s="171">
        <v>-997.06982641045033</v>
      </c>
    </row>
    <row r="8624" spans="2:2" ht="15.6">
      <c r="B8624" s="171">
        <v>-1796.5964614520876</v>
      </c>
    </row>
    <row r="8625" spans="2:2" ht="15.6">
      <c r="B8625" s="171">
        <v>-2289.532320338446</v>
      </c>
    </row>
    <row r="8626" spans="2:2" ht="15.6">
      <c r="B8626" s="171">
        <v>-2548.5546230086525</v>
      </c>
    </row>
    <row r="8627" spans="2:2" ht="15.6">
      <c r="B8627" s="171">
        <v>-1316.4317469992041</v>
      </c>
    </row>
    <row r="8628" spans="2:2" ht="15.6">
      <c r="B8628" s="171">
        <v>-1278.4540031538381</v>
      </c>
    </row>
    <row r="8629" spans="2:2" ht="15.6">
      <c r="B8629" s="171">
        <v>-1937.7755998080288</v>
      </c>
    </row>
    <row r="8630" spans="2:2" ht="15.6">
      <c r="B8630" s="171">
        <v>-1343.6678096449407</v>
      </c>
    </row>
    <row r="8631" spans="2:2" ht="15.6">
      <c r="B8631" s="171">
        <v>-1736.9201811880403</v>
      </c>
    </row>
    <row r="8632" spans="2:2" ht="15.6">
      <c r="B8632" s="171">
        <v>-2010.1062768254167</v>
      </c>
    </row>
    <row r="8633" spans="2:2" ht="15.6">
      <c r="B8633" s="171">
        <v>-2110.1733015357386</v>
      </c>
    </row>
    <row r="8634" spans="2:2" ht="15.6">
      <c r="B8634" s="171">
        <v>-1775.7880608992443</v>
      </c>
    </row>
    <row r="8635" spans="2:2" ht="15.6">
      <c r="B8635" s="171">
        <v>-1471.9034376778645</v>
      </c>
    </row>
    <row r="8636" spans="2:2" ht="15.6">
      <c r="B8636" s="171">
        <v>-1637.3869856922399</v>
      </c>
    </row>
    <row r="8637" spans="2:2" ht="15.6">
      <c r="B8637" s="171">
        <v>-1458.0869588652117</v>
      </c>
    </row>
    <row r="8638" spans="2:2" ht="15.6">
      <c r="B8638" s="171">
        <v>-2562.989495339235</v>
      </c>
    </row>
    <row r="8639" spans="2:2" ht="15.6">
      <c r="B8639" s="171">
        <v>-1608.2670967227409</v>
      </c>
    </row>
    <row r="8640" spans="2:2" ht="15.6">
      <c r="B8640" s="171">
        <v>-1401.3587621952547</v>
      </c>
    </row>
    <row r="8641" spans="2:2" ht="15.6">
      <c r="B8641" s="171">
        <v>-1346.5251383488169</v>
      </c>
    </row>
    <row r="8642" spans="2:2" ht="15.6">
      <c r="B8642" s="171">
        <v>-1548.8032858507477</v>
      </c>
    </row>
    <row r="8643" spans="2:2" ht="15.6">
      <c r="B8643" s="171">
        <v>-1067.1810779210577</v>
      </c>
    </row>
    <row r="8644" spans="2:2" ht="15.6">
      <c r="B8644" s="171">
        <v>-1524.0297139787831</v>
      </c>
    </row>
    <row r="8645" spans="2:2" ht="15.6">
      <c r="B8645" s="171">
        <v>-983.31278240828931</v>
      </c>
    </row>
    <row r="8646" spans="2:2" ht="15.6">
      <c r="B8646" s="171">
        <v>-1810.4591593200953</v>
      </c>
    </row>
    <row r="8647" spans="2:2" ht="15.6">
      <c r="B8647" s="171">
        <v>-1791.2068949709765</v>
      </c>
    </row>
    <row r="8648" spans="2:2" ht="15.6">
      <c r="B8648" s="171">
        <v>-1968.9177437083563</v>
      </c>
    </row>
    <row r="8649" spans="2:2" ht="15.6">
      <c r="B8649" s="171">
        <v>-1961.7464853735628</v>
      </c>
    </row>
    <row r="8650" spans="2:2" ht="15.6">
      <c r="B8650" s="171">
        <v>-1841.0399475761444</v>
      </c>
    </row>
    <row r="8651" spans="2:2" ht="15.6">
      <c r="B8651" s="171">
        <v>-579.03923249146908</v>
      </c>
    </row>
    <row r="8652" spans="2:2" ht="15.6">
      <c r="B8652" s="171">
        <v>-2198.5649503442255</v>
      </c>
    </row>
    <row r="8653" spans="2:2" ht="15.6">
      <c r="B8653" s="171">
        <v>-2189.147416050203</v>
      </c>
    </row>
    <row r="8654" spans="2:2" ht="15.6">
      <c r="B8654" s="171">
        <v>-1416.3949546010126</v>
      </c>
    </row>
    <row r="8655" spans="2:2" ht="15.6">
      <c r="B8655" s="171">
        <v>-1551.4894736707802</v>
      </c>
    </row>
    <row r="8656" spans="2:2" ht="15.6">
      <c r="B8656" s="171">
        <v>-1674.6011244520391</v>
      </c>
    </row>
    <row r="8657" spans="2:2" ht="15.6">
      <c r="B8657" s="171">
        <v>-1439.5920852275012</v>
      </c>
    </row>
    <row r="8658" spans="2:2" ht="15.6">
      <c r="B8658" s="171">
        <v>-1879.9519907867586</v>
      </c>
    </row>
    <row r="8659" spans="2:2" ht="15.6">
      <c r="B8659" s="171">
        <v>-1123.5674055220602</v>
      </c>
    </row>
    <row r="8660" spans="2:2" ht="15.6">
      <c r="B8660" s="171">
        <v>-1556.2016310533245</v>
      </c>
    </row>
    <row r="8661" spans="2:2" ht="15.6">
      <c r="B8661" s="171">
        <v>-1418.3376566404086</v>
      </c>
    </row>
    <row r="8662" spans="2:2" ht="15.6">
      <c r="B8662" s="171">
        <v>-1556.5180471641215</v>
      </c>
    </row>
    <row r="8663" spans="2:2" ht="15.6">
      <c r="B8663" s="171">
        <v>-1543.1721888292814</v>
      </c>
    </row>
    <row r="8664" spans="2:2" ht="15.6">
      <c r="B8664" s="171">
        <v>-2172.6433695244186</v>
      </c>
    </row>
    <row r="8665" spans="2:2" ht="15.6">
      <c r="B8665" s="171">
        <v>-1617.5028544296129</v>
      </c>
    </row>
    <row r="8666" spans="2:2" ht="15.6">
      <c r="B8666" s="171">
        <v>-1529.8449565266251</v>
      </c>
    </row>
    <row r="8667" spans="2:2" ht="15.6">
      <c r="B8667" s="171">
        <v>-1425.1046381719632</v>
      </c>
    </row>
    <row r="8668" spans="2:2" ht="15.6">
      <c r="B8668" s="171">
        <v>-973.36375940751702</v>
      </c>
    </row>
    <row r="8669" spans="2:2" ht="15.6">
      <c r="B8669" s="171">
        <v>-1392.5263146314933</v>
      </c>
    </row>
    <row r="8670" spans="2:2" ht="15.6">
      <c r="B8670" s="171">
        <v>-1240.9648232139348</v>
      </c>
    </row>
    <row r="8671" spans="2:2" ht="15.6">
      <c r="B8671" s="171">
        <v>-1147.4671663768554</v>
      </c>
    </row>
    <row r="8672" spans="2:2" ht="15.6">
      <c r="B8672" s="171">
        <v>-1958.085286136487</v>
      </c>
    </row>
    <row r="8673" spans="2:2" ht="15.6">
      <c r="B8673" s="171">
        <v>-1415.8781815069196</v>
      </c>
    </row>
    <row r="8674" spans="2:2" ht="15.6">
      <c r="B8674" s="171">
        <v>-1233.6563627551682</v>
      </c>
    </row>
    <row r="8675" spans="2:2" ht="15.6">
      <c r="B8675" s="171">
        <v>-1481.4987132171489</v>
      </c>
    </row>
    <row r="8676" spans="2:2" ht="15.6">
      <c r="B8676" s="171">
        <v>-1427.1548762673947</v>
      </c>
    </row>
    <row r="8677" spans="2:2" ht="15.6">
      <c r="B8677" s="171">
        <v>-1470.226685788248</v>
      </c>
    </row>
    <row r="8678" spans="2:2" ht="15.6">
      <c r="B8678" s="171">
        <v>-998.23474688142824</v>
      </c>
    </row>
    <row r="8679" spans="2:2" ht="15.6">
      <c r="B8679" s="171">
        <v>-1280.889146877128</v>
      </c>
    </row>
    <row r="8680" spans="2:2" ht="15.6">
      <c r="B8680" s="171">
        <v>-1938.0103593445147</v>
      </c>
    </row>
    <row r="8681" spans="2:2" ht="15.6">
      <c r="B8681" s="171">
        <v>-1724.5269580435634</v>
      </c>
    </row>
    <row r="8682" spans="2:2" ht="15.6">
      <c r="B8682" s="171">
        <v>-1403.3775823634442</v>
      </c>
    </row>
    <row r="8683" spans="2:2" ht="15.6">
      <c r="B8683" s="171">
        <v>-1519.0475002596113</v>
      </c>
    </row>
    <row r="8684" spans="2:2" ht="15.6">
      <c r="B8684" s="171">
        <v>-2245.4241093582164</v>
      </c>
    </row>
    <row r="8685" spans="2:2" ht="15.6">
      <c r="B8685" s="171">
        <v>-1385.5656290312979</v>
      </c>
    </row>
    <row r="8686" spans="2:2" ht="15.6">
      <c r="B8686" s="171">
        <v>-1641.6546195789642</v>
      </c>
    </row>
    <row r="8687" spans="2:2" ht="15.6">
      <c r="B8687" s="171">
        <v>-1543.4703555620119</v>
      </c>
    </row>
    <row r="8688" spans="2:2" ht="15.6">
      <c r="B8688" s="171">
        <v>-2015.9377113977016</v>
      </c>
    </row>
    <row r="8689" spans="2:2" ht="15.6">
      <c r="B8689" s="171">
        <v>-1411.1159871557682</v>
      </c>
    </row>
    <row r="8690" spans="2:2" ht="15.6">
      <c r="B8690" s="171">
        <v>-2503.6704359982114</v>
      </c>
    </row>
    <row r="8691" spans="2:2" ht="15.6">
      <c r="B8691" s="171">
        <v>-1334.0983248449222</v>
      </c>
    </row>
    <row r="8692" spans="2:2" ht="15.6">
      <c r="B8692" s="171">
        <v>-1126.5516224932499</v>
      </c>
    </row>
    <row r="8693" spans="2:2" ht="15.6">
      <c r="B8693" s="171">
        <v>-1387.4927927719959</v>
      </c>
    </row>
    <row r="8694" spans="2:2" ht="15.6">
      <c r="B8694" s="171">
        <v>-1165.9636690931313</v>
      </c>
    </row>
    <row r="8695" spans="2:2" ht="15.6">
      <c r="B8695" s="171">
        <v>-1324.245461453148</v>
      </c>
    </row>
    <row r="8696" spans="2:2" ht="15.6">
      <c r="B8696" s="171">
        <v>-2313.2633959546474</v>
      </c>
    </row>
    <row r="8697" spans="2:2" ht="15.6">
      <c r="B8697" s="171">
        <v>-1518.9085527797374</v>
      </c>
    </row>
    <row r="8698" spans="2:2" ht="15.6">
      <c r="B8698" s="171">
        <v>-1956.9271388497684</v>
      </c>
    </row>
    <row r="8699" spans="2:2" ht="15.6">
      <c r="B8699" s="171">
        <v>-1475.4230531936105</v>
      </c>
    </row>
    <row r="8700" spans="2:2" ht="15.6">
      <c r="B8700" s="171">
        <v>-1771.4889050463253</v>
      </c>
    </row>
    <row r="8701" spans="2:2" ht="15.6">
      <c r="B8701" s="171">
        <v>-1168.2375249711743</v>
      </c>
    </row>
    <row r="8702" spans="2:2" ht="15.6">
      <c r="B8702" s="171">
        <v>-1278.1338288616903</v>
      </c>
    </row>
    <row r="8703" spans="2:2" ht="15.6">
      <c r="B8703" s="171">
        <v>-1246.4898643035222</v>
      </c>
    </row>
    <row r="8704" spans="2:2" ht="15.6">
      <c r="B8704" s="171">
        <v>-1020.9026724038953</v>
      </c>
    </row>
    <row r="8705" spans="2:2" ht="15.6">
      <c r="B8705" s="171">
        <v>-1543.4360563301614</v>
      </c>
    </row>
    <row r="8706" spans="2:2" ht="15.6">
      <c r="B8706" s="171">
        <v>-1890.1499811885742</v>
      </c>
    </row>
    <row r="8707" spans="2:2" ht="15.6">
      <c r="B8707" s="171">
        <v>-1309.6630535277548</v>
      </c>
    </row>
    <row r="8708" spans="2:2" ht="15.6">
      <c r="B8708" s="171">
        <v>-2036.6821335343957</v>
      </c>
    </row>
    <row r="8709" spans="2:2" ht="15.6">
      <c r="B8709" s="171">
        <v>-1595.7143311016541</v>
      </c>
    </row>
    <row r="8710" spans="2:2" ht="15.6">
      <c r="B8710" s="171">
        <v>-1741.8085892620397</v>
      </c>
    </row>
    <row r="8711" spans="2:2" ht="15.6">
      <c r="B8711" s="171">
        <v>-949.86048293634883</v>
      </c>
    </row>
    <row r="8712" spans="2:2" ht="15.6">
      <c r="B8712" s="171">
        <v>-1260.6732300077783</v>
      </c>
    </row>
    <row r="8713" spans="2:2" ht="15.6">
      <c r="B8713" s="171">
        <v>-1604.2358184037726</v>
      </c>
    </row>
    <row r="8714" spans="2:2" ht="15.6">
      <c r="B8714" s="171">
        <v>-1006.471721594678</v>
      </c>
    </row>
    <row r="8715" spans="2:2" ht="15.6">
      <c r="B8715" s="171">
        <v>-1451.8420555600826</v>
      </c>
    </row>
    <row r="8716" spans="2:2" ht="15.6">
      <c r="B8716" s="171">
        <v>-772.79610778131382</v>
      </c>
    </row>
    <row r="8717" spans="2:2" ht="15.6">
      <c r="B8717" s="171">
        <v>-1033.4896826710592</v>
      </c>
    </row>
    <row r="8718" spans="2:2" ht="15.6">
      <c r="B8718" s="171">
        <v>-1374.5676524771827</v>
      </c>
    </row>
    <row r="8719" spans="2:2" ht="15.6">
      <c r="B8719" s="171">
        <v>-965.02867637612076</v>
      </c>
    </row>
    <row r="8720" spans="2:2" ht="15.6">
      <c r="B8720" s="171">
        <v>-1665.6998841259247</v>
      </c>
    </row>
    <row r="8721" spans="2:2" ht="15.6">
      <c r="B8721" s="171">
        <v>-1583.2603684227711</v>
      </c>
    </row>
    <row r="8722" spans="2:2" ht="15.6">
      <c r="B8722" s="171">
        <v>-1486.3278965791537</v>
      </c>
    </row>
    <row r="8723" spans="2:2" ht="15.6">
      <c r="B8723" s="171">
        <v>-1592.8341400485231</v>
      </c>
    </row>
    <row r="8724" spans="2:2" ht="15.6">
      <c r="B8724" s="171">
        <v>-919.81591064776637</v>
      </c>
    </row>
    <row r="8725" spans="2:2" ht="15.6">
      <c r="B8725" s="171">
        <v>-1582.8799047073176</v>
      </c>
    </row>
    <row r="8726" spans="2:2" ht="15.6">
      <c r="B8726" s="171">
        <v>-1618.571157496302</v>
      </c>
    </row>
    <row r="8727" spans="2:2" ht="15.6">
      <c r="B8727" s="171">
        <v>-2104.2868191866032</v>
      </c>
    </row>
    <row r="8728" spans="2:2" ht="15.6">
      <c r="B8728" s="171">
        <v>-1496.1157736488751</v>
      </c>
    </row>
    <row r="8729" spans="2:2" ht="15.6">
      <c r="B8729" s="171">
        <v>-1950.0247263447429</v>
      </c>
    </row>
    <row r="8730" spans="2:2" ht="15.6">
      <c r="B8730" s="171">
        <v>-1818.561112439816</v>
      </c>
    </row>
    <row r="8731" spans="2:2" ht="15.6">
      <c r="B8731" s="171">
        <v>-508.63187119959457</v>
      </c>
    </row>
    <row r="8732" spans="2:2" ht="15.6">
      <c r="B8732" s="171">
        <v>-1427.8521040542068</v>
      </c>
    </row>
    <row r="8733" spans="2:2" ht="15.6">
      <c r="B8733" s="171">
        <v>-996.52769766336473</v>
      </c>
    </row>
    <row r="8734" spans="2:2" ht="15.6">
      <c r="B8734" s="171">
        <v>-1944.9955101535652</v>
      </c>
    </row>
    <row r="8735" spans="2:2" ht="15.6">
      <c r="B8735" s="171">
        <v>-1452.339187054627</v>
      </c>
    </row>
    <row r="8736" spans="2:2" ht="15.6">
      <c r="B8736" s="171">
        <v>-2467.1035826309744</v>
      </c>
    </row>
    <row r="8737" spans="2:2" ht="15.6">
      <c r="B8737" s="171">
        <v>-1897.7538499860207</v>
      </c>
    </row>
    <row r="8738" spans="2:2" ht="15.6">
      <c r="B8738" s="171">
        <v>-1625.6902574985222</v>
      </c>
    </row>
    <row r="8739" spans="2:2" ht="15.6">
      <c r="B8739" s="171">
        <v>-2598.8243495517236</v>
      </c>
    </row>
    <row r="8740" spans="2:2" ht="15.6">
      <c r="B8740" s="171">
        <v>-1303.4472995996052</v>
      </c>
    </row>
    <row r="8741" spans="2:2" ht="15.6">
      <c r="B8741" s="171">
        <v>-1264.0238083337288</v>
      </c>
    </row>
    <row r="8742" spans="2:2" ht="15.6">
      <c r="B8742" s="171">
        <v>-1583.005047326953</v>
      </c>
    </row>
    <row r="8743" spans="2:2" ht="15.6">
      <c r="B8743" s="171">
        <v>-1163.8580795162432</v>
      </c>
    </row>
    <row r="8744" spans="2:2" ht="15.6">
      <c r="B8744" s="171">
        <v>-1215.593635744651</v>
      </c>
    </row>
    <row r="8745" spans="2:2" ht="15.6">
      <c r="B8745" s="171">
        <v>-1006.6493934702718</v>
      </c>
    </row>
    <row r="8746" spans="2:2" ht="15.6">
      <c r="B8746" s="171">
        <v>-1809.6672707132745</v>
      </c>
    </row>
    <row r="8747" spans="2:2" ht="15.6">
      <c r="B8747" s="171">
        <v>-1931.66676953141</v>
      </c>
    </row>
    <row r="8748" spans="2:2" ht="15.6">
      <c r="B8748" s="171">
        <v>-1607.3122804043608</v>
      </c>
    </row>
    <row r="8749" spans="2:2" ht="15.6">
      <c r="B8749" s="171">
        <v>-1861.4194201681378</v>
      </c>
    </row>
    <row r="8750" spans="2:2" ht="15.6">
      <c r="B8750" s="171">
        <v>-1554.6924860434906</v>
      </c>
    </row>
    <row r="8751" spans="2:2" ht="15.6">
      <c r="B8751" s="171">
        <v>-1598.7866015002301</v>
      </c>
    </row>
    <row r="8752" spans="2:2" ht="15.6">
      <c r="B8752" s="171">
        <v>-2478.4293142657698</v>
      </c>
    </row>
    <row r="8753" spans="2:2" ht="15.6">
      <c r="B8753" s="171">
        <v>-1852.1610998193687</v>
      </c>
    </row>
    <row r="8754" spans="2:2" ht="15.6">
      <c r="B8754" s="171">
        <v>-1613.7427643202068</v>
      </c>
    </row>
    <row r="8755" spans="2:2" ht="15.6">
      <c r="B8755" s="171">
        <v>-1707.6629866581529</v>
      </c>
    </row>
    <row r="8756" spans="2:2" ht="15.6">
      <c r="B8756" s="171">
        <v>-2136.2762793010979</v>
      </c>
    </row>
    <row r="8757" spans="2:2" ht="15.6">
      <c r="B8757" s="171">
        <v>-1922.1827813017881</v>
      </c>
    </row>
    <row r="8758" spans="2:2" ht="15.6">
      <c r="B8758" s="171">
        <v>-1801.8552266906893</v>
      </c>
    </row>
    <row r="8759" spans="2:2" ht="15.6">
      <c r="B8759" s="171">
        <v>-1385.7568451072125</v>
      </c>
    </row>
    <row r="8760" spans="2:2" ht="15.6">
      <c r="B8760" s="171">
        <v>-1151.5035137151499</v>
      </c>
    </row>
    <row r="8761" spans="2:2" ht="15.6">
      <c r="B8761" s="171">
        <v>-2434.5592119842518</v>
      </c>
    </row>
    <row r="8762" spans="2:2" ht="15.6">
      <c r="B8762" s="171">
        <v>-2115.2756079550295</v>
      </c>
    </row>
    <row r="8763" spans="2:2" ht="15.6">
      <c r="B8763" s="171">
        <v>-2243.933079999746</v>
      </c>
    </row>
    <row r="8764" spans="2:2" ht="15.6">
      <c r="B8764" s="171">
        <v>-1096.2960058076105</v>
      </c>
    </row>
    <row r="8765" spans="2:2" ht="15.6">
      <c r="B8765" s="171">
        <v>-1410.4886625360509</v>
      </c>
    </row>
    <row r="8766" spans="2:2" ht="15.6">
      <c r="B8766" s="171">
        <v>-2497.5792029803893</v>
      </c>
    </row>
    <row r="8767" spans="2:2" ht="15.6">
      <c r="B8767" s="171">
        <v>-1504.3517237274484</v>
      </c>
    </row>
    <row r="8768" spans="2:2" ht="15.6">
      <c r="B8768" s="171">
        <v>-1526.2209093837541</v>
      </c>
    </row>
    <row r="8769" spans="2:2" ht="15.6">
      <c r="B8769" s="171">
        <v>-1850.0307731297062</v>
      </c>
    </row>
    <row r="8770" spans="2:2" ht="15.6">
      <c r="B8770" s="171">
        <v>-1621.9810803645694</v>
      </c>
    </row>
    <row r="8771" spans="2:2" ht="15.6">
      <c r="B8771" s="171">
        <v>-1025.9975767437427</v>
      </c>
    </row>
    <row r="8772" spans="2:2" ht="15.6">
      <c r="B8772" s="171">
        <v>-1418.19895855559</v>
      </c>
    </row>
    <row r="8773" spans="2:2" ht="15.6">
      <c r="B8773" s="171">
        <v>-1894.4134852466693</v>
      </c>
    </row>
    <row r="8774" spans="2:2" ht="15.6">
      <c r="B8774" s="171">
        <v>-1529.1094931747455</v>
      </c>
    </row>
    <row r="8775" spans="2:2" ht="15.6">
      <c r="B8775" s="171">
        <v>-1731.8975085406769</v>
      </c>
    </row>
    <row r="8776" spans="2:2" ht="15.6">
      <c r="B8776" s="171">
        <v>-1580.6984876750348</v>
      </c>
    </row>
    <row r="8777" spans="2:2" ht="15.6">
      <c r="B8777" s="171">
        <v>-1619.4181536255019</v>
      </c>
    </row>
    <row r="8778" spans="2:2" ht="15.6">
      <c r="B8778" s="171">
        <v>-1917.0533995602636</v>
      </c>
    </row>
    <row r="8779" spans="2:2" ht="15.6">
      <c r="B8779" s="171">
        <v>-1624.8965710721857</v>
      </c>
    </row>
    <row r="8780" spans="2:2" ht="15.6">
      <c r="B8780" s="171">
        <v>-905.27168470858942</v>
      </c>
    </row>
    <row r="8781" spans="2:2" ht="15.6">
      <c r="B8781" s="171">
        <v>-1989.6650133425837</v>
      </c>
    </row>
    <row r="8782" spans="2:2" ht="15.6">
      <c r="B8782" s="171">
        <v>-2217.6686200825238</v>
      </c>
    </row>
    <row r="8783" spans="2:2" ht="15.6">
      <c r="B8783" s="171">
        <v>-1369.9978859166108</v>
      </c>
    </row>
    <row r="8784" spans="2:2" ht="15.6">
      <c r="B8784" s="171">
        <v>-1409.9718469914442</v>
      </c>
    </row>
    <row r="8785" spans="2:2" ht="15.6">
      <c r="B8785" s="171">
        <v>-2034.6631986854129</v>
      </c>
    </row>
    <row r="8786" spans="2:2" ht="15.6">
      <c r="B8786" s="171">
        <v>-1305.2171851650032</v>
      </c>
    </row>
    <row r="8787" spans="2:2" ht="15.6">
      <c r="B8787" s="171">
        <v>-3490.6364266007586</v>
      </c>
    </row>
    <row r="8788" spans="2:2" ht="15.6">
      <c r="B8788" s="171">
        <v>-1195.1849676639597</v>
      </c>
    </row>
    <row r="8789" spans="2:2" ht="15.6">
      <c r="B8789" s="171">
        <v>-2250.2712210575455</v>
      </c>
    </row>
    <row r="8790" spans="2:2" ht="15.6">
      <c r="B8790" s="171">
        <v>-2125.4764349117122</v>
      </c>
    </row>
    <row r="8791" spans="2:2" ht="15.6">
      <c r="B8791" s="171">
        <v>-1994.4115300894432</v>
      </c>
    </row>
    <row r="8792" spans="2:2" ht="15.6">
      <c r="B8792" s="171">
        <v>-1520.6401952551244</v>
      </c>
    </row>
    <row r="8793" spans="2:2" ht="15.6">
      <c r="B8793" s="171">
        <v>-1164.7209663232004</v>
      </c>
    </row>
    <row r="8794" spans="2:2" ht="15.6">
      <c r="B8794" s="171">
        <v>-1525.2613055317129</v>
      </c>
    </row>
    <row r="8795" spans="2:2" ht="15.6">
      <c r="B8795" s="171">
        <v>-1653.8053968009303</v>
      </c>
    </row>
    <row r="8796" spans="2:2" ht="15.6">
      <c r="B8796" s="171">
        <v>-1611.4836005220664</v>
      </c>
    </row>
    <row r="8797" spans="2:2" ht="15.6">
      <c r="B8797" s="171">
        <v>-1827.6882654520139</v>
      </c>
    </row>
    <row r="8798" spans="2:2" ht="15.6">
      <c r="B8798" s="171">
        <v>-2605.5516912621824</v>
      </c>
    </row>
    <row r="8799" spans="2:2" ht="15.6">
      <c r="B8799" s="171">
        <v>-1573.2893550153219</v>
      </c>
    </row>
    <row r="8800" spans="2:2" ht="15.6">
      <c r="B8800" s="171">
        <v>-1622.1572418744488</v>
      </c>
    </row>
    <row r="8801" spans="2:2" ht="15.6">
      <c r="B8801" s="171">
        <v>-2099.8420556430719</v>
      </c>
    </row>
    <row r="8802" spans="2:2" ht="15.6">
      <c r="B8802" s="171">
        <v>-2036.6303886597443</v>
      </c>
    </row>
    <row r="8803" spans="2:2" ht="15.6">
      <c r="B8803" s="171">
        <v>-1602.0787139219533</v>
      </c>
    </row>
    <row r="8804" spans="2:2" ht="15.6">
      <c r="B8804" s="171">
        <v>-1180.9553750845</v>
      </c>
    </row>
    <row r="8805" spans="2:2" ht="15.6">
      <c r="B8805" s="171">
        <v>-2454.1091507070842</v>
      </c>
    </row>
    <row r="8806" spans="2:2" ht="15.6">
      <c r="B8806" s="171">
        <v>-1329.5937290883817</v>
      </c>
    </row>
    <row r="8807" spans="2:2" ht="15.6">
      <c r="B8807" s="171">
        <v>-1423.2855530273514</v>
      </c>
    </row>
    <row r="8808" spans="2:2" ht="15.6">
      <c r="B8808" s="171">
        <v>-1016.8617194612575</v>
      </c>
    </row>
    <row r="8809" spans="2:2" ht="15.6">
      <c r="B8809" s="171">
        <v>-1224.1174856281887</v>
      </c>
    </row>
    <row r="8810" spans="2:2" ht="15.6">
      <c r="B8810" s="171">
        <v>-2028.9971536944506</v>
      </c>
    </row>
    <row r="8811" spans="2:2" ht="15.6">
      <c r="B8811" s="171">
        <v>-1841.5429087506986</v>
      </c>
    </row>
    <row r="8812" spans="2:2" ht="15.6">
      <c r="B8812" s="171">
        <v>-2086.0313033524894</v>
      </c>
    </row>
    <row r="8813" spans="2:2" ht="15.6">
      <c r="B8813" s="171">
        <v>-2095.4037316063095</v>
      </c>
    </row>
    <row r="8814" spans="2:2" ht="15.6">
      <c r="B8814" s="171">
        <v>-1663.1961794798892</v>
      </c>
    </row>
    <row r="8815" spans="2:2" ht="15.6">
      <c r="B8815" s="171">
        <v>-1006.1582113964108</v>
      </c>
    </row>
    <row r="8816" spans="2:2" ht="15.6">
      <c r="B8816" s="171">
        <v>-1515.4576488138227</v>
      </c>
    </row>
    <row r="8817" spans="2:2" ht="15.6">
      <c r="B8817" s="171">
        <v>-1374.4205790264425</v>
      </c>
    </row>
    <row r="8818" spans="2:2" ht="15.6">
      <c r="B8818" s="171">
        <v>-1077.0363718854317</v>
      </c>
    </row>
    <row r="8819" spans="2:2" ht="15.6">
      <c r="B8819" s="171">
        <v>-1638.2485573527972</v>
      </c>
    </row>
    <row r="8820" spans="2:2" ht="15.6">
      <c r="B8820" s="171">
        <v>-1092.0441326451098</v>
      </c>
    </row>
    <row r="8821" spans="2:2" ht="15.6">
      <c r="B8821" s="171">
        <v>-1944.3976365382073</v>
      </c>
    </row>
    <row r="8822" spans="2:2" ht="15.6">
      <c r="B8822" s="171">
        <v>-1411.5776596658957</v>
      </c>
    </row>
    <row r="8823" spans="2:2" ht="15.6">
      <c r="B8823" s="171">
        <v>-1188.2979411575134</v>
      </c>
    </row>
    <row r="8824" spans="2:2" ht="15.6">
      <c r="B8824" s="171">
        <v>-1254.8857864464126</v>
      </c>
    </row>
    <row r="8825" spans="2:2" ht="15.6">
      <c r="B8825" s="171">
        <v>-615.50343371658573</v>
      </c>
    </row>
    <row r="8826" spans="2:2" ht="15.6">
      <c r="B8826" s="171">
        <v>-1681.0474673217052</v>
      </c>
    </row>
    <row r="8827" spans="2:2" ht="15.6">
      <c r="B8827" s="171">
        <v>-1517.0636302963446</v>
      </c>
    </row>
    <row r="8828" spans="2:2" ht="15.6">
      <c r="B8828" s="171">
        <v>-712.97589532289783</v>
      </c>
    </row>
    <row r="8829" spans="2:2" ht="15.6">
      <c r="B8829" s="171">
        <v>-1357.6178944047183</v>
      </c>
    </row>
    <row r="8830" spans="2:2" ht="15.6">
      <c r="B8830" s="171">
        <v>-2166.3454245654821</v>
      </c>
    </row>
    <row r="8831" spans="2:2" ht="15.6">
      <c r="B8831" s="171">
        <v>-1656.4243856083012</v>
      </c>
    </row>
    <row r="8832" spans="2:2" ht="15.6">
      <c r="B8832" s="171">
        <v>-2566.0516818752808</v>
      </c>
    </row>
    <row r="8833" spans="2:2" ht="15.6">
      <c r="B8833" s="171">
        <v>-1057.4730045208082</v>
      </c>
    </row>
    <row r="8834" spans="2:2" ht="15.6">
      <c r="B8834" s="171">
        <v>-1812.6428857423102</v>
      </c>
    </row>
    <row r="8835" spans="2:2" ht="15.6">
      <c r="B8835" s="171">
        <v>-1501.9142878472312</v>
      </c>
    </row>
    <row r="8836" spans="2:2" ht="15.6">
      <c r="B8836" s="171">
        <v>-1411.5973454009809</v>
      </c>
    </row>
    <row r="8837" spans="2:2" ht="15.6">
      <c r="B8837" s="171">
        <v>-1081.5330585066652</v>
      </c>
    </row>
    <row r="8838" spans="2:2" ht="15.6">
      <c r="B8838" s="171">
        <v>-1460.3447709037707</v>
      </c>
    </row>
    <row r="8839" spans="2:2" ht="15.6">
      <c r="B8839" s="171">
        <v>-2164.7911780860959</v>
      </c>
    </row>
    <row r="8840" spans="2:2" ht="15.6">
      <c r="B8840" s="171">
        <v>-2144.3240920430103</v>
      </c>
    </row>
    <row r="8841" spans="2:2" ht="15.6">
      <c r="B8841" s="171">
        <v>-1504.9390976997929</v>
      </c>
    </row>
    <row r="8842" spans="2:2" ht="15.6">
      <c r="B8842" s="171">
        <v>-1386.2599131795246</v>
      </c>
    </row>
    <row r="8843" spans="2:2" ht="15.6">
      <c r="B8843" s="171">
        <v>-1692.9272298744695</v>
      </c>
    </row>
    <row r="8844" spans="2:2" ht="15.6">
      <c r="B8844" s="171">
        <v>-2238.3003764818168</v>
      </c>
    </row>
    <row r="8845" spans="2:2" ht="15.6">
      <c r="B8845" s="171">
        <v>-1222.6979877373135</v>
      </c>
    </row>
    <row r="8846" spans="2:2" ht="15.6">
      <c r="B8846" s="171">
        <v>-1976.2269215940266</v>
      </c>
    </row>
    <row r="8847" spans="2:2" ht="15.6">
      <c r="B8847" s="171">
        <v>-1675.6489295364054</v>
      </c>
    </row>
    <row r="8848" spans="2:2" ht="15.6">
      <c r="B8848" s="171">
        <v>-1295.4456230667624</v>
      </c>
    </row>
    <row r="8849" spans="2:2" ht="15.6">
      <c r="B8849" s="171">
        <v>-1729.9802854179734</v>
      </c>
    </row>
    <row r="8850" spans="2:2" ht="15.6">
      <c r="B8850" s="171">
        <v>-1673.2438937250386</v>
      </c>
    </row>
    <row r="8851" spans="2:2" ht="15.6">
      <c r="B8851" s="171">
        <v>-1771.6931481772344</v>
      </c>
    </row>
    <row r="8852" spans="2:2" ht="15.6">
      <c r="B8852" s="171">
        <v>-1394.8366464299131</v>
      </c>
    </row>
    <row r="8853" spans="2:2" ht="15.6">
      <c r="B8853" s="171">
        <v>-1882.6517112195904</v>
      </c>
    </row>
    <row r="8854" spans="2:2" ht="15.6">
      <c r="B8854" s="171">
        <v>-1972.8729191582961</v>
      </c>
    </row>
    <row r="8855" spans="2:2" ht="15.6">
      <c r="B8855" s="171">
        <v>-1642.2197841024886</v>
      </c>
    </row>
    <row r="8856" spans="2:2" ht="15.6">
      <c r="B8856" s="171">
        <v>-1343.4543800256333</v>
      </c>
    </row>
    <row r="8857" spans="2:2" ht="15.6">
      <c r="B8857" s="171">
        <v>-1245.1869335997094</v>
      </c>
    </row>
    <row r="8858" spans="2:2" ht="15.6">
      <c r="B8858" s="171">
        <v>-1700.5327145060292</v>
      </c>
    </row>
    <row r="8859" spans="2:2" ht="15.6">
      <c r="B8859" s="171">
        <v>-1826.7446017376806</v>
      </c>
    </row>
    <row r="8860" spans="2:2" ht="15.6">
      <c r="B8860" s="171">
        <v>-1963.8126632213462</v>
      </c>
    </row>
    <row r="8861" spans="2:2" ht="15.6">
      <c r="B8861" s="171">
        <v>-1087.8807208903206</v>
      </c>
    </row>
    <row r="8862" spans="2:2" ht="15.6">
      <c r="B8862" s="171">
        <v>-1368.2021155401371</v>
      </c>
    </row>
    <row r="8863" spans="2:2" ht="15.6">
      <c r="B8863" s="171">
        <v>-1375.5138218403283</v>
      </c>
    </row>
    <row r="8864" spans="2:2" ht="15.6">
      <c r="B8864" s="171">
        <v>-1189.331302888774</v>
      </c>
    </row>
    <row r="8865" spans="2:2" ht="15.6">
      <c r="B8865" s="171">
        <v>-1465.003051238434</v>
      </c>
    </row>
    <row r="8866" spans="2:2" ht="15.6">
      <c r="B8866" s="171">
        <v>-2217.5495317605919</v>
      </c>
    </row>
    <row r="8867" spans="2:2" ht="15.6">
      <c r="B8867" s="171">
        <v>-1890.5501563500593</v>
      </c>
    </row>
    <row r="8868" spans="2:2" ht="15.6">
      <c r="B8868" s="171">
        <v>-1160.2448430750364</v>
      </c>
    </row>
    <row r="8869" spans="2:2" ht="15.6">
      <c r="B8869" s="171">
        <v>-1784.2242497009024</v>
      </c>
    </row>
    <row r="8870" spans="2:2" ht="15.6">
      <c r="B8870" s="171">
        <v>-540.97032629228465</v>
      </c>
    </row>
    <row r="8871" spans="2:2" ht="15.6">
      <c r="B8871" s="171">
        <v>-1374.0868225669988</v>
      </c>
    </row>
    <row r="8872" spans="2:2" ht="15.6">
      <c r="B8872" s="171">
        <v>-1495.5079095158089</v>
      </c>
    </row>
    <row r="8873" spans="2:2" ht="15.6">
      <c r="B8873" s="171">
        <v>-1747.625620447307</v>
      </c>
    </row>
    <row r="8874" spans="2:2" ht="15.6">
      <c r="B8874" s="171">
        <v>-1321.8371323299484</v>
      </c>
    </row>
    <row r="8875" spans="2:2" ht="15.6">
      <c r="B8875" s="171">
        <v>-2355.2910037516594</v>
      </c>
    </row>
    <row r="8876" spans="2:2" ht="15.6">
      <c r="B8876" s="171">
        <v>-1497.6124361185598</v>
      </c>
    </row>
    <row r="8877" spans="2:2" ht="15.6">
      <c r="B8877" s="171">
        <v>-1203.3911504565692</v>
      </c>
    </row>
    <row r="8878" spans="2:2" ht="15.6">
      <c r="B8878" s="171">
        <v>-1568.9569322202294</v>
      </c>
    </row>
    <row r="8879" spans="2:2" ht="15.6">
      <c r="B8879" s="171">
        <v>-1299.9531241766374</v>
      </c>
    </row>
    <row r="8880" spans="2:2" ht="15.6">
      <c r="B8880" s="171">
        <v>-1405.1841936280396</v>
      </c>
    </row>
    <row r="8881" spans="2:2" ht="15.6">
      <c r="B8881" s="171">
        <v>-1710.3978699537013</v>
      </c>
    </row>
    <row r="8882" spans="2:2" ht="15.6">
      <c r="B8882" s="171">
        <v>-1078.1993119545009</v>
      </c>
    </row>
    <row r="8883" spans="2:2" ht="15.6">
      <c r="B8883" s="171">
        <v>-1680.9352090338245</v>
      </c>
    </row>
    <row r="8884" spans="2:2" ht="15.6">
      <c r="B8884" s="171">
        <v>-1501.5877883738299</v>
      </c>
    </row>
    <row r="8885" spans="2:2" ht="15.6">
      <c r="B8885" s="171">
        <v>-1346.4605275566405</v>
      </c>
    </row>
    <row r="8886" spans="2:2" ht="15.6">
      <c r="B8886" s="171">
        <v>-1369.3498904757962</v>
      </c>
    </row>
    <row r="8887" spans="2:2" ht="15.6">
      <c r="B8887" s="171">
        <v>-1364.4335043368274</v>
      </c>
    </row>
    <row r="8888" spans="2:2" ht="15.6">
      <c r="B8888" s="171">
        <v>-1609.8002881462264</v>
      </c>
    </row>
    <row r="8889" spans="2:2" ht="15.6">
      <c r="B8889" s="171">
        <v>-1502.8554173682764</v>
      </c>
    </row>
    <row r="8890" spans="2:2" ht="15.6">
      <c r="B8890" s="171">
        <v>-1176.0053970035692</v>
      </c>
    </row>
    <row r="8891" spans="2:2" ht="15.6">
      <c r="B8891" s="171">
        <v>-2013.3480406546219</v>
      </c>
    </row>
    <row r="8892" spans="2:2" ht="15.6">
      <c r="B8892" s="171">
        <v>-1071.3946210933539</v>
      </c>
    </row>
    <row r="8893" spans="2:2" ht="15.6">
      <c r="B8893" s="171">
        <v>-2240.4377698945623</v>
      </c>
    </row>
    <row r="8894" spans="2:2" ht="15.6">
      <c r="B8894" s="171">
        <v>-1143.3117829478663</v>
      </c>
    </row>
    <row r="8895" spans="2:2" ht="15.6">
      <c r="B8895" s="171">
        <v>-1910.9792590872571</v>
      </c>
    </row>
    <row r="8896" spans="2:2" ht="15.6">
      <c r="B8896" s="171">
        <v>-1865.6235157503502</v>
      </c>
    </row>
    <row r="8897" spans="2:2" ht="15.6">
      <c r="B8897" s="171">
        <v>-1425.786953251315</v>
      </c>
    </row>
    <row r="8898" spans="2:2" ht="15.6">
      <c r="B8898" s="171">
        <v>-1229.2696346298076</v>
      </c>
    </row>
    <row r="8899" spans="2:2" ht="15.6">
      <c r="B8899" s="171">
        <v>-1975.8362382562796</v>
      </c>
    </row>
    <row r="8900" spans="2:2" ht="15.6">
      <c r="B8900" s="171">
        <v>-1196.299470404691</v>
      </c>
    </row>
    <row r="8901" spans="2:2" ht="15.6">
      <c r="B8901" s="171">
        <v>-2050.789924387027</v>
      </c>
    </row>
    <row r="8902" spans="2:2" ht="15.6">
      <c r="B8902" s="171">
        <v>-1735.0041344205615</v>
      </c>
    </row>
    <row r="8903" spans="2:2" ht="15.6">
      <c r="B8903" s="171">
        <v>-2104.5928591182214</v>
      </c>
    </row>
    <row r="8904" spans="2:2" ht="15.6">
      <c r="B8904" s="171">
        <v>-1291.2733510506712</v>
      </c>
    </row>
    <row r="8905" spans="2:2" ht="15.6">
      <c r="B8905" s="171">
        <v>-1567.8024396472788</v>
      </c>
    </row>
    <row r="8906" spans="2:2" ht="15.6">
      <c r="B8906" s="171">
        <v>-841.17151227603824</v>
      </c>
    </row>
    <row r="8907" spans="2:2" ht="15.6">
      <c r="B8907" s="171">
        <v>-2011.7910261286461</v>
      </c>
    </row>
    <row r="8908" spans="2:2" ht="15.6">
      <c r="B8908" s="171">
        <v>-2806.1903672603403</v>
      </c>
    </row>
    <row r="8909" spans="2:2" ht="15.6">
      <c r="B8909" s="171">
        <v>-1826.4474858593724</v>
      </c>
    </row>
    <row r="8910" spans="2:2" ht="15.6">
      <c r="B8910" s="171">
        <v>-2387.9563831408786</v>
      </c>
    </row>
    <row r="8911" spans="2:2" ht="15.6">
      <c r="B8911" s="171">
        <v>-1891.9798426550215</v>
      </c>
    </row>
    <row r="8912" spans="2:2" ht="15.6">
      <c r="B8912" s="171">
        <v>-1114.4776753029066</v>
      </c>
    </row>
    <row r="8913" spans="2:2" ht="15.6">
      <c r="B8913" s="171">
        <v>-1429.4445629727784</v>
      </c>
    </row>
    <row r="8914" spans="2:2" ht="15.6">
      <c r="B8914" s="171">
        <v>-2024.1342902651677</v>
      </c>
    </row>
    <row r="8915" spans="2:2" ht="15.6">
      <c r="B8915" s="171">
        <v>-1525.1836315105666</v>
      </c>
    </row>
    <row r="8916" spans="2:2" ht="15.6">
      <c r="B8916" s="171">
        <v>-2355.2040195545787</v>
      </c>
    </row>
    <row r="8917" spans="2:2" ht="15.6">
      <c r="B8917" s="171">
        <v>-1408.3098769618564</v>
      </c>
    </row>
    <row r="8918" spans="2:2" ht="15.6">
      <c r="B8918" s="171">
        <v>-1729.8065219612308</v>
      </c>
    </row>
    <row r="8919" spans="2:2" ht="15.6">
      <c r="B8919" s="171">
        <v>-1018.836328798141</v>
      </c>
    </row>
    <row r="8920" spans="2:2" ht="15.6">
      <c r="B8920" s="171">
        <v>-2728.5184855405432</v>
      </c>
    </row>
    <row r="8921" spans="2:2" ht="15.6">
      <c r="B8921" s="171">
        <v>-1780.0996906725361</v>
      </c>
    </row>
    <row r="8922" spans="2:2" ht="15.6">
      <c r="B8922" s="171">
        <v>-1458.6723450334575</v>
      </c>
    </row>
    <row r="8923" spans="2:2" ht="15.6">
      <c r="B8923" s="171">
        <v>-1393.321842457779</v>
      </c>
    </row>
    <row r="8924" spans="2:2" ht="15.6">
      <c r="B8924" s="171">
        <v>-1546.0861927777555</v>
      </c>
    </row>
    <row r="8925" spans="2:2" ht="15.6">
      <c r="B8925" s="171">
        <v>-1701.6883258360103</v>
      </c>
    </row>
    <row r="8926" spans="2:2" ht="15.6">
      <c r="B8926" s="171">
        <v>-2354.9926218771461</v>
      </c>
    </row>
    <row r="8927" spans="2:2" ht="15.6">
      <c r="B8927" s="171">
        <v>-1575.0483241763104</v>
      </c>
    </row>
    <row r="8928" spans="2:2" ht="15.6">
      <c r="B8928" s="171">
        <v>-2011.1132393575003</v>
      </c>
    </row>
    <row r="8929" spans="2:2" ht="15.6">
      <c r="B8929" s="171">
        <v>-2025.9198114990813</v>
      </c>
    </row>
    <row r="8930" spans="2:2" ht="15.6">
      <c r="B8930" s="171">
        <v>-1480.0739074644157</v>
      </c>
    </row>
    <row r="8931" spans="2:2" ht="15.6">
      <c r="B8931" s="171">
        <v>-1646.0695322210408</v>
      </c>
    </row>
    <row r="8932" spans="2:2" ht="15.6">
      <c r="B8932" s="171">
        <v>-2047.2810356765599</v>
      </c>
    </row>
    <row r="8933" spans="2:2" ht="15.6">
      <c r="B8933" s="171">
        <v>-2258.9155727094503</v>
      </c>
    </row>
    <row r="8934" spans="2:2" ht="15.6">
      <c r="B8934" s="171">
        <v>-1158.578159732911</v>
      </c>
    </row>
    <row r="8935" spans="2:2" ht="15.6">
      <c r="B8935" s="171">
        <v>-1467.0972736071521</v>
      </c>
    </row>
    <row r="8936" spans="2:2" ht="15.6">
      <c r="B8936" s="171">
        <v>-1395.6417919580126</v>
      </c>
    </row>
    <row r="8937" spans="2:2" ht="15.6">
      <c r="B8937" s="171">
        <v>-1554.5874771727351</v>
      </c>
    </row>
    <row r="8938" spans="2:2" ht="15.6">
      <c r="B8938" s="171">
        <v>-1031.1231536340442</v>
      </c>
    </row>
    <row r="8939" spans="2:2" ht="15.6">
      <c r="B8939" s="171">
        <v>-1550.1538465302942</v>
      </c>
    </row>
    <row r="8940" spans="2:2" ht="15.6">
      <c r="B8940" s="171">
        <v>-1106.8186158171657</v>
      </c>
    </row>
    <row r="8941" spans="2:2" ht="15.6">
      <c r="B8941" s="171">
        <v>-1432.4595045925289</v>
      </c>
    </row>
    <row r="8942" spans="2:2" ht="15.6">
      <c r="B8942" s="171">
        <v>-2234.5591765215777</v>
      </c>
    </row>
    <row r="8943" spans="2:2" ht="15.6">
      <c r="B8943" s="171">
        <v>-938.46549203343193</v>
      </c>
    </row>
    <row r="8944" spans="2:2" ht="15.6">
      <c r="B8944" s="171">
        <v>-2205.7039281404218</v>
      </c>
    </row>
    <row r="8945" spans="2:2" ht="15.6">
      <c r="B8945" s="171">
        <v>-1876.6114296023682</v>
      </c>
    </row>
    <row r="8946" spans="2:2" ht="15.6">
      <c r="B8946" s="171">
        <v>-1416.6393787017134</v>
      </c>
    </row>
    <row r="8947" spans="2:2" ht="15.6">
      <c r="B8947" s="171">
        <v>-2413.367001930495</v>
      </c>
    </row>
    <row r="8948" spans="2:2" ht="15.6">
      <c r="B8948" s="171">
        <v>-1815.7183033812057</v>
      </c>
    </row>
    <row r="8949" spans="2:2" ht="15.6">
      <c r="B8949" s="171">
        <v>-2252.2195563001633</v>
      </c>
    </row>
    <row r="8950" spans="2:2" ht="15.6">
      <c r="B8950" s="171">
        <v>-1562.9811845580559</v>
      </c>
    </row>
    <row r="8951" spans="2:2" ht="15.6">
      <c r="B8951" s="171">
        <v>-1977.5695228109826</v>
      </c>
    </row>
    <row r="8952" spans="2:2" ht="15.6">
      <c r="B8952" s="171">
        <v>-1165.0248851461338</v>
      </c>
    </row>
    <row r="8953" spans="2:2" ht="15.6">
      <c r="B8953" s="171">
        <v>-2292.4102183455811</v>
      </c>
    </row>
    <row r="8954" spans="2:2" ht="15.6">
      <c r="B8954" s="171">
        <v>-1246.2289311882187</v>
      </c>
    </row>
    <row r="8955" spans="2:2" ht="15.6">
      <c r="B8955" s="171">
        <v>-2277.129273033157</v>
      </c>
    </row>
    <row r="8956" spans="2:2" ht="15.6">
      <c r="B8956" s="171">
        <v>-1318.6317036527512</v>
      </c>
    </row>
    <row r="8957" spans="2:2" ht="15.6">
      <c r="B8957" s="171">
        <v>-1690.7467288145319</v>
      </c>
    </row>
    <row r="8958" spans="2:2" ht="15.6">
      <c r="B8958" s="171">
        <v>-2034.1572532666996</v>
      </c>
    </row>
    <row r="8959" spans="2:2" ht="15.6">
      <c r="B8959" s="171">
        <v>-1677.1309177323124</v>
      </c>
    </row>
    <row r="8960" spans="2:2" ht="15.6">
      <c r="B8960" s="171">
        <v>-1929.6642280582605</v>
      </c>
    </row>
    <row r="8961" spans="2:2" ht="15.6">
      <c r="B8961" s="171">
        <v>-1085.6128394550324</v>
      </c>
    </row>
    <row r="8962" spans="2:2" ht="15.6">
      <c r="B8962" s="171">
        <v>-1834.9884644441336</v>
      </c>
    </row>
    <row r="8963" spans="2:2" ht="15.6">
      <c r="B8963" s="171">
        <v>-1037.88181682104</v>
      </c>
    </row>
    <row r="8964" spans="2:2" ht="15.6">
      <c r="B8964" s="171">
        <v>-1484.5362415213874</v>
      </c>
    </row>
    <row r="8965" spans="2:2" ht="15.6">
      <c r="B8965" s="171">
        <v>-1362.0579064706969</v>
      </c>
    </row>
    <row r="8966" spans="2:2" ht="15.6">
      <c r="B8966" s="171">
        <v>-1700.3130655222781</v>
      </c>
    </row>
    <row r="8967" spans="2:2" ht="15.6">
      <c r="B8967" s="171">
        <v>-1004.2350142304116</v>
      </c>
    </row>
    <row r="8968" spans="2:2" ht="15.6">
      <c r="B8968" s="171">
        <v>-1168.0224958697079</v>
      </c>
    </row>
    <row r="8969" spans="2:2" ht="15.6">
      <c r="B8969" s="171">
        <v>-1617.7469943021867</v>
      </c>
    </row>
    <row r="8970" spans="2:2" ht="15.6">
      <c r="B8970" s="171">
        <v>-1671.0059023838467</v>
      </c>
    </row>
    <row r="8971" spans="2:2" ht="15.6">
      <c r="B8971" s="171">
        <v>-1344.5338391181069</v>
      </c>
    </row>
    <row r="8972" spans="2:2" ht="15.6">
      <c r="B8972" s="171">
        <v>-1340.5519750142594</v>
      </c>
    </row>
    <row r="8973" spans="2:2" ht="15.6">
      <c r="B8973" s="171">
        <v>-1921.5399259597407</v>
      </c>
    </row>
    <row r="8974" spans="2:2" ht="15.6">
      <c r="B8974" s="171">
        <v>-1497.8505540802969</v>
      </c>
    </row>
    <row r="8975" spans="2:2" ht="15.6">
      <c r="B8975" s="171">
        <v>-2406.2277240353942</v>
      </c>
    </row>
    <row r="8976" spans="2:2" ht="15.6">
      <c r="B8976" s="171">
        <v>-1251.2106778985321</v>
      </c>
    </row>
    <row r="8977" spans="2:2" ht="15.6">
      <c r="B8977" s="171">
        <v>-1742.0515616739701</v>
      </c>
    </row>
    <row r="8978" spans="2:2" ht="15.6">
      <c r="B8978" s="171">
        <v>-1956.3855648104022</v>
      </c>
    </row>
    <row r="8979" spans="2:2" ht="15.6">
      <c r="B8979" s="171">
        <v>-1806.7917432778381</v>
      </c>
    </row>
    <row r="8980" spans="2:2" ht="15.6">
      <c r="B8980" s="171">
        <v>-1955.468571434646</v>
      </c>
    </row>
    <row r="8981" spans="2:2" ht="15.6">
      <c r="B8981" s="171">
        <v>-1303.5012501977492</v>
      </c>
    </row>
    <row r="8982" spans="2:2" ht="15.6">
      <c r="B8982" s="171">
        <v>-1717.2254711952914</v>
      </c>
    </row>
    <row r="8983" spans="2:2" ht="15.6">
      <c r="B8983" s="171">
        <v>-1282.9808663528904</v>
      </c>
    </row>
    <row r="8984" spans="2:2" ht="15.6">
      <c r="B8984" s="171">
        <v>-2460.8760723792066</v>
      </c>
    </row>
    <row r="8985" spans="2:2" ht="15.6">
      <c r="B8985" s="171">
        <v>-955.47580708021019</v>
      </c>
    </row>
    <row r="8986" spans="2:2" ht="15.6">
      <c r="B8986" s="171">
        <v>-1555.7610189266807</v>
      </c>
    </row>
    <row r="8987" spans="2:2" ht="15.6">
      <c r="B8987" s="171">
        <v>-1354.6875172253656</v>
      </c>
    </row>
    <row r="8988" spans="2:2" ht="15.6">
      <c r="B8988" s="171">
        <v>-1237.3430398817973</v>
      </c>
    </row>
    <row r="8989" spans="2:2" ht="15.6">
      <c r="B8989" s="171">
        <v>-1641.3739457380921</v>
      </c>
    </row>
    <row r="8990" spans="2:2" ht="15.6">
      <c r="B8990" s="171">
        <v>-1038.1596152644224</v>
      </c>
    </row>
    <row r="8991" spans="2:2" ht="15.6">
      <c r="B8991" s="171">
        <v>-1751.3907735482426</v>
      </c>
    </row>
    <row r="8992" spans="2:2" ht="15.6">
      <c r="B8992" s="171">
        <v>-1601.3168724100726</v>
      </c>
    </row>
    <row r="8993" spans="2:2" ht="15.6">
      <c r="B8993" s="171">
        <v>-2049.8252456335172</v>
      </c>
    </row>
    <row r="8994" spans="2:2" ht="15.6">
      <c r="B8994" s="171">
        <v>-1713.4222322711441</v>
      </c>
    </row>
    <row r="8995" spans="2:2" ht="15.6">
      <c r="B8995" s="171">
        <v>-2577.7333722857707</v>
      </c>
    </row>
    <row r="8996" spans="2:2" ht="15.6">
      <c r="B8996" s="171">
        <v>-1832.0618210039263</v>
      </c>
    </row>
    <row r="8997" spans="2:2" ht="15.6">
      <c r="B8997" s="171">
        <v>-1396.1059866716491</v>
      </c>
    </row>
    <row r="8998" spans="2:2" ht="15.6">
      <c r="B8998" s="171">
        <v>-1711.4253431244199</v>
      </c>
    </row>
    <row r="8999" spans="2:2" ht="15.6">
      <c r="B8999" s="171">
        <v>-1482.7630538574936</v>
      </c>
    </row>
    <row r="9000" spans="2:2" ht="15.6">
      <c r="B9000" s="171">
        <v>-2289.3681254081384</v>
      </c>
    </row>
    <row r="9001" spans="2:2" ht="15.6">
      <c r="B9001" s="171">
        <v>-1767.3105217711282</v>
      </c>
    </row>
    <row r="9002" spans="2:2" ht="15.6">
      <c r="B9002" s="171">
        <v>-1599.8370595690162</v>
      </c>
    </row>
    <row r="9003" spans="2:2" ht="15.6">
      <c r="B9003" s="171">
        <v>-963.55106078001393</v>
      </c>
    </row>
    <row r="9004" spans="2:2" ht="15.6">
      <c r="B9004" s="171">
        <v>-1452.8273982455835</v>
      </c>
    </row>
    <row r="9005" spans="2:2" ht="15.6">
      <c r="B9005" s="171">
        <v>-2168.6022804712179</v>
      </c>
    </row>
    <row r="9006" spans="2:2" ht="15.6">
      <c r="B9006" s="171">
        <v>-1479.7102370575572</v>
      </c>
    </row>
    <row r="9007" spans="2:2" ht="15.6">
      <c r="B9007" s="171">
        <v>-1477.0601044670952</v>
      </c>
    </row>
    <row r="9008" spans="2:2" ht="15.6">
      <c r="B9008" s="171">
        <v>-1363.5047251973301</v>
      </c>
    </row>
    <row r="9009" spans="2:2" ht="15.6">
      <c r="B9009" s="171">
        <v>-1516.3427075940685</v>
      </c>
    </row>
    <row r="9010" spans="2:2" ht="15.6">
      <c r="B9010" s="171">
        <v>-1568.0076016219195</v>
      </c>
    </row>
    <row r="9011" spans="2:2" ht="15.6">
      <c r="B9011" s="171">
        <v>-2109.4442676397503</v>
      </c>
    </row>
    <row r="9012" spans="2:2" ht="15.6">
      <c r="B9012" s="171">
        <v>-2020.2774236049113</v>
      </c>
    </row>
    <row r="9013" spans="2:2" ht="15.6">
      <c r="B9013" s="171">
        <v>-1754.9106656301451</v>
      </c>
    </row>
    <row r="9014" spans="2:2" ht="15.6">
      <c r="B9014" s="171">
        <v>-1642.3970916201342</v>
      </c>
    </row>
    <row r="9015" spans="2:2" ht="15.6">
      <c r="B9015" s="171">
        <v>-2278.8519587247433</v>
      </c>
    </row>
    <row r="9016" spans="2:2" ht="15.6">
      <c r="B9016" s="171">
        <v>-1313.1744954925844</v>
      </c>
    </row>
    <row r="9017" spans="2:2" ht="15.6">
      <c r="B9017" s="171">
        <v>-1689.690298188985</v>
      </c>
    </row>
    <row r="9018" spans="2:2" ht="15.6">
      <c r="B9018" s="171">
        <v>-1190.1130421012426</v>
      </c>
    </row>
    <row r="9019" spans="2:2" ht="15.6">
      <c r="B9019" s="171">
        <v>-1692.3484482499048</v>
      </c>
    </row>
    <row r="9020" spans="2:2" ht="15.6">
      <c r="B9020" s="171">
        <v>-1219.112110181416</v>
      </c>
    </row>
    <row r="9021" spans="2:2" ht="15.6">
      <c r="B9021" s="171">
        <v>-1670.8357483134978</v>
      </c>
    </row>
    <row r="9022" spans="2:2" ht="15.6">
      <c r="B9022" s="171">
        <v>-2445.6305651632647</v>
      </c>
    </row>
    <row r="9023" spans="2:2" ht="15.6">
      <c r="B9023" s="171">
        <v>-1678.8535727270955</v>
      </c>
    </row>
    <row r="9024" spans="2:2" ht="15.6">
      <c r="B9024" s="171">
        <v>-1931.9386489653698</v>
      </c>
    </row>
    <row r="9025" spans="2:2" ht="15.6">
      <c r="B9025" s="171">
        <v>-998.95525878391436</v>
      </c>
    </row>
    <row r="9026" spans="2:2" ht="15.6">
      <c r="B9026" s="171">
        <v>-978.60914411316469</v>
      </c>
    </row>
    <row r="9027" spans="2:2" ht="15.6">
      <c r="B9027" s="171">
        <v>-1715.1077002864756</v>
      </c>
    </row>
    <row r="9028" spans="2:2" ht="15.6">
      <c r="B9028" s="171">
        <v>-1674.929534812693</v>
      </c>
    </row>
    <row r="9029" spans="2:2" ht="15.6">
      <c r="B9029" s="171">
        <v>-1354.5610316116711</v>
      </c>
    </row>
    <row r="9030" spans="2:2" ht="15.6">
      <c r="B9030" s="171">
        <v>-1903.4059585948062</v>
      </c>
    </row>
    <row r="9031" spans="2:2" ht="15.6">
      <c r="B9031" s="171">
        <v>-1272.9532954635326</v>
      </c>
    </row>
    <row r="9032" spans="2:2" ht="15.6">
      <c r="B9032" s="171">
        <v>-1886.3960720272892</v>
      </c>
    </row>
    <row r="9033" spans="2:2" ht="15.6">
      <c r="B9033" s="171">
        <v>-1554.5964213513075</v>
      </c>
    </row>
    <row r="9034" spans="2:2" ht="15.6">
      <c r="B9034" s="171">
        <v>-1552.1709986601472</v>
      </c>
    </row>
    <row r="9035" spans="2:2" ht="15.6">
      <c r="B9035" s="171">
        <v>-2455.3550423372535</v>
      </c>
    </row>
    <row r="9036" spans="2:2" ht="15.6">
      <c r="B9036" s="171">
        <v>-1343.7606591033016</v>
      </c>
    </row>
    <row r="9037" spans="2:2" ht="15.6">
      <c r="B9037" s="171">
        <v>-1413.9561712348823</v>
      </c>
    </row>
    <row r="9038" spans="2:2" ht="15.6">
      <c r="B9038" s="171">
        <v>-2632.8002058145876</v>
      </c>
    </row>
    <row r="9039" spans="2:2" ht="15.6">
      <c r="B9039" s="171">
        <v>-1720.3524979113574</v>
      </c>
    </row>
    <row r="9040" spans="2:2" ht="15.6">
      <c r="B9040" s="171">
        <v>-1724.5444998873827</v>
      </c>
    </row>
    <row r="9041" spans="2:2" ht="15.6">
      <c r="B9041" s="171">
        <v>-1768.6999917163512</v>
      </c>
    </row>
    <row r="9042" spans="2:2" ht="15.6">
      <c r="B9042" s="171">
        <v>-1447.609158676961</v>
      </c>
    </row>
    <row r="9043" spans="2:2" ht="15.6">
      <c r="B9043" s="171">
        <v>-1701.6463109086708</v>
      </c>
    </row>
    <row r="9044" spans="2:2" ht="15.6">
      <c r="B9044" s="171">
        <v>-1522.1344757269351</v>
      </c>
    </row>
    <row r="9045" spans="2:2" ht="15.6">
      <c r="B9045" s="171">
        <v>-1426.0434133051519</v>
      </c>
    </row>
    <row r="9046" spans="2:2" ht="15.6">
      <c r="B9046" s="171">
        <v>-2213.8703501786699</v>
      </c>
    </row>
    <row r="9047" spans="2:2" ht="15.6">
      <c r="B9047" s="171">
        <v>-1805.8208124850146</v>
      </c>
    </row>
    <row r="9048" spans="2:2" ht="15.6">
      <c r="B9048" s="171">
        <v>-1309.4461457511161</v>
      </c>
    </row>
    <row r="9049" spans="2:2" ht="15.6">
      <c r="B9049" s="171">
        <v>-1091.2874236068055</v>
      </c>
    </row>
    <row r="9050" spans="2:2" ht="15.6">
      <c r="B9050" s="171">
        <v>-1832.4611787455883</v>
      </c>
    </row>
    <row r="9051" spans="2:2" ht="15.6">
      <c r="B9051" s="171">
        <v>-943.49545489366164</v>
      </c>
    </row>
    <row r="9052" spans="2:2" ht="15.6">
      <c r="B9052" s="171">
        <v>-1369.1901079014801</v>
      </c>
    </row>
    <row r="9053" spans="2:2" ht="15.6">
      <c r="B9053" s="171">
        <v>-1469.1943156094112</v>
      </c>
    </row>
    <row r="9054" spans="2:2" ht="15.6">
      <c r="B9054" s="171">
        <v>-1705.7844869889002</v>
      </c>
    </row>
    <row r="9055" spans="2:2" ht="15.6">
      <c r="B9055" s="171">
        <v>-2099.8677855298433</v>
      </c>
    </row>
    <row r="9056" spans="2:2" ht="15.6">
      <c r="B9056" s="171">
        <v>-839.84387094065619</v>
      </c>
    </row>
    <row r="9057" spans="2:2" ht="15.6">
      <c r="B9057" s="171">
        <v>-1763.3153805232828</v>
      </c>
    </row>
    <row r="9058" spans="2:2" ht="15.6">
      <c r="B9058" s="171">
        <v>-1284.7633498822149</v>
      </c>
    </row>
    <row r="9059" spans="2:2" ht="15.6">
      <c r="B9059" s="171">
        <v>-1386.7285028311057</v>
      </c>
    </row>
    <row r="9060" spans="2:2" ht="15.6">
      <c r="B9060" s="171">
        <v>-2552.3609054035724</v>
      </c>
    </row>
    <row r="9061" spans="2:2" ht="15.6">
      <c r="B9061" s="171">
        <v>-1794.962853557679</v>
      </c>
    </row>
    <row r="9062" spans="2:2" ht="15.6">
      <c r="B9062" s="171">
        <v>-1937.8652390766556</v>
      </c>
    </row>
    <row r="9063" spans="2:2" ht="15.6">
      <c r="B9063" s="171">
        <v>-1955.6602842086804</v>
      </c>
    </row>
    <row r="9064" spans="2:2" ht="15.6">
      <c r="B9064" s="171">
        <v>-1918.5418954008514</v>
      </c>
    </row>
    <row r="9065" spans="2:2" ht="15.6">
      <c r="B9065" s="171">
        <v>-2181.1322111562695</v>
      </c>
    </row>
    <row r="9066" spans="2:2" ht="15.6">
      <c r="B9066" s="171">
        <v>-1731.9869425391967</v>
      </c>
    </row>
    <row r="9067" spans="2:2" ht="15.6">
      <c r="B9067" s="171">
        <v>-1864.4011613861367</v>
      </c>
    </row>
    <row r="9068" spans="2:2" ht="15.6">
      <c r="B9068" s="171">
        <v>-1468.0176158145507</v>
      </c>
    </row>
    <row r="9069" spans="2:2" ht="15.6">
      <c r="B9069" s="171">
        <v>-2110.8632571534645</v>
      </c>
    </row>
    <row r="9070" spans="2:2" ht="15.6">
      <c r="B9070" s="171">
        <v>-1022.6686331980221</v>
      </c>
    </row>
    <row r="9071" spans="2:2" ht="15.6">
      <c r="B9071" s="171">
        <v>-1185.4200211580137</v>
      </c>
    </row>
    <row r="9072" spans="2:2" ht="15.6">
      <c r="B9072" s="171">
        <v>-1846.6738512385969</v>
      </c>
    </row>
    <row r="9073" spans="2:2" ht="15.6">
      <c r="B9073" s="171">
        <v>-1305.9508002256712</v>
      </c>
    </row>
    <row r="9074" spans="2:2" ht="15.6">
      <c r="B9074" s="171">
        <v>-2218.15648271071</v>
      </c>
    </row>
    <row r="9075" spans="2:2" ht="15.6">
      <c r="B9075" s="171">
        <v>-2082.2148669177031</v>
      </c>
    </row>
    <row r="9076" spans="2:2" ht="15.6">
      <c r="B9076" s="171">
        <v>-1995.1810492788595</v>
      </c>
    </row>
    <row r="9077" spans="2:2" ht="15.6">
      <c r="B9077" s="171">
        <v>-1731.1826344824058</v>
      </c>
    </row>
    <row r="9078" spans="2:2" ht="15.6">
      <c r="B9078" s="171">
        <v>-1350.0389837503217</v>
      </c>
    </row>
    <row r="9079" spans="2:2" ht="15.6">
      <c r="B9079" s="171">
        <v>-2050.9942493042272</v>
      </c>
    </row>
    <row r="9080" spans="2:2" ht="15.6">
      <c r="B9080" s="171">
        <v>-1113.8195601022414</v>
      </c>
    </row>
    <row r="9081" spans="2:2" ht="15.6">
      <c r="B9081" s="171">
        <v>-1372.3481854638492</v>
      </c>
    </row>
    <row r="9082" spans="2:2" ht="15.6">
      <c r="B9082" s="171">
        <v>-1733.2928291785768</v>
      </c>
    </row>
    <row r="9083" spans="2:2" ht="15.6">
      <c r="B9083" s="171">
        <v>-1763.4508308141892</v>
      </c>
    </row>
    <row r="9084" spans="2:2" ht="15.6">
      <c r="B9084" s="171">
        <v>-1613.0797398470427</v>
      </c>
    </row>
    <row r="9085" spans="2:2" ht="15.6">
      <c r="B9085" s="171">
        <v>-2111.9212948384938</v>
      </c>
    </row>
    <row r="9086" spans="2:2" ht="15.6">
      <c r="B9086" s="171">
        <v>-1550.8554573188355</v>
      </c>
    </row>
    <row r="9087" spans="2:2" ht="15.6">
      <c r="B9087" s="171">
        <v>-969.02727467865645</v>
      </c>
    </row>
    <row r="9088" spans="2:2" ht="15.6">
      <c r="B9088" s="171">
        <v>-1418.7866599616361</v>
      </c>
    </row>
    <row r="9089" spans="2:2" ht="15.6">
      <c r="B9089" s="171">
        <v>-1700.8715589009576</v>
      </c>
    </row>
    <row r="9090" spans="2:2" ht="15.6">
      <c r="B9090" s="171">
        <v>-1797.2476889698642</v>
      </c>
    </row>
    <row r="9091" spans="2:2" ht="15.6">
      <c r="B9091" s="171">
        <v>-1578.4913553003464</v>
      </c>
    </row>
    <row r="9092" spans="2:2" ht="15.6">
      <c r="B9092" s="171">
        <v>-1349.5921258703818</v>
      </c>
    </row>
    <row r="9093" spans="2:2" ht="15.6">
      <c r="B9093" s="171">
        <v>-1952.3340458946523</v>
      </c>
    </row>
    <row r="9094" spans="2:2" ht="15.6">
      <c r="B9094" s="171">
        <v>-1656.1774575874297</v>
      </c>
    </row>
    <row r="9095" spans="2:2" ht="15.6">
      <c r="B9095" s="171">
        <v>-1308.6211683802317</v>
      </c>
    </row>
    <row r="9096" spans="2:2" ht="15.6">
      <c r="B9096" s="171">
        <v>-1878.5305296405822</v>
      </c>
    </row>
    <row r="9097" spans="2:2" ht="15.6">
      <c r="B9097" s="171">
        <v>-1533.7641777440801</v>
      </c>
    </row>
    <row r="9098" spans="2:2" ht="15.6">
      <c r="B9098" s="171">
        <v>-1687.6735576041699</v>
      </c>
    </row>
    <row r="9099" spans="2:2" ht="15.6">
      <c r="B9099" s="171">
        <v>-1735.4039210118081</v>
      </c>
    </row>
    <row r="9100" spans="2:2" ht="15.6">
      <c r="B9100" s="171">
        <v>-1000.3583363667169</v>
      </c>
    </row>
    <row r="9101" spans="2:2" ht="15.6">
      <c r="B9101" s="171">
        <v>-1532.8775950258114</v>
      </c>
    </row>
    <row r="9102" spans="2:2" ht="15.6">
      <c r="B9102" s="171">
        <v>-1593.5297450796054</v>
      </c>
    </row>
    <row r="9103" spans="2:2" ht="15.6">
      <c r="B9103" s="171">
        <v>-1800.6992619187863</v>
      </c>
    </row>
    <row r="9104" spans="2:2" ht="15.6">
      <c r="B9104" s="171">
        <v>-1603.8720232904072</v>
      </c>
    </row>
    <row r="9105" spans="2:2" ht="15.6">
      <c r="B9105" s="171">
        <v>-2613.1774895928957</v>
      </c>
    </row>
    <row r="9106" spans="2:2" ht="15.6">
      <c r="B9106" s="171">
        <v>-1874.8941107136241</v>
      </c>
    </row>
    <row r="9107" spans="2:2" ht="15.6">
      <c r="B9107" s="171">
        <v>-1761.0941437617512</v>
      </c>
    </row>
    <row r="9108" spans="2:2" ht="15.6">
      <c r="B9108" s="171">
        <v>-1620.4525626449667</v>
      </c>
    </row>
    <row r="9109" spans="2:2" ht="15.6">
      <c r="B9109" s="171">
        <v>-1959.0676908119599</v>
      </c>
    </row>
    <row r="9110" spans="2:2" ht="15.6">
      <c r="B9110" s="171">
        <v>-1189.688944305019</v>
      </c>
    </row>
    <row r="9111" spans="2:2" ht="15.6">
      <c r="B9111" s="171">
        <v>-1648.1532875696953</v>
      </c>
    </row>
    <row r="9112" spans="2:2" ht="15.6">
      <c r="B9112" s="171">
        <v>-1087.257196953939</v>
      </c>
    </row>
    <row r="9113" spans="2:2" ht="15.6">
      <c r="B9113" s="171">
        <v>-1194.4476554226171</v>
      </c>
    </row>
    <row r="9114" spans="2:2" ht="15.6">
      <c r="B9114" s="171">
        <v>-1973.2783761903108</v>
      </c>
    </row>
    <row r="9115" spans="2:2" ht="15.6">
      <c r="B9115" s="171">
        <v>-1566.7822902706878</v>
      </c>
    </row>
    <row r="9116" spans="2:2" ht="15.6">
      <c r="B9116" s="171">
        <v>-1934.7580170521696</v>
      </c>
    </row>
    <row r="9117" spans="2:2" ht="15.6">
      <c r="B9117" s="171">
        <v>-1544.2243713422322</v>
      </c>
    </row>
    <row r="9118" spans="2:2" ht="15.6">
      <c r="B9118" s="171">
        <v>-402.79308436304058</v>
      </c>
    </row>
    <row r="9119" spans="2:2" ht="15.6">
      <c r="B9119" s="171">
        <v>-2242.7123310301472</v>
      </c>
    </row>
    <row r="9120" spans="2:2" ht="15.6">
      <c r="B9120" s="171">
        <v>-1199.1485821050971</v>
      </c>
    </row>
    <row r="9121" spans="2:2" ht="15.6">
      <c r="B9121" s="171">
        <v>-2005.2911577401519</v>
      </c>
    </row>
    <row r="9122" spans="2:2" ht="15.6">
      <c r="B9122" s="171">
        <v>-1774.4858906809052</v>
      </c>
    </row>
    <row r="9123" spans="2:2" ht="15.6">
      <c r="B9123" s="171">
        <v>-1553.1381989668362</v>
      </c>
    </row>
    <row r="9124" spans="2:2" ht="15.6">
      <c r="B9124" s="171">
        <v>-1421.7984161011532</v>
      </c>
    </row>
    <row r="9125" spans="2:2" ht="15.6">
      <c r="B9125" s="171">
        <v>-2131.6875316393562</v>
      </c>
    </row>
    <row r="9126" spans="2:2" ht="15.6">
      <c r="B9126" s="171">
        <v>-1092.7631794265167</v>
      </c>
    </row>
    <row r="9127" spans="2:2" ht="15.6">
      <c r="B9127" s="171">
        <v>-1585.6814652471196</v>
      </c>
    </row>
    <row r="9128" spans="2:2" ht="15.6">
      <c r="B9128" s="171">
        <v>-1066.5926005457507</v>
      </c>
    </row>
    <row r="9129" spans="2:2" ht="15.6">
      <c r="B9129" s="171">
        <v>-1614.0638595393552</v>
      </c>
    </row>
    <row r="9130" spans="2:2" ht="15.6">
      <c r="B9130" s="171">
        <v>-1822.6754157980797</v>
      </c>
    </row>
    <row r="9131" spans="2:2" ht="15.6">
      <c r="B9131" s="171">
        <v>-1111.9689947079228</v>
      </c>
    </row>
    <row r="9132" spans="2:2" ht="15.6">
      <c r="B9132" s="171">
        <v>-2080.2295231924036</v>
      </c>
    </row>
    <row r="9133" spans="2:2" ht="15.6">
      <c r="B9133" s="171">
        <v>-1645.5953093136493</v>
      </c>
    </row>
    <row r="9134" spans="2:2" ht="15.6">
      <c r="B9134" s="171">
        <v>-1121.3895419969333</v>
      </c>
    </row>
    <row r="9135" spans="2:2" ht="15.6">
      <c r="B9135" s="171">
        <v>-1676.4613295936197</v>
      </c>
    </row>
    <row r="9136" spans="2:2" ht="15.6">
      <c r="B9136" s="171">
        <v>-1367.9248414136198</v>
      </c>
    </row>
    <row r="9137" spans="2:2" ht="15.6">
      <c r="B9137" s="171">
        <v>-1760.8602242739212</v>
      </c>
    </row>
    <row r="9138" spans="2:2" ht="15.6">
      <c r="B9138" s="171">
        <v>-1335.0003291289418</v>
      </c>
    </row>
    <row r="9139" spans="2:2" ht="15.6">
      <c r="B9139" s="171">
        <v>-1067.7797603621575</v>
      </c>
    </row>
    <row r="9140" spans="2:2" ht="15.6">
      <c r="B9140" s="171">
        <v>-634.35488920897831</v>
      </c>
    </row>
    <row r="9141" spans="2:2" ht="15.6">
      <c r="B9141" s="171">
        <v>-1660.4080011207777</v>
      </c>
    </row>
    <row r="9142" spans="2:2" ht="15.6">
      <c r="B9142" s="171">
        <v>-1474.5332977934263</v>
      </c>
    </row>
    <row r="9143" spans="2:2" ht="15.6">
      <c r="B9143" s="171">
        <v>-1840.5493833333874</v>
      </c>
    </row>
    <row r="9144" spans="2:2" ht="15.6">
      <c r="B9144" s="171">
        <v>-1425.6932490854897</v>
      </c>
    </row>
    <row r="9145" spans="2:2" ht="15.6">
      <c r="B9145" s="171">
        <v>-1348.3258018078932</v>
      </c>
    </row>
    <row r="9146" spans="2:2" ht="15.6">
      <c r="B9146" s="171">
        <v>-967.69129494312585</v>
      </c>
    </row>
    <row r="9147" spans="2:2" ht="15.6">
      <c r="B9147" s="171">
        <v>-931.20490830083327</v>
      </c>
    </row>
    <row r="9148" spans="2:2" ht="15.6">
      <c r="B9148" s="171">
        <v>-1630.7706889495948</v>
      </c>
    </row>
    <row r="9149" spans="2:2" ht="15.6">
      <c r="B9149" s="171">
        <v>-2055.6746613438454</v>
      </c>
    </row>
    <row r="9150" spans="2:2" ht="15.6">
      <c r="B9150" s="171">
        <v>-1924.6787931174895</v>
      </c>
    </row>
    <row r="9151" spans="2:2" ht="15.6">
      <c r="B9151" s="171">
        <v>-1432.9600861415313</v>
      </c>
    </row>
    <row r="9152" spans="2:2" ht="15.6">
      <c r="B9152" s="171">
        <v>-1774.9419726700298</v>
      </c>
    </row>
    <row r="9153" spans="2:2" ht="15.6">
      <c r="B9153" s="171">
        <v>-1746.4214431852538</v>
      </c>
    </row>
    <row r="9154" spans="2:2" ht="15.6">
      <c r="B9154" s="171">
        <v>-2155.5140752869715</v>
      </c>
    </row>
    <row r="9155" spans="2:2" ht="15.6">
      <c r="B9155" s="171">
        <v>-1350.2638172655527</v>
      </c>
    </row>
    <row r="9156" spans="2:2" ht="15.6">
      <c r="B9156" s="171">
        <v>-1836.0725467159411</v>
      </c>
    </row>
    <row r="9157" spans="2:2" ht="15.6">
      <c r="B9157" s="171">
        <v>-1539.6391739729097</v>
      </c>
    </row>
    <row r="9158" spans="2:2" ht="15.6">
      <c r="B9158" s="171">
        <v>-2244.1429975876586</v>
      </c>
    </row>
    <row r="9159" spans="2:2" ht="15.6">
      <c r="B9159" s="171">
        <v>-2340.5714231269012</v>
      </c>
    </row>
    <row r="9160" spans="2:2" ht="15.6">
      <c r="B9160" s="171">
        <v>-1325.9548940194518</v>
      </c>
    </row>
    <row r="9161" spans="2:2" ht="15.6">
      <c r="B9161" s="171">
        <v>-1855.8668762868972</v>
      </c>
    </row>
    <row r="9162" spans="2:2" ht="15.6">
      <c r="B9162" s="171">
        <v>-1304.3901379235824</v>
      </c>
    </row>
    <row r="9163" spans="2:2" ht="15.6">
      <c r="B9163" s="171">
        <v>-1327.976090047905</v>
      </c>
    </row>
    <row r="9164" spans="2:2" ht="15.6">
      <c r="B9164" s="171">
        <v>-1232.9197537772015</v>
      </c>
    </row>
    <row r="9165" spans="2:2" ht="15.6">
      <c r="B9165" s="171">
        <v>-2765.5980272009365</v>
      </c>
    </row>
    <row r="9166" spans="2:2" ht="15.6">
      <c r="B9166" s="171">
        <v>-987.76536533533886</v>
      </c>
    </row>
    <row r="9167" spans="2:2" ht="15.6">
      <c r="B9167" s="171">
        <v>-1217.2917770566989</v>
      </c>
    </row>
    <row r="9168" spans="2:2" ht="15.6">
      <c r="B9168" s="171">
        <v>-1179.4979167274835</v>
      </c>
    </row>
    <row r="9169" spans="2:2" ht="15.6">
      <c r="B9169" s="171">
        <v>-2123.5639226551234</v>
      </c>
    </row>
    <row r="9170" spans="2:2" ht="15.6">
      <c r="B9170" s="171">
        <v>-2129.2324096870871</v>
      </c>
    </row>
    <row r="9171" spans="2:2" ht="15.6">
      <c r="B9171" s="171">
        <v>-1729.508492156707</v>
      </c>
    </row>
    <row r="9172" spans="2:2" ht="15.6">
      <c r="B9172" s="171">
        <v>-1508.161266561566</v>
      </c>
    </row>
    <row r="9173" spans="2:2" ht="15.6">
      <c r="B9173" s="171">
        <v>-1270.2657688689699</v>
      </c>
    </row>
    <row r="9174" spans="2:2" ht="15.6">
      <c r="B9174" s="171">
        <v>-2479.0699597876301</v>
      </c>
    </row>
    <row r="9175" spans="2:2" ht="15.6">
      <c r="B9175" s="171">
        <v>-1806.049330792755</v>
      </c>
    </row>
    <row r="9176" spans="2:2" ht="15.6">
      <c r="B9176" s="171">
        <v>-2818.0545175113084</v>
      </c>
    </row>
    <row r="9177" spans="2:2" ht="15.6">
      <c r="B9177" s="171">
        <v>-1868.8237163727474</v>
      </c>
    </row>
    <row r="9178" spans="2:2" ht="15.6">
      <c r="B9178" s="171">
        <v>-1540.6960640321481</v>
      </c>
    </row>
    <row r="9179" spans="2:2" ht="15.6">
      <c r="B9179" s="171">
        <v>-1327.662842097802</v>
      </c>
    </row>
    <row r="9180" spans="2:2" ht="15.6">
      <c r="B9180" s="171">
        <v>-1904.0807676448435</v>
      </c>
    </row>
    <row r="9181" spans="2:2" ht="15.6">
      <c r="B9181" s="171">
        <v>-2046.7152649588647</v>
      </c>
    </row>
    <row r="9182" spans="2:2" ht="15.6">
      <c r="B9182" s="171">
        <v>-1745.0626671307866</v>
      </c>
    </row>
    <row r="9183" spans="2:2" ht="15.6">
      <c r="B9183" s="171">
        <v>-1845.0905603278059</v>
      </c>
    </row>
    <row r="9184" spans="2:2" ht="15.6">
      <c r="B9184" s="171">
        <v>-1313.6611541333959</v>
      </c>
    </row>
    <row r="9185" spans="2:2" ht="15.6">
      <c r="B9185" s="171">
        <v>-1139.5271148121094</v>
      </c>
    </row>
    <row r="9186" spans="2:2" ht="15.6">
      <c r="B9186" s="171">
        <v>-1421.5671681442686</v>
      </c>
    </row>
    <row r="9187" spans="2:2" ht="15.6">
      <c r="B9187" s="171">
        <v>-2147.7061428411489</v>
      </c>
    </row>
    <row r="9188" spans="2:2" ht="15.6">
      <c r="B9188" s="171">
        <v>-1575.7430584118679</v>
      </c>
    </row>
    <row r="9189" spans="2:2" ht="15.6">
      <c r="B9189" s="171">
        <v>-1518.118369625849</v>
      </c>
    </row>
    <row r="9190" spans="2:2" ht="15.6">
      <c r="B9190" s="171">
        <v>-1988.7058793452579</v>
      </c>
    </row>
    <row r="9191" spans="2:2" ht="15.6">
      <c r="B9191" s="171">
        <v>-1182.2680311391271</v>
      </c>
    </row>
    <row r="9192" spans="2:2" ht="15.6">
      <c r="B9192" s="171">
        <v>-1734.338733099768</v>
      </c>
    </row>
    <row r="9193" spans="2:2" ht="15.6">
      <c r="B9193" s="171">
        <v>-1918.0535701688045</v>
      </c>
    </row>
    <row r="9194" spans="2:2" ht="15.6">
      <c r="B9194" s="171">
        <v>-1382.0043669550696</v>
      </c>
    </row>
    <row r="9195" spans="2:2" ht="15.6">
      <c r="B9195" s="171">
        <v>-1001.3747672053494</v>
      </c>
    </row>
    <row r="9196" spans="2:2" ht="15.6">
      <c r="B9196" s="171">
        <v>-1121.4412777849243</v>
      </c>
    </row>
    <row r="9197" spans="2:2" ht="15.6">
      <c r="B9197" s="171">
        <v>-1280.4029834467106</v>
      </c>
    </row>
    <row r="9198" spans="2:2" ht="15.6">
      <c r="B9198" s="171">
        <v>-1178.5823412437778</v>
      </c>
    </row>
    <row r="9199" spans="2:2" ht="15.6">
      <c r="B9199" s="171">
        <v>-1760.2524636248168</v>
      </c>
    </row>
    <row r="9200" spans="2:2" ht="15.6">
      <c r="B9200" s="171">
        <v>-1537.1278385026469</v>
      </c>
    </row>
    <row r="9201" spans="2:2" ht="15.6">
      <c r="B9201" s="171">
        <v>-882.3973283650414</v>
      </c>
    </row>
    <row r="9202" spans="2:2" ht="15.6">
      <c r="B9202" s="171">
        <v>-1648.883073806355</v>
      </c>
    </row>
    <row r="9203" spans="2:2" ht="15.6">
      <c r="B9203" s="171">
        <v>-1384.1368297437948</v>
      </c>
    </row>
    <row r="9204" spans="2:2" ht="15.6">
      <c r="B9204" s="171">
        <v>-751.36473748962078</v>
      </c>
    </row>
    <row r="9205" spans="2:2" ht="15.6">
      <c r="B9205" s="171">
        <v>-2012.3804176214944</v>
      </c>
    </row>
    <row r="9206" spans="2:2" ht="15.6">
      <c r="B9206" s="171">
        <v>-1925.4996947106292</v>
      </c>
    </row>
    <row r="9207" spans="2:2" ht="15.6">
      <c r="B9207" s="171">
        <v>-974.08296817115752</v>
      </c>
    </row>
    <row r="9208" spans="2:2" ht="15.6">
      <c r="B9208" s="171">
        <v>-1365.9001084075624</v>
      </c>
    </row>
    <row r="9209" spans="2:2" ht="15.6">
      <c r="B9209" s="171">
        <v>-1058.4805420569255</v>
      </c>
    </row>
    <row r="9210" spans="2:2" ht="15.6">
      <c r="B9210" s="171">
        <v>-1967.0584241824888</v>
      </c>
    </row>
    <row r="9211" spans="2:2" ht="15.6">
      <c r="B9211" s="171">
        <v>-1323.8839889362193</v>
      </c>
    </row>
    <row r="9212" spans="2:2" ht="15.6">
      <c r="B9212" s="171">
        <v>-1947.2088273054196</v>
      </c>
    </row>
    <row r="9213" spans="2:2" ht="15.6">
      <c r="B9213" s="171">
        <v>-2114.9128855701106</v>
      </c>
    </row>
    <row r="9214" spans="2:2" ht="15.6">
      <c r="B9214" s="171">
        <v>-1352.767320018665</v>
      </c>
    </row>
    <row r="9215" spans="2:2" ht="15.6">
      <c r="B9215" s="171">
        <v>-1768.9792074229176</v>
      </c>
    </row>
    <row r="9216" spans="2:2" ht="15.6">
      <c r="B9216" s="171">
        <v>-1702.3747832812512</v>
      </c>
    </row>
    <row r="9217" spans="2:2" ht="15.6">
      <c r="B9217" s="171">
        <v>-2702.8101951831118</v>
      </c>
    </row>
    <row r="9218" spans="2:2" ht="15.6">
      <c r="B9218" s="171">
        <v>-1385.1706459820839</v>
      </c>
    </row>
    <row r="9219" spans="2:2" ht="15.6">
      <c r="B9219" s="171">
        <v>-1228.899347222195</v>
      </c>
    </row>
    <row r="9220" spans="2:2" ht="15.6">
      <c r="B9220" s="171">
        <v>-1933.5202312405402</v>
      </c>
    </row>
    <row r="9221" spans="2:2" ht="15.6">
      <c r="B9221" s="171">
        <v>-1313.0904440481534</v>
      </c>
    </row>
    <row r="9222" spans="2:2" ht="15.6">
      <c r="B9222" s="171">
        <v>-1469.955446122457</v>
      </c>
    </row>
    <row r="9223" spans="2:2" ht="15.6">
      <c r="B9223" s="171">
        <v>-1799.3570749779883</v>
      </c>
    </row>
    <row r="9224" spans="2:2" ht="15.6">
      <c r="B9224" s="171">
        <v>-1033.252150757731</v>
      </c>
    </row>
    <row r="9225" spans="2:2" ht="15.6">
      <c r="B9225" s="171">
        <v>-1470.8387310635412</v>
      </c>
    </row>
    <row r="9226" spans="2:2" ht="15.6">
      <c r="B9226" s="171">
        <v>-1617.9011695014822</v>
      </c>
    </row>
    <row r="9227" spans="2:2" ht="15.6">
      <c r="B9227" s="171">
        <v>-1891.1615124900491</v>
      </c>
    </row>
    <row r="9228" spans="2:2" ht="15.6">
      <c r="B9228" s="171">
        <v>-1103.8996671349253</v>
      </c>
    </row>
    <row r="9229" spans="2:2" ht="15.6">
      <c r="B9229" s="171">
        <v>-1407.2838113234614</v>
      </c>
    </row>
    <row r="9230" spans="2:2" ht="15.6">
      <c r="B9230" s="171">
        <v>-1152.6611048979826</v>
      </c>
    </row>
    <row r="9231" spans="2:2" ht="15.6">
      <c r="B9231" s="171">
        <v>-2055.8254370284835</v>
      </c>
    </row>
    <row r="9232" spans="2:2" ht="15.6">
      <c r="B9232" s="171">
        <v>-1599.3088916846341</v>
      </c>
    </row>
    <row r="9233" spans="2:2" ht="15.6">
      <c r="B9233" s="171">
        <v>-2177.5846768721112</v>
      </c>
    </row>
    <row r="9234" spans="2:2" ht="15.6">
      <c r="B9234" s="171">
        <v>-1602.6111549429154</v>
      </c>
    </row>
    <row r="9235" spans="2:2" ht="15.6">
      <c r="B9235" s="171">
        <v>-1279.0719179274811</v>
      </c>
    </row>
    <row r="9236" spans="2:2" ht="15.6">
      <c r="B9236" s="171">
        <v>-1571.5792541525068</v>
      </c>
    </row>
    <row r="9237" spans="2:2" ht="15.6">
      <c r="B9237" s="171">
        <v>-1615.0254713322015</v>
      </c>
    </row>
    <row r="9238" spans="2:2" ht="15.6">
      <c r="B9238" s="171">
        <v>-1614.5733337982429</v>
      </c>
    </row>
    <row r="9239" spans="2:2" ht="15.6">
      <c r="B9239" s="171">
        <v>-1975.0493942954142</v>
      </c>
    </row>
    <row r="9240" spans="2:2" ht="15.6">
      <c r="B9240" s="171">
        <v>-1180.9503004187541</v>
      </c>
    </row>
    <row r="9241" spans="2:2" ht="15.6">
      <c r="B9241" s="171">
        <v>-2186.6897329830999</v>
      </c>
    </row>
    <row r="9242" spans="2:2" ht="15.6">
      <c r="B9242" s="171">
        <v>-1434.7949328926429</v>
      </c>
    </row>
    <row r="9243" spans="2:2" ht="15.6">
      <c r="B9243" s="171">
        <v>-1875.3189814498398</v>
      </c>
    </row>
    <row r="9244" spans="2:2" ht="15.6">
      <c r="B9244" s="171">
        <v>-1290.7649500887899</v>
      </c>
    </row>
    <row r="9245" spans="2:2" ht="15.6">
      <c r="B9245" s="171">
        <v>-1917.5897669148394</v>
      </c>
    </row>
    <row r="9246" spans="2:2" ht="15.6">
      <c r="B9246" s="171">
        <v>-2223.3173980538804</v>
      </c>
    </row>
    <row r="9247" spans="2:2" ht="15.6">
      <c r="B9247" s="171">
        <v>-1423.5540796218847</v>
      </c>
    </row>
    <row r="9248" spans="2:2" ht="15.6">
      <c r="B9248" s="171">
        <v>-1162.1618987407724</v>
      </c>
    </row>
    <row r="9249" spans="2:2" ht="15.6">
      <c r="B9249" s="171">
        <v>-1939.3538411336015</v>
      </c>
    </row>
    <row r="9250" spans="2:2" ht="15.6">
      <c r="B9250" s="171">
        <v>-1120.5914269743457</v>
      </c>
    </row>
    <row r="9251" spans="2:2" ht="15.6">
      <c r="B9251" s="171">
        <v>-2109.3648646655265</v>
      </c>
    </row>
    <row r="9252" spans="2:2" ht="15.6">
      <c r="B9252" s="171">
        <v>-1173.7471787553313</v>
      </c>
    </row>
    <row r="9253" spans="2:2" ht="15.6">
      <c r="B9253" s="171">
        <v>-2241.6144260399278</v>
      </c>
    </row>
    <row r="9254" spans="2:2" ht="15.6">
      <c r="B9254" s="171">
        <v>-2020.1317159186729</v>
      </c>
    </row>
    <row r="9255" spans="2:2" ht="15.6">
      <c r="B9255" s="171">
        <v>-1084.7066785799307</v>
      </c>
    </row>
    <row r="9256" spans="2:2" ht="15.6">
      <c r="B9256" s="171">
        <v>-1731.1146066091492</v>
      </c>
    </row>
    <row r="9257" spans="2:2" ht="15.6">
      <c r="B9257" s="171">
        <v>-1754.3542116112546</v>
      </c>
    </row>
    <row r="9258" spans="2:2" ht="15.6">
      <c r="B9258" s="171">
        <v>-1316.9399115590586</v>
      </c>
    </row>
    <row r="9259" spans="2:2" ht="15.6">
      <c r="B9259" s="171">
        <v>-2546.7581817364789</v>
      </c>
    </row>
    <row r="9260" spans="2:2" ht="15.6">
      <c r="B9260" s="171">
        <v>-1089.5050838624079</v>
      </c>
    </row>
    <row r="9261" spans="2:2" ht="15.6">
      <c r="B9261" s="171">
        <v>-1703.6811212690993</v>
      </c>
    </row>
    <row r="9262" spans="2:2" ht="15.6">
      <c r="B9262" s="171">
        <v>-1389.3162921077544</v>
      </c>
    </row>
    <row r="9263" spans="2:2" ht="15.6">
      <c r="B9263" s="171">
        <v>-1238.7056903994196</v>
      </c>
    </row>
    <row r="9264" spans="2:2" ht="15.6">
      <c r="B9264" s="171">
        <v>-1855.8399519919981</v>
      </c>
    </row>
    <row r="9265" spans="2:2" ht="15.6">
      <c r="B9265" s="171">
        <v>-1956.9270843694458</v>
      </c>
    </row>
    <row r="9266" spans="2:2" ht="15.6">
      <c r="B9266" s="171">
        <v>-1979.2451378579237</v>
      </c>
    </row>
    <row r="9267" spans="2:2" ht="15.6">
      <c r="B9267" s="171">
        <v>-1770.6554395613384</v>
      </c>
    </row>
    <row r="9268" spans="2:2" ht="15.6">
      <c r="B9268" s="171">
        <v>-1522.6963554472416</v>
      </c>
    </row>
    <row r="9269" spans="2:2" ht="15.6">
      <c r="B9269" s="171">
        <v>-1852.5051822118203</v>
      </c>
    </row>
    <row r="9270" spans="2:2" ht="15.6">
      <c r="B9270" s="171">
        <v>-1343.8237531693439</v>
      </c>
    </row>
    <row r="9271" spans="2:2" ht="15.6">
      <c r="B9271" s="171">
        <v>-1852.3165443982641</v>
      </c>
    </row>
    <row r="9272" spans="2:2" ht="15.6">
      <c r="B9272" s="171">
        <v>-610.07261827100683</v>
      </c>
    </row>
    <row r="9273" spans="2:2" ht="15.6">
      <c r="B9273" s="171">
        <v>-2029.1010548716195</v>
      </c>
    </row>
    <row r="9274" spans="2:2" ht="15.6">
      <c r="B9274" s="171">
        <v>-1264.3736071044466</v>
      </c>
    </row>
    <row r="9275" spans="2:2" ht="15.6">
      <c r="B9275" s="171">
        <v>-2120.433998794033</v>
      </c>
    </row>
    <row r="9276" spans="2:2" ht="15.6">
      <c r="B9276" s="171">
        <v>-1680.7877656207802</v>
      </c>
    </row>
    <row r="9277" spans="2:2" ht="15.6">
      <c r="B9277" s="171">
        <v>-1219.3352004258275</v>
      </c>
    </row>
    <row r="9278" spans="2:2" ht="15.6">
      <c r="B9278" s="171">
        <v>-1542.6534586447742</v>
      </c>
    </row>
    <row r="9279" spans="2:2" ht="15.6">
      <c r="B9279" s="171">
        <v>-1874.6500019401633</v>
      </c>
    </row>
    <row r="9280" spans="2:2" ht="15.6">
      <c r="B9280" s="171">
        <v>-1524.0515513235505</v>
      </c>
    </row>
    <row r="9281" spans="2:2" ht="15.6">
      <c r="B9281" s="171">
        <v>-1364.5650470154701</v>
      </c>
    </row>
    <row r="9282" spans="2:2" ht="15.6">
      <c r="B9282" s="171">
        <v>-763.22056400288989</v>
      </c>
    </row>
    <row r="9283" spans="2:2" ht="15.6">
      <c r="B9283" s="171">
        <v>-905.20140219650045</v>
      </c>
    </row>
    <row r="9284" spans="2:2" ht="15.6">
      <c r="B9284" s="171">
        <v>-1615.1393939605923</v>
      </c>
    </row>
    <row r="9285" spans="2:2" ht="15.6">
      <c r="B9285" s="171">
        <v>-826.79468079367382</v>
      </c>
    </row>
    <row r="9286" spans="2:2" ht="15.6">
      <c r="B9286" s="171">
        <v>-1141.5558807221391</v>
      </c>
    </row>
    <row r="9287" spans="2:2" ht="15.6">
      <c r="B9287" s="171">
        <v>-1509.2406807444704</v>
      </c>
    </row>
    <row r="9288" spans="2:2" ht="15.6">
      <c r="B9288" s="171">
        <v>-1669.5220899043829</v>
      </c>
    </row>
    <row r="9289" spans="2:2" ht="15.6">
      <c r="B9289" s="171">
        <v>-2040.4766657799596</v>
      </c>
    </row>
    <row r="9290" spans="2:2" ht="15.6">
      <c r="B9290" s="171">
        <v>-1083.1326126436566</v>
      </c>
    </row>
    <row r="9291" spans="2:2" ht="15.6">
      <c r="B9291" s="171">
        <v>-1788.9082298154842</v>
      </c>
    </row>
    <row r="9292" spans="2:2" ht="15.6">
      <c r="B9292" s="171">
        <v>-1932.61266234713</v>
      </c>
    </row>
    <row r="9293" spans="2:2" ht="15.6">
      <c r="B9293" s="171">
        <v>-1237.795723572206</v>
      </c>
    </row>
    <row r="9294" spans="2:2" ht="15.6">
      <c r="B9294" s="171">
        <v>-1930.9353948525645</v>
      </c>
    </row>
    <row r="9295" spans="2:2" ht="15.6">
      <c r="B9295" s="171">
        <v>-1652.5071488357571</v>
      </c>
    </row>
    <row r="9296" spans="2:2" ht="15.6">
      <c r="B9296" s="171">
        <v>-1178.9326209428627</v>
      </c>
    </row>
    <row r="9297" spans="2:2" ht="15.6">
      <c r="B9297" s="171">
        <v>-2293.3243696351878</v>
      </c>
    </row>
    <row r="9298" spans="2:2" ht="15.6">
      <c r="B9298" s="171">
        <v>-1104.6888511833654</v>
      </c>
    </row>
    <row r="9299" spans="2:2" ht="15.6">
      <c r="B9299" s="171">
        <v>-1832.7341862069179</v>
      </c>
    </row>
    <row r="9300" spans="2:2" ht="15.6">
      <c r="B9300" s="171">
        <v>-976.8022137631217</v>
      </c>
    </row>
    <row r="9301" spans="2:2" ht="15.6">
      <c r="B9301" s="171">
        <v>-1388.0291130097805</v>
      </c>
    </row>
    <row r="9302" spans="2:2" ht="15.6">
      <c r="B9302" s="171">
        <v>-1571.881965653627</v>
      </c>
    </row>
    <row r="9303" spans="2:2" ht="15.6">
      <c r="B9303" s="171">
        <v>-1429.6025757321083</v>
      </c>
    </row>
    <row r="9304" spans="2:2" ht="15.6">
      <c r="B9304" s="171">
        <v>-1520.5085919065082</v>
      </c>
    </row>
    <row r="9305" spans="2:2" ht="15.6">
      <c r="B9305" s="171">
        <v>-972.62155911483433</v>
      </c>
    </row>
    <row r="9306" spans="2:2" ht="15.6">
      <c r="B9306" s="171">
        <v>-1452.773918911467</v>
      </c>
    </row>
    <row r="9307" spans="2:2" ht="15.6">
      <c r="B9307" s="171">
        <v>-1482.9589911619241</v>
      </c>
    </row>
    <row r="9308" spans="2:2" ht="15.6">
      <c r="B9308" s="171">
        <v>-2028.9137692116733</v>
      </c>
    </row>
    <row r="9309" spans="2:2" ht="15.6">
      <c r="B9309" s="171">
        <v>-1741.718481551748</v>
      </c>
    </row>
    <row r="9310" spans="2:2" ht="15.6">
      <c r="B9310" s="171">
        <v>-1395.2934519133253</v>
      </c>
    </row>
    <row r="9311" spans="2:2" ht="15.6">
      <c r="B9311" s="171">
        <v>-1780.2380332294595</v>
      </c>
    </row>
    <row r="9312" spans="2:2" ht="15.6">
      <c r="B9312" s="171">
        <v>-2180.7970892388057</v>
      </c>
    </row>
    <row r="9313" spans="2:2" ht="15.6">
      <c r="B9313" s="171">
        <v>-1388.3286743294238</v>
      </c>
    </row>
    <row r="9314" spans="2:2" ht="15.6">
      <c r="B9314" s="171">
        <v>-2241.8508953333862</v>
      </c>
    </row>
    <row r="9315" spans="2:2" ht="15.6">
      <c r="B9315" s="171">
        <v>-2308.9650788297517</v>
      </c>
    </row>
    <row r="9316" spans="2:2" ht="15.6">
      <c r="B9316" s="171">
        <v>-1617.3463904826208</v>
      </c>
    </row>
    <row r="9317" spans="2:2" ht="15.6">
      <c r="B9317" s="171">
        <v>-714.45077881426482</v>
      </c>
    </row>
    <row r="9318" spans="2:2" ht="15.6">
      <c r="B9318" s="171">
        <v>-1617.1548079148124</v>
      </c>
    </row>
    <row r="9319" spans="2:2" ht="15.6">
      <c r="B9319" s="171">
        <v>-1683.1168318781124</v>
      </c>
    </row>
    <row r="9320" spans="2:2" ht="15.6">
      <c r="B9320" s="171">
        <v>-1444.0286362710506</v>
      </c>
    </row>
    <row r="9321" spans="2:2" ht="15.6">
      <c r="B9321" s="171">
        <v>-1821.8867480849035</v>
      </c>
    </row>
    <row r="9322" spans="2:2" ht="15.6">
      <c r="B9322" s="171">
        <v>-879.9501172329667</v>
      </c>
    </row>
    <row r="9323" spans="2:2" ht="15.6">
      <c r="B9323" s="171">
        <v>-2383.330466973669</v>
      </c>
    </row>
    <row r="9324" spans="2:2" ht="15.6">
      <c r="B9324" s="171">
        <v>-1678.4377440048063</v>
      </c>
    </row>
    <row r="9325" spans="2:2" ht="15.6">
      <c r="B9325" s="171">
        <v>-1072.4916717439562</v>
      </c>
    </row>
    <row r="9326" spans="2:2" ht="15.6">
      <c r="B9326" s="171">
        <v>-1577.718266301973</v>
      </c>
    </row>
    <row r="9327" spans="2:2" ht="15.6">
      <c r="B9327" s="171">
        <v>-1009.2452237962456</v>
      </c>
    </row>
    <row r="9328" spans="2:2" ht="15.6">
      <c r="B9328" s="171">
        <v>-1445.5883368404761</v>
      </c>
    </row>
    <row r="9329" spans="2:2" ht="15.6">
      <c r="B9329" s="171">
        <v>-1343.6809049673802</v>
      </c>
    </row>
    <row r="9330" spans="2:2" ht="15.6">
      <c r="B9330" s="171">
        <v>-1591.7563991370221</v>
      </c>
    </row>
    <row r="9331" spans="2:2" ht="15.6">
      <c r="B9331" s="171">
        <v>-1711.6036758001326</v>
      </c>
    </row>
    <row r="9332" spans="2:2" ht="15.6">
      <c r="B9332" s="171">
        <v>-1620.6445158688389</v>
      </c>
    </row>
    <row r="9333" spans="2:2" ht="15.6">
      <c r="B9333" s="171">
        <v>-1339.7247261455393</v>
      </c>
    </row>
    <row r="9334" spans="2:2" ht="15.6">
      <c r="B9334" s="171">
        <v>-1139.5672434100868</v>
      </c>
    </row>
    <row r="9335" spans="2:2" ht="15.6">
      <c r="B9335" s="171">
        <v>-2325.2605665413748</v>
      </c>
    </row>
    <row r="9336" spans="2:2" ht="15.6">
      <c r="B9336" s="171">
        <v>-1271.3535694142051</v>
      </c>
    </row>
    <row r="9337" spans="2:2" ht="15.6">
      <c r="B9337" s="171">
        <v>-1585.4272026354784</v>
      </c>
    </row>
    <row r="9338" spans="2:2" ht="15.6">
      <c r="B9338" s="171">
        <v>-1510.7042018441866</v>
      </c>
    </row>
    <row r="9339" spans="2:2" ht="15.6">
      <c r="B9339" s="171">
        <v>-1149.7291714151459</v>
      </c>
    </row>
    <row r="9340" spans="2:2" ht="15.6">
      <c r="B9340" s="171">
        <v>-1724.6659374828791</v>
      </c>
    </row>
    <row r="9341" spans="2:2" ht="15.6">
      <c r="B9341" s="171">
        <v>-2039.6860166874567</v>
      </c>
    </row>
    <row r="9342" spans="2:2" ht="15.6">
      <c r="B9342" s="171">
        <v>-1930.5443129813664</v>
      </c>
    </row>
    <row r="9343" spans="2:2" ht="15.6">
      <c r="B9343" s="171">
        <v>-1574.3877921416465</v>
      </c>
    </row>
    <row r="9344" spans="2:2" ht="15.6">
      <c r="B9344" s="171">
        <v>-1510.3307813833649</v>
      </c>
    </row>
    <row r="9345" spans="2:2" ht="15.6">
      <c r="B9345" s="171">
        <v>-1477.3638424998608</v>
      </c>
    </row>
    <row r="9346" spans="2:2" ht="15.6">
      <c r="B9346" s="171">
        <v>-1590.0829575896341</v>
      </c>
    </row>
    <row r="9347" spans="2:2" ht="15.6">
      <c r="B9347" s="171">
        <v>-1346.2832531331219</v>
      </c>
    </row>
    <row r="9348" spans="2:2" ht="15.6">
      <c r="B9348" s="171">
        <v>-1845.2030798617607</v>
      </c>
    </row>
    <row r="9349" spans="2:2" ht="15.6">
      <c r="B9349" s="171">
        <v>-1303.5527418197762</v>
      </c>
    </row>
    <row r="9350" spans="2:2" ht="15.6">
      <c r="B9350" s="171">
        <v>-1973.0185845037422</v>
      </c>
    </row>
    <row r="9351" spans="2:2" ht="15.6">
      <c r="B9351" s="171">
        <v>-1632.0525545761836</v>
      </c>
    </row>
    <row r="9352" spans="2:2" ht="15.6">
      <c r="B9352" s="171">
        <v>-1370.9133581894973</v>
      </c>
    </row>
    <row r="9353" spans="2:2" ht="15.6">
      <c r="B9353" s="171">
        <v>-1920.1505882282922</v>
      </c>
    </row>
    <row r="9354" spans="2:2" ht="15.6">
      <c r="B9354" s="171">
        <v>-1513.0662625633654</v>
      </c>
    </row>
    <row r="9355" spans="2:2" ht="15.6">
      <c r="B9355" s="171">
        <v>-1380.5204334540163</v>
      </c>
    </row>
    <row r="9356" spans="2:2" ht="15.6">
      <c r="B9356" s="171">
        <v>-1845.1664963605876</v>
      </c>
    </row>
    <row r="9357" spans="2:2" ht="15.6">
      <c r="B9357" s="171">
        <v>-1942.2200386067314</v>
      </c>
    </row>
    <row r="9358" spans="2:2" ht="15.6">
      <c r="B9358" s="171">
        <v>-1420.1232609933777</v>
      </c>
    </row>
    <row r="9359" spans="2:2" ht="15.6">
      <c r="B9359" s="171">
        <v>-2116.9698007069883</v>
      </c>
    </row>
    <row r="9360" spans="2:2" ht="15.6">
      <c r="B9360" s="171">
        <v>-2175.0563742796994</v>
      </c>
    </row>
    <row r="9361" spans="2:2" ht="15.6">
      <c r="B9361" s="171">
        <v>-1608.7730529326145</v>
      </c>
    </row>
    <row r="9362" spans="2:2" ht="15.6">
      <c r="B9362" s="171">
        <v>-1765.5240886869092</v>
      </c>
    </row>
    <row r="9363" spans="2:2" ht="15.6">
      <c r="B9363" s="171">
        <v>-1394.8980976971725</v>
      </c>
    </row>
    <row r="9364" spans="2:2" ht="15.6">
      <c r="B9364" s="171">
        <v>-969.53188779595132</v>
      </c>
    </row>
    <row r="9365" spans="2:2" ht="15.6">
      <c r="B9365" s="171">
        <v>-1598.7678391097988</v>
      </c>
    </row>
    <row r="9366" spans="2:2" ht="15.6">
      <c r="B9366" s="171">
        <v>-1771.5944042766855</v>
      </c>
    </row>
    <row r="9367" spans="2:2" ht="15.6">
      <c r="B9367" s="171">
        <v>-1608.1781429778521</v>
      </c>
    </row>
    <row r="9368" spans="2:2" ht="15.6">
      <c r="B9368" s="171">
        <v>-1134.8516530902421</v>
      </c>
    </row>
    <row r="9369" spans="2:2" ht="15.6">
      <c r="B9369" s="171">
        <v>-949.84067667483896</v>
      </c>
    </row>
    <row r="9370" spans="2:2" ht="15.6">
      <c r="B9370" s="171">
        <v>-2345.2088618261268</v>
      </c>
    </row>
    <row r="9371" spans="2:2" ht="15.6">
      <c r="B9371" s="171">
        <v>-1802.2749503400134</v>
      </c>
    </row>
    <row r="9372" spans="2:2" ht="15.6">
      <c r="B9372" s="171">
        <v>-2533.1512644700015</v>
      </c>
    </row>
    <row r="9373" spans="2:2" ht="15.6">
      <c r="B9373" s="171">
        <v>-1062.6295140267196</v>
      </c>
    </row>
    <row r="9374" spans="2:2" ht="15.6">
      <c r="B9374" s="171">
        <v>-2129.5098782477448</v>
      </c>
    </row>
    <row r="9375" spans="2:2" ht="15.6">
      <c r="B9375" s="171">
        <v>-2274.0054100422744</v>
      </c>
    </row>
    <row r="9376" spans="2:2" ht="15.6">
      <c r="B9376" s="171">
        <v>-1615.1837027472352</v>
      </c>
    </row>
    <row r="9377" spans="2:2" ht="15.6">
      <c r="B9377" s="171">
        <v>-1836.2638593247598</v>
      </c>
    </row>
    <row r="9378" spans="2:2" ht="15.6">
      <c r="B9378" s="171">
        <v>-1468.280853999408</v>
      </c>
    </row>
    <row r="9379" spans="2:2" ht="15.6">
      <c r="B9379" s="171">
        <v>-1279.9408384061239</v>
      </c>
    </row>
    <row r="9380" spans="2:2" ht="15.6">
      <c r="B9380" s="171">
        <v>-1644.2358834998745</v>
      </c>
    </row>
    <row r="9381" spans="2:2" ht="15.6">
      <c r="B9381" s="171">
        <v>-2000.4297739544636</v>
      </c>
    </row>
    <row r="9382" spans="2:2" ht="15.6">
      <c r="B9382" s="171">
        <v>-1788.7202361500053</v>
      </c>
    </row>
    <row r="9383" spans="2:2" ht="15.6">
      <c r="B9383" s="171">
        <v>-2034.1582918528479</v>
      </c>
    </row>
    <row r="9384" spans="2:2" ht="15.6">
      <c r="B9384" s="171">
        <v>-1509.0043757445617</v>
      </c>
    </row>
    <row r="9385" spans="2:2" ht="15.6">
      <c r="B9385" s="171">
        <v>-1536.1209588056438</v>
      </c>
    </row>
    <row r="9386" spans="2:2" ht="15.6">
      <c r="B9386" s="171">
        <v>-1131.5070873798143</v>
      </c>
    </row>
    <row r="9387" spans="2:2" ht="15.6">
      <c r="B9387" s="171">
        <v>-2038.5529331883254</v>
      </c>
    </row>
    <row r="9388" spans="2:2" ht="15.6">
      <c r="B9388" s="171">
        <v>-1308.7257274886388</v>
      </c>
    </row>
    <row r="9389" spans="2:2" ht="15.6">
      <c r="B9389" s="171">
        <v>-1051.9865850013734</v>
      </c>
    </row>
    <row r="9390" spans="2:2" ht="15.6">
      <c r="B9390" s="171">
        <v>-1182.2677198424749</v>
      </c>
    </row>
    <row r="9391" spans="2:2" ht="15.6">
      <c r="B9391" s="171">
        <v>-1324.1747552434442</v>
      </c>
    </row>
    <row r="9392" spans="2:2" ht="15.6">
      <c r="B9392" s="171">
        <v>-2342.7914007970035</v>
      </c>
    </row>
    <row r="9393" spans="2:2" ht="15.6">
      <c r="B9393" s="171">
        <v>-1900.688307989398</v>
      </c>
    </row>
    <row r="9394" spans="2:2" ht="15.6">
      <c r="B9394" s="171">
        <v>-1667.2673964201947</v>
      </c>
    </row>
    <row r="9395" spans="2:2" ht="15.6">
      <c r="B9395" s="171">
        <v>-1243.7054696998796</v>
      </c>
    </row>
    <row r="9396" spans="2:2" ht="15.6">
      <c r="B9396" s="171">
        <v>-1747.8157334724183</v>
      </c>
    </row>
    <row r="9397" spans="2:2" ht="15.6">
      <c r="B9397" s="171">
        <v>-928.2042822643823</v>
      </c>
    </row>
    <row r="9398" spans="2:2" ht="15.6">
      <c r="B9398" s="171">
        <v>-2074.4083858310696</v>
      </c>
    </row>
    <row r="9399" spans="2:2" ht="15.6">
      <c r="B9399" s="171">
        <v>-1868.9853823174815</v>
      </c>
    </row>
    <row r="9400" spans="2:2" ht="15.6">
      <c r="B9400" s="171">
        <v>-481.4267690040345</v>
      </c>
    </row>
    <row r="9401" spans="2:2" ht="15.6">
      <c r="B9401" s="171">
        <v>-1833.2301462958796</v>
      </c>
    </row>
    <row r="9402" spans="2:2" ht="15.6">
      <c r="B9402" s="171">
        <v>-1940.4212393515468</v>
      </c>
    </row>
    <row r="9403" spans="2:2" ht="15.6">
      <c r="B9403" s="171">
        <v>-1370.4732215983156</v>
      </c>
    </row>
    <row r="9404" spans="2:2" ht="15.6">
      <c r="B9404" s="171">
        <v>-1407.9686963382619</v>
      </c>
    </row>
    <row r="9405" spans="2:2" ht="15.6">
      <c r="B9405" s="171">
        <v>-1133.6132250716585</v>
      </c>
    </row>
    <row r="9406" spans="2:2" ht="15.6">
      <c r="B9406" s="171">
        <v>-1899.6298730929479</v>
      </c>
    </row>
    <row r="9407" spans="2:2" ht="15.6">
      <c r="B9407" s="171">
        <v>-1651.3781054379065</v>
      </c>
    </row>
    <row r="9408" spans="2:2" ht="15.6">
      <c r="B9408" s="171">
        <v>-1615.5046304862312</v>
      </c>
    </row>
    <row r="9409" spans="2:2" ht="15.6">
      <c r="B9409" s="171">
        <v>-1689.7788365054864</v>
      </c>
    </row>
    <row r="9410" spans="2:2" ht="15.6">
      <c r="B9410" s="171">
        <v>-1636.6330639107628</v>
      </c>
    </row>
    <row r="9411" spans="2:2" ht="15.6">
      <c r="B9411" s="171">
        <v>-1890.1184239215577</v>
      </c>
    </row>
    <row r="9412" spans="2:2" ht="15.6">
      <c r="B9412" s="171">
        <v>-1811.7701279606999</v>
      </c>
    </row>
    <row r="9413" spans="2:2" ht="15.6">
      <c r="B9413" s="171">
        <v>-2202.1859297209653</v>
      </c>
    </row>
    <row r="9414" spans="2:2" ht="15.6">
      <c r="B9414" s="171">
        <v>-911.19154311218483</v>
      </c>
    </row>
    <row r="9415" spans="2:2" ht="15.6">
      <c r="B9415" s="171">
        <v>-1165.4026768098825</v>
      </c>
    </row>
    <row r="9416" spans="2:2" ht="15.6">
      <c r="B9416" s="171">
        <v>-2143.687020352912</v>
      </c>
    </row>
    <row r="9417" spans="2:2" ht="15.6">
      <c r="B9417" s="171">
        <v>-2173.9598203541746</v>
      </c>
    </row>
    <row r="9418" spans="2:2" ht="15.6">
      <c r="B9418" s="171">
        <v>-1621.6501413695105</v>
      </c>
    </row>
    <row r="9419" spans="2:2" ht="15.6">
      <c r="B9419" s="171">
        <v>-1408.9773965018014</v>
      </c>
    </row>
    <row r="9420" spans="2:2" ht="15.6">
      <c r="B9420" s="171">
        <v>-1970.025613365676</v>
      </c>
    </row>
    <row r="9421" spans="2:2" ht="15.6">
      <c r="B9421" s="171">
        <v>-1310.5385960039398</v>
      </c>
    </row>
    <row r="9422" spans="2:2" ht="15.6">
      <c r="B9422" s="171">
        <v>-1795.3878625406096</v>
      </c>
    </row>
    <row r="9423" spans="2:2" ht="15.6">
      <c r="B9423" s="171">
        <v>-2119.5914328098934</v>
      </c>
    </row>
    <row r="9424" spans="2:2" ht="15.6">
      <c r="B9424" s="171">
        <v>-1683.4168895326766</v>
      </c>
    </row>
    <row r="9425" spans="2:2" ht="15.6">
      <c r="B9425" s="171">
        <v>-1213.0859931520401</v>
      </c>
    </row>
    <row r="9426" spans="2:2" ht="15.6">
      <c r="B9426" s="171">
        <v>-2034.1614453638181</v>
      </c>
    </row>
    <row r="9427" spans="2:2" ht="15.6">
      <c r="B9427" s="171">
        <v>-1878.5520813036076</v>
      </c>
    </row>
    <row r="9428" spans="2:2" ht="15.6">
      <c r="B9428" s="171">
        <v>-1257.3333817523217</v>
      </c>
    </row>
    <row r="9429" spans="2:2" ht="15.6">
      <c r="B9429" s="171">
        <v>-1208.0974341897984</v>
      </c>
    </row>
    <row r="9430" spans="2:2" ht="15.6">
      <c r="B9430" s="171">
        <v>-1498.7361586088268</v>
      </c>
    </row>
    <row r="9431" spans="2:2" ht="15.6">
      <c r="B9431" s="171">
        <v>-988.57512849624231</v>
      </c>
    </row>
    <row r="9432" spans="2:2" ht="15.6">
      <c r="B9432" s="171">
        <v>-1058.9135616653798</v>
      </c>
    </row>
    <row r="9433" spans="2:2" ht="15.6">
      <c r="B9433" s="171">
        <v>-1370.2147314369292</v>
      </c>
    </row>
    <row r="9434" spans="2:2" ht="15.6">
      <c r="B9434" s="171">
        <v>-1162.7795191056941</v>
      </c>
    </row>
    <row r="9435" spans="2:2" ht="15.6">
      <c r="B9435" s="171">
        <v>-1164.097021677461</v>
      </c>
    </row>
    <row r="9436" spans="2:2" ht="15.6">
      <c r="B9436" s="171">
        <v>-1498.6379813649176</v>
      </c>
    </row>
    <row r="9437" spans="2:2" ht="15.6">
      <c r="B9437" s="171">
        <v>-1191.1083888946475</v>
      </c>
    </row>
    <row r="9438" spans="2:2" ht="15.6">
      <c r="B9438" s="171">
        <v>-1216.8198166714274</v>
      </c>
    </row>
    <row r="9439" spans="2:2" ht="15.6">
      <c r="B9439" s="171">
        <v>-2064.4886811526812</v>
      </c>
    </row>
    <row r="9440" spans="2:2" ht="15.6">
      <c r="B9440" s="171">
        <v>-1517.3419337595542</v>
      </c>
    </row>
    <row r="9441" spans="2:2" ht="15.6">
      <c r="B9441" s="171">
        <v>-1898.3130819959356</v>
      </c>
    </row>
    <row r="9442" spans="2:2" ht="15.6">
      <c r="B9442" s="171">
        <v>-1125.5961194521069</v>
      </c>
    </row>
    <row r="9443" spans="2:2" ht="15.6">
      <c r="B9443" s="171">
        <v>-1911.3926994228443</v>
      </c>
    </row>
    <row r="9444" spans="2:2" ht="15.6">
      <c r="B9444" s="171">
        <v>-1607.2525861695872</v>
      </c>
    </row>
    <row r="9445" spans="2:2" ht="15.6">
      <c r="B9445" s="171">
        <v>-1565.132741989994</v>
      </c>
    </row>
    <row r="9446" spans="2:2" ht="15.6">
      <c r="B9446" s="171">
        <v>-1553.3361323954064</v>
      </c>
    </row>
    <row r="9447" spans="2:2" ht="15.6">
      <c r="B9447" s="171">
        <v>-2593.7890985409408</v>
      </c>
    </row>
    <row r="9448" spans="2:2" ht="15.6">
      <c r="B9448" s="171">
        <v>-1563.8425585467994</v>
      </c>
    </row>
    <row r="9449" spans="2:2" ht="15.6">
      <c r="B9449" s="171">
        <v>-1474.5969737798241</v>
      </c>
    </row>
    <row r="9450" spans="2:2" ht="15.6">
      <c r="B9450" s="171">
        <v>-1354.1116720004854</v>
      </c>
    </row>
    <row r="9451" spans="2:2" ht="15.6">
      <c r="B9451" s="171">
        <v>-1912.1551967719474</v>
      </c>
    </row>
    <row r="9452" spans="2:2" ht="15.6">
      <c r="B9452" s="171">
        <v>-1343.0193336420732</v>
      </c>
    </row>
    <row r="9453" spans="2:2" ht="15.6">
      <c r="B9453" s="171">
        <v>-2078.2544409219263</v>
      </c>
    </row>
    <row r="9454" spans="2:2" ht="15.6">
      <c r="B9454" s="171">
        <v>-1351.2584441419403</v>
      </c>
    </row>
    <row r="9455" spans="2:2" ht="15.6">
      <c r="B9455" s="171">
        <v>-1713.2026422915396</v>
      </c>
    </row>
    <row r="9456" spans="2:2" ht="15.6">
      <c r="B9456" s="171">
        <v>-1148.9018700336476</v>
      </c>
    </row>
    <row r="9457" spans="2:2" ht="15.6">
      <c r="B9457" s="171">
        <v>-1682.8476964357824</v>
      </c>
    </row>
    <row r="9458" spans="2:2" ht="15.6">
      <c r="B9458" s="171">
        <v>-1358.0444184387486</v>
      </c>
    </row>
    <row r="9459" spans="2:2" ht="15.6">
      <c r="B9459" s="171">
        <v>-2474.1792264226851</v>
      </c>
    </row>
    <row r="9460" spans="2:2" ht="15.6">
      <c r="B9460" s="171">
        <v>-1375.3556245292757</v>
      </c>
    </row>
    <row r="9461" spans="2:2" ht="15.6">
      <c r="B9461" s="171">
        <v>-1870.1491885871887</v>
      </c>
    </row>
    <row r="9462" spans="2:2" ht="15.6">
      <c r="B9462" s="171">
        <v>-1651.3229369836261</v>
      </c>
    </row>
    <row r="9463" spans="2:2" ht="15.6">
      <c r="B9463" s="171">
        <v>-2130.605235040146</v>
      </c>
    </row>
    <row r="9464" spans="2:2" ht="15.6">
      <c r="B9464" s="171">
        <v>-1469.6696510489019</v>
      </c>
    </row>
    <row r="9465" spans="2:2" ht="15.6">
      <c r="B9465" s="171">
        <v>-1950.5294138378199</v>
      </c>
    </row>
    <row r="9466" spans="2:2" ht="15.6">
      <c r="B9466" s="171">
        <v>-1505.6061062077099</v>
      </c>
    </row>
    <row r="9467" spans="2:2" ht="15.6">
      <c r="B9467" s="171">
        <v>-1187.0198818075337</v>
      </c>
    </row>
    <row r="9468" spans="2:2" ht="15.6">
      <c r="B9468" s="171">
        <v>-1203.833909709771</v>
      </c>
    </row>
    <row r="9469" spans="2:2" ht="15.6">
      <c r="B9469" s="171">
        <v>-1940.1212637632566</v>
      </c>
    </row>
    <row r="9470" spans="2:2" ht="15.6">
      <c r="B9470" s="171">
        <v>-1544.998192688163</v>
      </c>
    </row>
    <row r="9471" spans="2:2" ht="15.6">
      <c r="B9471" s="171">
        <v>-376.46144003220678</v>
      </c>
    </row>
    <row r="9472" spans="2:2" ht="15.6">
      <c r="B9472" s="171">
        <v>-1423.2772750250058</v>
      </c>
    </row>
    <row r="9473" spans="2:2" ht="15.6">
      <c r="B9473" s="171">
        <v>-1298.3139071263436</v>
      </c>
    </row>
    <row r="9474" spans="2:2" ht="15.6">
      <c r="B9474" s="171">
        <v>-1609.7992719916219</v>
      </c>
    </row>
    <row r="9475" spans="2:2" ht="15.6">
      <c r="B9475" s="171">
        <v>-1261.5999276540667</v>
      </c>
    </row>
    <row r="9476" spans="2:2" ht="15.6">
      <c r="B9476" s="171">
        <v>-1979.4379169026738</v>
      </c>
    </row>
    <row r="9477" spans="2:2" ht="15.6">
      <c r="B9477" s="171">
        <v>-1887.4790282016511</v>
      </c>
    </row>
    <row r="9478" spans="2:2" ht="15.6">
      <c r="B9478" s="171">
        <v>-2027.5399210504013</v>
      </c>
    </row>
    <row r="9479" spans="2:2" ht="15.6">
      <c r="B9479" s="171">
        <v>-1212.7853642815458</v>
      </c>
    </row>
    <row r="9480" spans="2:2" ht="15.6">
      <c r="B9480" s="171">
        <v>-1261.1551550311642</v>
      </c>
    </row>
    <row r="9481" spans="2:2" ht="15.6">
      <c r="B9481" s="171">
        <v>-1088.1850607765375</v>
      </c>
    </row>
    <row r="9482" spans="2:2" ht="15.6">
      <c r="B9482" s="171">
        <v>-1594.0806321397815</v>
      </c>
    </row>
    <row r="9483" spans="2:2" ht="15.6">
      <c r="B9483" s="171">
        <v>-1699.5140818030775</v>
      </c>
    </row>
    <row r="9484" spans="2:2" ht="15.6">
      <c r="B9484" s="171">
        <v>-1344.9357137114403</v>
      </c>
    </row>
    <row r="9485" spans="2:2" ht="15.6">
      <c r="B9485" s="171">
        <v>-929.9022839156446</v>
      </c>
    </row>
    <row r="9486" spans="2:2" ht="15.6">
      <c r="B9486" s="171">
        <v>-2026.709897539019</v>
      </c>
    </row>
    <row r="9487" spans="2:2" ht="15.6">
      <c r="B9487" s="171">
        <v>-2142.5273266753188</v>
      </c>
    </row>
    <row r="9488" spans="2:2" ht="15.6">
      <c r="B9488" s="171">
        <v>-1631.4581002678631</v>
      </c>
    </row>
    <row r="9489" spans="2:2" ht="15.6">
      <c r="B9489" s="171">
        <v>-1948.2175565000794</v>
      </c>
    </row>
    <row r="9490" spans="2:2" ht="15.6">
      <c r="B9490" s="171">
        <v>-1627.2067025578444</v>
      </c>
    </row>
    <row r="9491" spans="2:2" ht="15.6">
      <c r="B9491" s="171">
        <v>-1932.0271614881967</v>
      </c>
    </row>
    <row r="9492" spans="2:2" ht="15.6">
      <c r="B9492" s="171">
        <v>-1459.4486337807718</v>
      </c>
    </row>
    <row r="9493" spans="2:2" ht="15.6">
      <c r="B9493" s="171">
        <v>-1143.5761536681366</v>
      </c>
    </row>
    <row r="9494" spans="2:2" ht="15.6">
      <c r="B9494" s="171">
        <v>-1451.6374429044395</v>
      </c>
    </row>
    <row r="9495" spans="2:2" ht="15.6">
      <c r="B9495" s="171">
        <v>-2174.9601102836214</v>
      </c>
    </row>
    <row r="9496" spans="2:2" ht="15.6">
      <c r="B9496" s="171">
        <v>-1022.1523703191922</v>
      </c>
    </row>
    <row r="9497" spans="2:2" ht="15.6">
      <c r="B9497" s="171">
        <v>-2310.2739590226361</v>
      </c>
    </row>
    <row r="9498" spans="2:2" ht="15.6">
      <c r="B9498" s="171">
        <v>-1090.161353524262</v>
      </c>
    </row>
    <row r="9499" spans="2:2" ht="15.6">
      <c r="B9499" s="171">
        <v>-1182.5958959156233</v>
      </c>
    </row>
    <row r="9500" spans="2:2" ht="15.6">
      <c r="B9500" s="171">
        <v>-1220.1739292281607</v>
      </c>
    </row>
    <row r="9501" spans="2:2" ht="15.6">
      <c r="B9501" s="171">
        <v>-1520.7126211673476</v>
      </c>
    </row>
    <row r="9502" spans="2:2" ht="15.6">
      <c r="B9502" s="171">
        <v>-1795.7416024917695</v>
      </c>
    </row>
    <row r="9503" spans="2:2" ht="15.6">
      <c r="B9503" s="171">
        <v>-1008.2617793796929</v>
      </c>
    </row>
    <row r="9504" spans="2:2" ht="15.6">
      <c r="B9504" s="171">
        <v>-1280.3069688302021</v>
      </c>
    </row>
    <row r="9505" spans="2:2" ht="15.6">
      <c r="B9505" s="171">
        <v>-2029.7493644447397</v>
      </c>
    </row>
    <row r="9506" spans="2:2" ht="15.6">
      <c r="B9506" s="171">
        <v>-1972.0333911249377</v>
      </c>
    </row>
    <row r="9507" spans="2:2" ht="15.6">
      <c r="B9507" s="171">
        <v>-1755.5415566011998</v>
      </c>
    </row>
    <row r="9508" spans="2:2" ht="15.6">
      <c r="B9508" s="171">
        <v>-1763.8665479640092</v>
      </c>
    </row>
    <row r="9509" spans="2:2" ht="15.6">
      <c r="B9509" s="171">
        <v>-1743.56800262256</v>
      </c>
    </row>
    <row r="9510" spans="2:2" ht="15.6">
      <c r="B9510" s="171">
        <v>-1967.4017317009793</v>
      </c>
    </row>
    <row r="9511" spans="2:2" ht="15.6">
      <c r="B9511" s="171">
        <v>-1504.5821341551432</v>
      </c>
    </row>
    <row r="9512" spans="2:2" ht="15.6">
      <c r="B9512" s="171">
        <v>-1259.6622690459917</v>
      </c>
    </row>
    <row r="9513" spans="2:2" ht="15.6">
      <c r="B9513" s="171">
        <v>-1808.9897606914176</v>
      </c>
    </row>
    <row r="9514" spans="2:2" ht="15.6">
      <c r="B9514" s="171">
        <v>-1733.8018472564581</v>
      </c>
    </row>
    <row r="9515" spans="2:2" ht="15.6">
      <c r="B9515" s="171">
        <v>-2291.2785143252868</v>
      </c>
    </row>
    <row r="9516" spans="2:2" ht="15.6">
      <c r="B9516" s="171">
        <v>-1495.4156935444723</v>
      </c>
    </row>
    <row r="9517" spans="2:2" ht="15.6">
      <c r="B9517" s="171">
        <v>-1487.2370834973085</v>
      </c>
    </row>
    <row r="9518" spans="2:2" ht="15.6">
      <c r="B9518" s="171">
        <v>-1532.622846767993</v>
      </c>
    </row>
    <row r="9519" spans="2:2" ht="15.6">
      <c r="B9519" s="171">
        <v>-1301.0510073086573</v>
      </c>
    </row>
    <row r="9520" spans="2:2" ht="15.6">
      <c r="B9520" s="171">
        <v>-1208.3288064134574</v>
      </c>
    </row>
    <row r="9521" spans="2:2" ht="15.6">
      <c r="B9521" s="171">
        <v>-1382.401487076723</v>
      </c>
    </row>
    <row r="9522" spans="2:2" ht="15.6">
      <c r="B9522" s="171">
        <v>-1404.4923244041886</v>
      </c>
    </row>
    <row r="9523" spans="2:2" ht="15.6">
      <c r="B9523" s="171">
        <v>-2511.6430245346401</v>
      </c>
    </row>
    <row r="9524" spans="2:2" ht="15.6">
      <c r="B9524" s="171">
        <v>-995.0133390404211</v>
      </c>
    </row>
    <row r="9525" spans="2:2" ht="15.6">
      <c r="B9525" s="171">
        <v>-1374.4551457726275</v>
      </c>
    </row>
    <row r="9526" spans="2:2" ht="15.6">
      <c r="B9526" s="171">
        <v>-1515.2598212574326</v>
      </c>
    </row>
    <row r="9527" spans="2:2" ht="15.6">
      <c r="B9527" s="171">
        <v>-1483.0086803290931</v>
      </c>
    </row>
    <row r="9528" spans="2:2" ht="15.6">
      <c r="B9528" s="171">
        <v>-1604.4039824207005</v>
      </c>
    </row>
    <row r="9529" spans="2:2" ht="15.6">
      <c r="B9529" s="171">
        <v>-671.6434246672336</v>
      </c>
    </row>
    <row r="9530" spans="2:2" ht="15.6">
      <c r="B9530" s="171">
        <v>-1461.5843187798632</v>
      </c>
    </row>
    <row r="9531" spans="2:2" ht="15.6">
      <c r="B9531" s="171">
        <v>-1781.4279855873083</v>
      </c>
    </row>
    <row r="9532" spans="2:2" ht="15.6">
      <c r="B9532" s="171">
        <v>-1822.6613618148904</v>
      </c>
    </row>
    <row r="9533" spans="2:2" ht="15.6">
      <c r="B9533" s="171">
        <v>-1518.9594373492187</v>
      </c>
    </row>
    <row r="9534" spans="2:2" ht="15.6">
      <c r="B9534" s="171">
        <v>-1312.2193817886287</v>
      </c>
    </row>
    <row r="9535" spans="2:2" ht="15.6">
      <c r="B9535" s="171">
        <v>-1372.0386917804287</v>
      </c>
    </row>
    <row r="9536" spans="2:2" ht="15.6">
      <c r="B9536" s="171">
        <v>-1437.5908317883905</v>
      </c>
    </row>
    <row r="9537" spans="2:2" ht="15.6">
      <c r="B9537" s="171">
        <v>-1732.586917255406</v>
      </c>
    </row>
    <row r="9538" spans="2:2" ht="15.6">
      <c r="B9538" s="171">
        <v>-1476.8677595993697</v>
      </c>
    </row>
    <row r="9539" spans="2:2" ht="15.6">
      <c r="B9539" s="171">
        <v>-1639.3372897656259</v>
      </c>
    </row>
    <row r="9540" spans="2:2" ht="15.6">
      <c r="B9540" s="171">
        <v>-1514.911290594029</v>
      </c>
    </row>
    <row r="9541" spans="2:2" ht="15.6">
      <c r="B9541" s="171">
        <v>-1554.1518951072778</v>
      </c>
    </row>
    <row r="9542" spans="2:2" ht="15.6">
      <c r="B9542" s="171">
        <v>-3039.9852058457682</v>
      </c>
    </row>
    <row r="9543" spans="2:2" ht="15.6">
      <c r="B9543" s="171">
        <v>-1606.41201006656</v>
      </c>
    </row>
    <row r="9544" spans="2:2" ht="15.6">
      <c r="B9544" s="171">
        <v>-1045.1024115306159</v>
      </c>
    </row>
    <row r="9545" spans="2:2" ht="15.6">
      <c r="B9545" s="171">
        <v>-2693.2258313570792</v>
      </c>
    </row>
    <row r="9546" spans="2:2" ht="15.6">
      <c r="B9546" s="171">
        <v>-1589.5258171937178</v>
      </c>
    </row>
    <row r="9547" spans="2:2" ht="15.6">
      <c r="B9547" s="171">
        <v>-1089.4139781967556</v>
      </c>
    </row>
    <row r="9548" spans="2:2" ht="15.6">
      <c r="B9548" s="171">
        <v>-1347.1260334468702</v>
      </c>
    </row>
    <row r="9549" spans="2:2" ht="15.6">
      <c r="B9549" s="171">
        <v>-1696.4258687182366</v>
      </c>
    </row>
    <row r="9550" spans="2:2" ht="15.6">
      <c r="B9550" s="171">
        <v>-680.36615276514158</v>
      </c>
    </row>
    <row r="9551" spans="2:2" ht="15.6">
      <c r="B9551" s="171">
        <v>-2024.7081119684578</v>
      </c>
    </row>
    <row r="9552" spans="2:2" ht="15.6">
      <c r="B9552" s="171">
        <v>-1818.0450071010346</v>
      </c>
    </row>
    <row r="9553" spans="2:2" ht="15.6">
      <c r="B9553" s="171">
        <v>-1433.635301236139</v>
      </c>
    </row>
    <row r="9554" spans="2:2" ht="15.6">
      <c r="B9554" s="171">
        <v>-1778.4464326699535</v>
      </c>
    </row>
    <row r="9555" spans="2:2" ht="15.6">
      <c r="B9555" s="171">
        <v>-1403.7420352143458</v>
      </c>
    </row>
    <row r="9556" spans="2:2" ht="15.6">
      <c r="B9556" s="171">
        <v>-1483.0185554022403</v>
      </c>
    </row>
    <row r="9557" spans="2:2" ht="15.6">
      <c r="B9557" s="171">
        <v>-1307.0499135557045</v>
      </c>
    </row>
    <row r="9558" spans="2:2" ht="15.6">
      <c r="B9558" s="171">
        <v>-1239.8529902022626</v>
      </c>
    </row>
    <row r="9559" spans="2:2" ht="15.6">
      <c r="B9559" s="171">
        <v>-1723.8790409454775</v>
      </c>
    </row>
    <row r="9560" spans="2:2" ht="15.6">
      <c r="B9560" s="171">
        <v>-1212.6518344420733</v>
      </c>
    </row>
    <row r="9561" spans="2:2" ht="15.6">
      <c r="B9561" s="171">
        <v>-987.5353845029473</v>
      </c>
    </row>
    <row r="9562" spans="2:2" ht="15.6">
      <c r="B9562" s="171">
        <v>-1636.4250483001717</v>
      </c>
    </row>
    <row r="9563" spans="2:2" ht="15.6">
      <c r="B9563" s="171">
        <v>-1021.7610172901706</v>
      </c>
    </row>
    <row r="9564" spans="2:2" ht="15.6">
      <c r="B9564" s="171">
        <v>-2192.1155642791737</v>
      </c>
    </row>
    <row r="9565" spans="2:2" ht="15.6">
      <c r="B9565" s="171">
        <v>-1676.3439780214931</v>
      </c>
    </row>
    <row r="9566" spans="2:2" ht="15.6">
      <c r="B9566" s="171">
        <v>-1738.1876232866302</v>
      </c>
    </row>
    <row r="9567" spans="2:2" ht="15.6">
      <c r="B9567" s="171">
        <v>-1069.581804725347</v>
      </c>
    </row>
    <row r="9568" spans="2:2" ht="15.6">
      <c r="B9568" s="171">
        <v>-1802.1394012160063</v>
      </c>
    </row>
    <row r="9569" spans="2:2" ht="15.6">
      <c r="B9569" s="171">
        <v>-1373.1545871790299</v>
      </c>
    </row>
    <row r="9570" spans="2:2" ht="15.6">
      <c r="B9570" s="171">
        <v>-1972.9242378433578</v>
      </c>
    </row>
    <row r="9571" spans="2:2" ht="15.6">
      <c r="B9571" s="171">
        <v>-1501.3932470007394</v>
      </c>
    </row>
    <row r="9572" spans="2:2" ht="15.6">
      <c r="B9572" s="171">
        <v>-1126.1061897991717</v>
      </c>
    </row>
    <row r="9573" spans="2:2" ht="15.6">
      <c r="B9573" s="171">
        <v>-2103.2427307670832</v>
      </c>
    </row>
    <row r="9574" spans="2:2" ht="15.6">
      <c r="B9574" s="171">
        <v>-2174.4977653325222</v>
      </c>
    </row>
    <row r="9575" spans="2:2" ht="15.6">
      <c r="B9575" s="171">
        <v>-1646.8999526188531</v>
      </c>
    </row>
    <row r="9576" spans="2:2" ht="15.6">
      <c r="B9576" s="171">
        <v>-1814.956059185623</v>
      </c>
    </row>
    <row r="9577" spans="2:2" ht="15.6">
      <c r="B9577" s="171">
        <v>-1566.0422320260257</v>
      </c>
    </row>
    <row r="9578" spans="2:2" ht="15.6">
      <c r="B9578" s="171">
        <v>-1201.4592657715868</v>
      </c>
    </row>
    <row r="9579" spans="2:2" ht="15.6">
      <c r="B9579" s="171">
        <v>-1862.8089014001894</v>
      </c>
    </row>
    <row r="9580" spans="2:2" ht="15.6">
      <c r="B9580" s="171">
        <v>-1431.5529676416866</v>
      </c>
    </row>
    <row r="9581" spans="2:2" ht="15.6">
      <c r="B9581" s="171">
        <v>-2391.0357751080214</v>
      </c>
    </row>
    <row r="9582" spans="2:2" ht="15.6">
      <c r="B9582" s="171">
        <v>-1302.0730375057258</v>
      </c>
    </row>
    <row r="9583" spans="2:2" ht="15.6">
      <c r="B9583" s="171">
        <v>-2109.5066497519151</v>
      </c>
    </row>
    <row r="9584" spans="2:2" ht="15.6">
      <c r="B9584" s="171">
        <v>-2317.6865144005428</v>
      </c>
    </row>
    <row r="9585" spans="2:2" ht="15.6">
      <c r="B9585" s="171">
        <v>-1271.5204060473457</v>
      </c>
    </row>
    <row r="9586" spans="2:2" ht="15.6">
      <c r="B9586" s="171">
        <v>-1590.6652358462138</v>
      </c>
    </row>
    <row r="9587" spans="2:2" ht="15.6">
      <c r="B9587" s="171">
        <v>-1569.6035889631978</v>
      </c>
    </row>
    <row r="9588" spans="2:2" ht="15.6">
      <c r="B9588" s="171">
        <v>-1623.8883507498583</v>
      </c>
    </row>
    <row r="9589" spans="2:2" ht="15.6">
      <c r="B9589" s="171">
        <v>-1127.8605097461864</v>
      </c>
    </row>
    <row r="9590" spans="2:2" ht="15.6">
      <c r="B9590" s="171">
        <v>-1871.352538886626</v>
      </c>
    </row>
    <row r="9591" spans="2:2" ht="15.6">
      <c r="B9591" s="171">
        <v>-2169.4316449378653</v>
      </c>
    </row>
    <row r="9592" spans="2:2" ht="15.6">
      <c r="B9592" s="171">
        <v>-2198.4438410395519</v>
      </c>
    </row>
    <row r="9593" spans="2:2" ht="15.6">
      <c r="B9593" s="171">
        <v>-1152.1818963082555</v>
      </c>
    </row>
    <row r="9594" spans="2:2" ht="15.6">
      <c r="B9594" s="171">
        <v>-1960.5492465484504</v>
      </c>
    </row>
    <row r="9595" spans="2:2" ht="15.6">
      <c r="B9595" s="171">
        <v>-1096.6730497276656</v>
      </c>
    </row>
    <row r="9596" spans="2:2" ht="15.6">
      <c r="B9596" s="171">
        <v>-908.95752854468196</v>
      </c>
    </row>
    <row r="9597" spans="2:2" ht="15.6">
      <c r="B9597" s="171">
        <v>-1604.3342894468938</v>
      </c>
    </row>
    <row r="9598" spans="2:2" ht="15.6">
      <c r="B9598" s="171">
        <v>-2003.2565240842623</v>
      </c>
    </row>
    <row r="9599" spans="2:2" ht="15.6">
      <c r="B9599" s="171">
        <v>-2418.7869502081471</v>
      </c>
    </row>
    <row r="9600" spans="2:2" ht="15.6">
      <c r="B9600" s="171">
        <v>-2076.2878017297689</v>
      </c>
    </row>
    <row r="9601" spans="2:2" ht="15.6">
      <c r="B9601" s="171">
        <v>-1526.2683635954559</v>
      </c>
    </row>
    <row r="9602" spans="2:2" ht="15.6">
      <c r="B9602" s="171">
        <v>-1367.8972532543871</v>
      </c>
    </row>
    <row r="9603" spans="2:2" ht="15.6">
      <c r="B9603" s="171">
        <v>-1780.5616192939037</v>
      </c>
    </row>
    <row r="9604" spans="2:2" ht="15.6">
      <c r="B9604" s="171">
        <v>-1941.6670232837319</v>
      </c>
    </row>
    <row r="9605" spans="2:2" ht="15.6">
      <c r="B9605" s="171">
        <v>-1418.5080170020647</v>
      </c>
    </row>
    <row r="9606" spans="2:2" ht="15.6">
      <c r="B9606" s="171">
        <v>-1836.7866397311527</v>
      </c>
    </row>
    <row r="9607" spans="2:2" ht="15.6">
      <c r="B9607" s="171">
        <v>-1536.6416071040151</v>
      </c>
    </row>
    <row r="9608" spans="2:2" ht="15.6">
      <c r="B9608" s="171">
        <v>-718.24394466344734</v>
      </c>
    </row>
    <row r="9609" spans="2:2" ht="15.6">
      <c r="B9609" s="171">
        <v>-1686.4500360735335</v>
      </c>
    </row>
    <row r="9610" spans="2:2" ht="15.6">
      <c r="B9610" s="171">
        <v>-1254.1487725375075</v>
      </c>
    </row>
    <row r="9611" spans="2:2" ht="15.6">
      <c r="B9611" s="171">
        <v>-1665.8323499935266</v>
      </c>
    </row>
    <row r="9612" spans="2:2" ht="15.6">
      <c r="B9612" s="171">
        <v>-1408.9363264297492</v>
      </c>
    </row>
    <row r="9613" spans="2:2" ht="15.6">
      <c r="B9613" s="171">
        <v>-1449.4921799135511</v>
      </c>
    </row>
    <row r="9614" spans="2:2" ht="15.6">
      <c r="B9614" s="171">
        <v>-1723.1082237989854</v>
      </c>
    </row>
    <row r="9615" spans="2:2" ht="15.6">
      <c r="B9615" s="171">
        <v>-1835.186782728596</v>
      </c>
    </row>
    <row r="9616" spans="2:2" ht="15.6">
      <c r="B9616" s="171">
        <v>-927.02412606419728</v>
      </c>
    </row>
    <row r="9617" spans="2:2" ht="15.6">
      <c r="B9617" s="171">
        <v>-1555.8003200192024</v>
      </c>
    </row>
    <row r="9618" spans="2:2" ht="15.6">
      <c r="B9618" s="171">
        <v>-1269.3239855005349</v>
      </c>
    </row>
    <row r="9619" spans="2:2" ht="15.6">
      <c r="B9619" s="171">
        <v>-2598.7360298337439</v>
      </c>
    </row>
    <row r="9620" spans="2:2" ht="15.6">
      <c r="B9620" s="171">
        <v>-1565.0542946561452</v>
      </c>
    </row>
    <row r="9621" spans="2:2" ht="15.6">
      <c r="B9621" s="171">
        <v>-2145.7235246112677</v>
      </c>
    </row>
    <row r="9622" spans="2:2" ht="15.6">
      <c r="B9622" s="171">
        <v>-1372.6472000251242</v>
      </c>
    </row>
    <row r="9623" spans="2:2" ht="15.6">
      <c r="B9623" s="171">
        <v>-1077.18663311149</v>
      </c>
    </row>
    <row r="9624" spans="2:2" ht="15.6">
      <c r="B9624" s="171">
        <v>-1834.2911720119964</v>
      </c>
    </row>
    <row r="9625" spans="2:2" ht="15.6">
      <c r="B9625" s="171">
        <v>-1353.5136254786289</v>
      </c>
    </row>
    <row r="9626" spans="2:2" ht="15.6">
      <c r="B9626" s="171">
        <v>-1273.1231386087059</v>
      </c>
    </row>
    <row r="9627" spans="2:2" ht="15.6">
      <c r="B9627" s="171">
        <v>-2120.4781866036619</v>
      </c>
    </row>
    <row r="9628" spans="2:2" ht="15.6">
      <c r="B9628" s="171">
        <v>-1582.9974625655054</v>
      </c>
    </row>
    <row r="9629" spans="2:2" ht="15.6">
      <c r="B9629" s="171">
        <v>-1341.1736827546135</v>
      </c>
    </row>
    <row r="9630" spans="2:2" ht="15.6">
      <c r="B9630" s="171">
        <v>-1862.5765691157771</v>
      </c>
    </row>
    <row r="9631" spans="2:2" ht="15.6">
      <c r="B9631" s="171">
        <v>-1958.4162076863158</v>
      </c>
    </row>
    <row r="9632" spans="2:2" ht="15.6">
      <c r="B9632" s="171">
        <v>-852.8175200126941</v>
      </c>
    </row>
    <row r="9633" spans="2:2" ht="15.6">
      <c r="B9633" s="171">
        <v>-659.3636304412272</v>
      </c>
    </row>
    <row r="9634" spans="2:2" ht="15.6">
      <c r="B9634" s="171">
        <v>-1652.4667859236351</v>
      </c>
    </row>
    <row r="9635" spans="2:2" ht="15.6">
      <c r="B9635" s="171">
        <v>-1638.7128995856306</v>
      </c>
    </row>
    <row r="9636" spans="2:2" ht="15.6">
      <c r="B9636" s="171">
        <v>-1661.4940473288038</v>
      </c>
    </row>
    <row r="9637" spans="2:2" ht="15.6">
      <c r="B9637" s="171">
        <v>-1294.2659564114344</v>
      </c>
    </row>
    <row r="9638" spans="2:2" ht="15.6">
      <c r="B9638" s="171">
        <v>-1485.6567575717647</v>
      </c>
    </row>
    <row r="9639" spans="2:2" ht="15.6">
      <c r="B9639" s="171">
        <v>-1841.4406024813893</v>
      </c>
    </row>
    <row r="9640" spans="2:2" ht="15.6">
      <c r="B9640" s="171">
        <v>-1288.8814419952776</v>
      </c>
    </row>
    <row r="9641" spans="2:2" ht="15.6">
      <c r="B9641" s="171">
        <v>-1703.8702180158339</v>
      </c>
    </row>
    <row r="9642" spans="2:2" ht="15.6">
      <c r="B9642" s="171">
        <v>-2066.3786948875631</v>
      </c>
    </row>
    <row r="9643" spans="2:2" ht="15.6">
      <c r="B9643" s="171">
        <v>-1546.8610880705696</v>
      </c>
    </row>
    <row r="9644" spans="2:2" ht="15.6">
      <c r="B9644" s="171">
        <v>-1630.4358682293343</v>
      </c>
    </row>
    <row r="9645" spans="2:2" ht="15.6">
      <c r="B9645" s="171">
        <v>-1571.0649920930655</v>
      </c>
    </row>
    <row r="9646" spans="2:2" ht="15.6">
      <c r="B9646" s="171">
        <v>-764.18556437703432</v>
      </c>
    </row>
    <row r="9647" spans="2:2" ht="15.6">
      <c r="B9647" s="171">
        <v>-1724.0731853093391</v>
      </c>
    </row>
    <row r="9648" spans="2:2" ht="15.6">
      <c r="B9648" s="171">
        <v>-2185.6182118513207</v>
      </c>
    </row>
    <row r="9649" spans="2:2" ht="15.6">
      <c r="B9649" s="171">
        <v>-760.20690198808256</v>
      </c>
    </row>
    <row r="9650" spans="2:2" ht="15.6">
      <c r="B9650" s="171">
        <v>-1649.7002638286119</v>
      </c>
    </row>
    <row r="9651" spans="2:2" ht="15.6">
      <c r="B9651" s="171">
        <v>-1587.6233366606598</v>
      </c>
    </row>
    <row r="9652" spans="2:2" ht="15.6">
      <c r="B9652" s="171">
        <v>-1753.7847202800201</v>
      </c>
    </row>
    <row r="9653" spans="2:2" ht="15.6">
      <c r="B9653" s="171">
        <v>-1351.3432365111657</v>
      </c>
    </row>
    <row r="9654" spans="2:2" ht="15.6">
      <c r="B9654" s="171">
        <v>-1815.5943213277678</v>
      </c>
    </row>
    <row r="9655" spans="2:2" ht="15.6">
      <c r="B9655" s="171">
        <v>-1451.5579085530321</v>
      </c>
    </row>
    <row r="9656" spans="2:2" ht="15.6">
      <c r="B9656" s="171">
        <v>-1772.3656939052305</v>
      </c>
    </row>
    <row r="9657" spans="2:2" ht="15.6">
      <c r="B9657" s="171">
        <v>-1364.4504449402846</v>
      </c>
    </row>
    <row r="9658" spans="2:2" ht="15.6">
      <c r="B9658" s="171">
        <v>-2328.2989236036383</v>
      </c>
    </row>
    <row r="9659" spans="2:2" ht="15.6">
      <c r="B9659" s="171">
        <v>-1399.0193474941354</v>
      </c>
    </row>
    <row r="9660" spans="2:2" ht="15.6">
      <c r="B9660" s="171">
        <v>-1609.8442829057428</v>
      </c>
    </row>
    <row r="9661" spans="2:2" ht="15.6">
      <c r="B9661" s="171">
        <v>-1406.1087920993089</v>
      </c>
    </row>
    <row r="9662" spans="2:2" ht="15.6">
      <c r="B9662" s="171">
        <v>-2329.5389338469549</v>
      </c>
    </row>
    <row r="9663" spans="2:2" ht="15.6">
      <c r="B9663" s="171">
        <v>-1522.270418659843</v>
      </c>
    </row>
    <row r="9664" spans="2:2" ht="15.6">
      <c r="B9664" s="171">
        <v>-1459.1952924132408</v>
      </c>
    </row>
    <row r="9665" spans="2:2" ht="15.6">
      <c r="B9665" s="171">
        <v>-1549.7096727823823</v>
      </c>
    </row>
    <row r="9666" spans="2:2" ht="15.6">
      <c r="B9666" s="171">
        <v>-2011.8863860630686</v>
      </c>
    </row>
    <row r="9667" spans="2:2" ht="15.6">
      <c r="B9667" s="171">
        <v>-1190.2462543623799</v>
      </c>
    </row>
    <row r="9668" spans="2:2" ht="15.6">
      <c r="B9668" s="171">
        <v>-1557.6512939336235</v>
      </c>
    </row>
    <row r="9669" spans="2:2" ht="15.6">
      <c r="B9669" s="171">
        <v>-1776.6780536123097</v>
      </c>
    </row>
    <row r="9670" spans="2:2" ht="15.6">
      <c r="B9670" s="171">
        <v>-2050.9043915139314</v>
      </c>
    </row>
    <row r="9671" spans="2:2" ht="15.6">
      <c r="B9671" s="171">
        <v>-1939.3709207431007</v>
      </c>
    </row>
    <row r="9672" spans="2:2" ht="15.6">
      <c r="B9672" s="171">
        <v>-787.45319397756293</v>
      </c>
    </row>
    <row r="9673" spans="2:2" ht="15.6">
      <c r="B9673" s="171">
        <v>-2007.4168266769188</v>
      </c>
    </row>
    <row r="9674" spans="2:2" ht="15.6">
      <c r="B9674" s="171">
        <v>-829.17881017098148</v>
      </c>
    </row>
    <row r="9675" spans="2:2" ht="15.6">
      <c r="B9675" s="171">
        <v>-1520.1936689681688</v>
      </c>
    </row>
    <row r="9676" spans="2:2" ht="15.6">
      <c r="B9676" s="171">
        <v>-1128.6537083659223</v>
      </c>
    </row>
    <row r="9677" spans="2:2" ht="15.6">
      <c r="B9677" s="171">
        <v>-2272.5650359791453</v>
      </c>
    </row>
    <row r="9678" spans="2:2" ht="15.6">
      <c r="B9678" s="171">
        <v>-1335.2388348934198</v>
      </c>
    </row>
    <row r="9679" spans="2:2" ht="15.6">
      <c r="B9679" s="171">
        <v>-1320.8992170994347</v>
      </c>
    </row>
    <row r="9680" spans="2:2" ht="15.6">
      <c r="B9680" s="171">
        <v>-1546.6181638336361</v>
      </c>
    </row>
    <row r="9681" spans="2:2" ht="15.6">
      <c r="B9681" s="171">
        <v>-1618.0676871433357</v>
      </c>
    </row>
    <row r="9682" spans="2:2" ht="15.6">
      <c r="B9682" s="171">
        <v>-2096.963742390315</v>
      </c>
    </row>
    <row r="9683" spans="2:2" ht="15.6">
      <c r="B9683" s="171">
        <v>-1281.1200842071667</v>
      </c>
    </row>
    <row r="9684" spans="2:2" ht="15.6">
      <c r="B9684" s="171">
        <v>-1559.365484448329</v>
      </c>
    </row>
    <row r="9685" spans="2:2" ht="15.6">
      <c r="B9685" s="171">
        <v>-890.89374284987514</v>
      </c>
    </row>
    <row r="9686" spans="2:2" ht="15.6">
      <c r="B9686" s="171">
        <v>-1341.9323153529613</v>
      </c>
    </row>
    <row r="9687" spans="2:2" ht="15.6">
      <c r="B9687" s="171">
        <v>-1139.0311569234614</v>
      </c>
    </row>
    <row r="9688" spans="2:2" ht="15.6">
      <c r="B9688" s="171">
        <v>-1828.8828373088547</v>
      </c>
    </row>
    <row r="9689" spans="2:2" ht="15.6">
      <c r="B9689" s="171">
        <v>-1011.8027546030189</v>
      </c>
    </row>
    <row r="9690" spans="2:2" ht="15.6">
      <c r="B9690" s="171">
        <v>-1359.8267997100309</v>
      </c>
    </row>
    <row r="9691" spans="2:2" ht="15.6">
      <c r="B9691" s="171">
        <v>-1788.266302149457</v>
      </c>
    </row>
    <row r="9692" spans="2:2" ht="15.6">
      <c r="B9692" s="171">
        <v>-1300.3754517709194</v>
      </c>
    </row>
    <row r="9693" spans="2:2" ht="15.6">
      <c r="B9693" s="171">
        <v>-861.13634271564661</v>
      </c>
    </row>
    <row r="9694" spans="2:2" ht="15.6">
      <c r="B9694" s="171">
        <v>-1330.3249980417199</v>
      </c>
    </row>
    <row r="9695" spans="2:2" ht="15.6">
      <c r="B9695" s="171">
        <v>-2237.5226117786115</v>
      </c>
    </row>
    <row r="9696" spans="2:2" ht="15.6">
      <c r="B9696" s="171">
        <v>-2016.8626028368956</v>
      </c>
    </row>
    <row r="9697" spans="2:2" ht="15.6">
      <c r="B9697" s="171">
        <v>-2311.0224307934991</v>
      </c>
    </row>
    <row r="9698" spans="2:2" ht="15.6">
      <c r="B9698" s="171">
        <v>-1809.0199182977199</v>
      </c>
    </row>
    <row r="9699" spans="2:2" ht="15.6">
      <c r="B9699" s="171">
        <v>-1262.5306072188064</v>
      </c>
    </row>
    <row r="9700" spans="2:2" ht="15.6">
      <c r="B9700" s="171">
        <v>-1245.1465615179511</v>
      </c>
    </row>
    <row r="9701" spans="2:2" ht="15.6">
      <c r="B9701" s="171">
        <v>-1969.2100315896973</v>
      </c>
    </row>
    <row r="9702" spans="2:2" ht="15.6">
      <c r="B9702" s="171">
        <v>-1229.1330433998376</v>
      </c>
    </row>
    <row r="9703" spans="2:2" ht="15.6">
      <c r="B9703" s="171">
        <v>-2135.305245676816</v>
      </c>
    </row>
    <row r="9704" spans="2:2" ht="15.6">
      <c r="B9704" s="171">
        <v>-1357.6734776147487</v>
      </c>
    </row>
    <row r="9705" spans="2:2" ht="15.6">
      <c r="B9705" s="171">
        <v>-1508.8156430145079</v>
      </c>
    </row>
    <row r="9706" spans="2:2" ht="15.6">
      <c r="B9706" s="171">
        <v>-1419.9660213442235</v>
      </c>
    </row>
    <row r="9707" spans="2:2" ht="15.6">
      <c r="B9707" s="171">
        <v>-1330.892389280297</v>
      </c>
    </row>
    <row r="9708" spans="2:2" ht="15.6">
      <c r="B9708" s="171">
        <v>-1307.4815339843494</v>
      </c>
    </row>
    <row r="9709" spans="2:2" ht="15.6">
      <c r="B9709" s="171">
        <v>-1953.9313537658752</v>
      </c>
    </row>
    <row r="9710" spans="2:2" ht="15.6">
      <c r="B9710" s="171">
        <v>-1937.944669051393</v>
      </c>
    </row>
    <row r="9711" spans="2:2" ht="15.6">
      <c r="B9711" s="171">
        <v>-1733.4982419991004</v>
      </c>
    </row>
    <row r="9712" spans="2:2" ht="15.6">
      <c r="B9712" s="171">
        <v>-1522.861276068915</v>
      </c>
    </row>
    <row r="9713" spans="2:2" ht="15.6">
      <c r="B9713" s="171">
        <v>-1467.9737744756317</v>
      </c>
    </row>
    <row r="9714" spans="2:2" ht="15.6">
      <c r="B9714" s="171">
        <v>-1821.267441978169</v>
      </c>
    </row>
    <row r="9715" spans="2:2" ht="15.6">
      <c r="B9715" s="171">
        <v>-1907.2708297078307</v>
      </c>
    </row>
    <row r="9716" spans="2:2" ht="15.6">
      <c r="B9716" s="171">
        <v>-982.25128181956325</v>
      </c>
    </row>
    <row r="9717" spans="2:2" ht="15.6">
      <c r="B9717" s="171">
        <v>-2188.4273888470534</v>
      </c>
    </row>
    <row r="9718" spans="2:2" ht="15.6">
      <c r="B9718" s="171">
        <v>-1427.9193047983088</v>
      </c>
    </row>
    <row r="9719" spans="2:2" ht="15.6">
      <c r="B9719" s="171">
        <v>-1328.8165226860913</v>
      </c>
    </row>
    <row r="9720" spans="2:2" ht="15.6">
      <c r="B9720" s="171">
        <v>-1384.2911990421508</v>
      </c>
    </row>
    <row r="9721" spans="2:2" ht="15.6">
      <c r="B9721" s="171">
        <v>-1134.8537867629814</v>
      </c>
    </row>
    <row r="9722" spans="2:2" ht="15.6">
      <c r="B9722" s="171">
        <v>-2287.4761106326246</v>
      </c>
    </row>
    <row r="9723" spans="2:2" ht="15.6">
      <c r="B9723" s="171">
        <v>-1574.3827052127479</v>
      </c>
    </row>
    <row r="9724" spans="2:2" ht="15.6">
      <c r="B9724" s="171">
        <v>-1183.2498119582956</v>
      </c>
    </row>
    <row r="9725" spans="2:2" ht="15.6">
      <c r="B9725" s="171">
        <v>-1883.0733890141719</v>
      </c>
    </row>
    <row r="9726" spans="2:2" ht="15.6">
      <c r="B9726" s="171">
        <v>-1938.7311392649037</v>
      </c>
    </row>
    <row r="9727" spans="2:2" ht="15.6">
      <c r="B9727" s="171">
        <v>-1198.4586572593971</v>
      </c>
    </row>
    <row r="9728" spans="2:2" ht="15.6">
      <c r="B9728" s="171">
        <v>-1162.6226184867992</v>
      </c>
    </row>
    <row r="9729" spans="2:2" ht="15.6">
      <c r="B9729" s="171">
        <v>-1328.7342328419388</v>
      </c>
    </row>
    <row r="9730" spans="2:2" ht="15.6">
      <c r="B9730" s="171">
        <v>-1639.1281014789276</v>
      </c>
    </row>
    <row r="9731" spans="2:2" ht="15.6">
      <c r="B9731" s="171">
        <v>-1680.9042849948701</v>
      </c>
    </row>
    <row r="9732" spans="2:2" ht="15.6">
      <c r="B9732" s="171">
        <v>-955.99955935283515</v>
      </c>
    </row>
    <row r="9733" spans="2:2" ht="15.6">
      <c r="B9733" s="171">
        <v>-1616.6232984405851</v>
      </c>
    </row>
    <row r="9734" spans="2:2" ht="15.6">
      <c r="B9734" s="171">
        <v>-1393.7992347025756</v>
      </c>
    </row>
    <row r="9735" spans="2:2" ht="15.6">
      <c r="B9735" s="171">
        <v>-1481.6784102241645</v>
      </c>
    </row>
    <row r="9736" spans="2:2" ht="15.6">
      <c r="B9736" s="171">
        <v>-1337.9465533413609</v>
      </c>
    </row>
    <row r="9737" spans="2:2" ht="15.6">
      <c r="B9737" s="171">
        <v>-1542.4985571773859</v>
      </c>
    </row>
    <row r="9738" spans="2:2" ht="15.6">
      <c r="B9738" s="171">
        <v>-1848.4839437015075</v>
      </c>
    </row>
    <row r="9739" spans="2:2" ht="15.6">
      <c r="B9739" s="171">
        <v>-1534.8692768494525</v>
      </c>
    </row>
    <row r="9740" spans="2:2" ht="15.6">
      <c r="B9740" s="171">
        <v>-1796.5457701043083</v>
      </c>
    </row>
    <row r="9741" spans="2:2" ht="15.6">
      <c r="B9741" s="171">
        <v>-1407.637837571709</v>
      </c>
    </row>
    <row r="9742" spans="2:2" ht="15.6">
      <c r="B9742" s="171">
        <v>-1202.8088189337011</v>
      </c>
    </row>
    <row r="9743" spans="2:2" ht="15.6">
      <c r="B9743" s="171">
        <v>-1588.2414560452878</v>
      </c>
    </row>
    <row r="9744" spans="2:2" ht="15.6">
      <c r="B9744" s="171">
        <v>-2053.2198857397038</v>
      </c>
    </row>
    <row r="9745" spans="2:2" ht="15.6">
      <c r="B9745" s="171">
        <v>-1120.715979631535</v>
      </c>
    </row>
    <row r="9746" spans="2:2" ht="15.6">
      <c r="B9746" s="171">
        <v>-1679.8907320987514</v>
      </c>
    </row>
    <row r="9747" spans="2:2" ht="15.6">
      <c r="B9747" s="171">
        <v>-2196.8878171697888</v>
      </c>
    </row>
    <row r="9748" spans="2:2" ht="15.6">
      <c r="B9748" s="171">
        <v>-1310.334339209136</v>
      </c>
    </row>
    <row r="9749" spans="2:2" ht="15.6">
      <c r="B9749" s="171">
        <v>-2201.5556493236686</v>
      </c>
    </row>
    <row r="9750" spans="2:2" ht="15.6">
      <c r="B9750" s="171">
        <v>-1971.8273947629377</v>
      </c>
    </row>
    <row r="9751" spans="2:2" ht="15.6">
      <c r="B9751" s="171">
        <v>-2204.2163780221304</v>
      </c>
    </row>
    <row r="9752" spans="2:2" ht="15.6">
      <c r="B9752" s="171">
        <v>-1422.5232094698356</v>
      </c>
    </row>
    <row r="9753" spans="2:2" ht="15.6">
      <c r="B9753" s="171">
        <v>-1264.6718670351725</v>
      </c>
    </row>
    <row r="9754" spans="2:2" ht="15.6">
      <c r="B9754" s="171">
        <v>-2181.7301410083096</v>
      </c>
    </row>
    <row r="9755" spans="2:2" ht="15.6">
      <c r="B9755" s="171">
        <v>-898.14431830256353</v>
      </c>
    </row>
    <row r="9756" spans="2:2" ht="15.6">
      <c r="B9756" s="171">
        <v>-1764.7365806681046</v>
      </c>
    </row>
    <row r="9757" spans="2:2" ht="15.6">
      <c r="B9757" s="171">
        <v>-1152.4139969160276</v>
      </c>
    </row>
    <row r="9758" spans="2:2" ht="15.6">
      <c r="B9758" s="171">
        <v>-1852.7087785000213</v>
      </c>
    </row>
    <row r="9759" spans="2:2" ht="15.6">
      <c r="B9759" s="171">
        <v>-1649.2304119297521</v>
      </c>
    </row>
    <row r="9760" spans="2:2" ht="15.6">
      <c r="B9760" s="171">
        <v>-1275.8097219256565</v>
      </c>
    </row>
    <row r="9761" spans="2:2" ht="15.6">
      <c r="B9761" s="171">
        <v>-1671.9323160093836</v>
      </c>
    </row>
    <row r="9762" spans="2:2" ht="15.6">
      <c r="B9762" s="171">
        <v>-1354.5487100088071</v>
      </c>
    </row>
    <row r="9763" spans="2:2" ht="15.6">
      <c r="B9763" s="171">
        <v>-1361.1306068612751</v>
      </c>
    </row>
    <row r="9764" spans="2:2" ht="15.6">
      <c r="B9764" s="171">
        <v>-1293.0458717258457</v>
      </c>
    </row>
    <row r="9765" spans="2:2" ht="15.6">
      <c r="B9765" s="171">
        <v>-1986.6749586013302</v>
      </c>
    </row>
    <row r="9766" spans="2:2" ht="15.6">
      <c r="B9766" s="171">
        <v>-2050.1285961205235</v>
      </c>
    </row>
    <row r="9767" spans="2:2" ht="15.6">
      <c r="B9767" s="171">
        <v>-1531.73920540155</v>
      </c>
    </row>
    <row r="9768" spans="2:2" ht="15.6">
      <c r="B9768" s="171">
        <v>-1450.7418580139199</v>
      </c>
    </row>
    <row r="9769" spans="2:2" ht="15.6">
      <c r="B9769" s="171">
        <v>-1616.42221200215</v>
      </c>
    </row>
    <row r="9770" spans="2:2" ht="15.6">
      <c r="B9770" s="171">
        <v>-711.27867204778113</v>
      </c>
    </row>
    <row r="9771" spans="2:2" ht="15.6">
      <c r="B9771" s="171">
        <v>-1609.679557349175</v>
      </c>
    </row>
    <row r="9772" spans="2:2" ht="15.6">
      <c r="B9772" s="171">
        <v>-1893.0811355709159</v>
      </c>
    </row>
    <row r="9773" spans="2:2" ht="15.6">
      <c r="B9773" s="171">
        <v>-2320.1487099421001</v>
      </c>
    </row>
    <row r="9774" spans="2:2" ht="15.6">
      <c r="B9774" s="171">
        <v>-1640.4271754086558</v>
      </c>
    </row>
    <row r="9775" spans="2:2" ht="15.6">
      <c r="B9775" s="171">
        <v>-1561.835493203643</v>
      </c>
    </row>
    <row r="9776" spans="2:2" ht="15.6">
      <c r="B9776" s="171">
        <v>-1048.022052109204</v>
      </c>
    </row>
    <row r="9777" spans="2:2" ht="15.6">
      <c r="B9777" s="171">
        <v>-1676.8776496312094</v>
      </c>
    </row>
    <row r="9778" spans="2:2" ht="15.6">
      <c r="B9778" s="171">
        <v>-1572.9481227137201</v>
      </c>
    </row>
    <row r="9779" spans="2:2" ht="15.6">
      <c r="B9779" s="171">
        <v>-1225.3857049375797</v>
      </c>
    </row>
    <row r="9780" spans="2:2" ht="15.6">
      <c r="B9780" s="171">
        <v>-1363.8009389578838</v>
      </c>
    </row>
    <row r="9781" spans="2:2" ht="15.6">
      <c r="B9781" s="171">
        <v>-1241.0815688046564</v>
      </c>
    </row>
    <row r="9782" spans="2:2" ht="15.6">
      <c r="B9782" s="171">
        <v>-1665.9960809085655</v>
      </c>
    </row>
    <row r="9783" spans="2:2" ht="15.6">
      <c r="B9783" s="171">
        <v>-1268.3720367689457</v>
      </c>
    </row>
    <row r="9784" spans="2:2" ht="15.6">
      <c r="B9784" s="171">
        <v>-1537.9152060443557</v>
      </c>
    </row>
    <row r="9785" spans="2:2" ht="15.6">
      <c r="B9785" s="171">
        <v>-1823.5388232188325</v>
      </c>
    </row>
    <row r="9786" spans="2:2" ht="15.6">
      <c r="B9786" s="171">
        <v>-2567.6895694092859</v>
      </c>
    </row>
    <row r="9787" spans="2:2" ht="15.6">
      <c r="B9787" s="171">
        <v>-1260.2365232872089</v>
      </c>
    </row>
    <row r="9788" spans="2:2" ht="15.6">
      <c r="B9788" s="171">
        <v>-1595.6516137641302</v>
      </c>
    </row>
    <row r="9789" spans="2:2" ht="15.6">
      <c r="B9789" s="171">
        <v>-1541.0952583102132</v>
      </c>
    </row>
    <row r="9790" spans="2:2" ht="15.6">
      <c r="B9790" s="171">
        <v>-1716.3528853973444</v>
      </c>
    </row>
    <row r="9791" spans="2:2" ht="15.6">
      <c r="B9791" s="171">
        <v>-1778.6265779593309</v>
      </c>
    </row>
    <row r="9792" spans="2:2" ht="15.6">
      <c r="B9792" s="171">
        <v>-2075.5481210048979</v>
      </c>
    </row>
    <row r="9793" spans="2:2" ht="15.6">
      <c r="B9793" s="171">
        <v>-1680.9146542863186</v>
      </c>
    </row>
    <row r="9794" spans="2:2" ht="15.6">
      <c r="B9794" s="171">
        <v>-2182.4685802996869</v>
      </c>
    </row>
    <row r="9795" spans="2:2" ht="15.6">
      <c r="B9795" s="171">
        <v>-1030.0328121286486</v>
      </c>
    </row>
    <row r="9796" spans="2:2" ht="15.6">
      <c r="B9796" s="171">
        <v>-1434.3953864944747</v>
      </c>
    </row>
    <row r="9797" spans="2:2" ht="15.6">
      <c r="B9797" s="171">
        <v>-1436.4943680372196</v>
      </c>
    </row>
    <row r="9798" spans="2:2" ht="15.6">
      <c r="B9798" s="171">
        <v>-1330.8604871885955</v>
      </c>
    </row>
    <row r="9799" spans="2:2" ht="15.6">
      <c r="B9799" s="171">
        <v>-1753.2118230876406</v>
      </c>
    </row>
    <row r="9800" spans="2:2" ht="15.6">
      <c r="B9800" s="171">
        <v>-1970.2320656392262</v>
      </c>
    </row>
    <row r="9801" spans="2:2" ht="15.6">
      <c r="B9801" s="171">
        <v>-1665.2857678606902</v>
      </c>
    </row>
    <row r="9802" spans="2:2" ht="15.6">
      <c r="B9802" s="171">
        <v>-2399.6301406159819</v>
      </c>
    </row>
    <row r="9803" spans="2:2" ht="15.6">
      <c r="B9803" s="171">
        <v>-1701.1504965025897</v>
      </c>
    </row>
    <row r="9804" spans="2:2" ht="15.6">
      <c r="B9804" s="171">
        <v>-1926.4400914199364</v>
      </c>
    </row>
    <row r="9805" spans="2:2" ht="15.6">
      <c r="B9805" s="171">
        <v>-1187.4512030112496</v>
      </c>
    </row>
    <row r="9806" spans="2:2" ht="15.6">
      <c r="B9806" s="171">
        <v>-1367.1155888596277</v>
      </c>
    </row>
    <row r="9807" spans="2:2" ht="15.6">
      <c r="B9807" s="171">
        <v>-1999.282958415962</v>
      </c>
    </row>
    <row r="9808" spans="2:2" ht="15.6">
      <c r="B9808" s="171">
        <v>-1673.160974678512</v>
      </c>
    </row>
    <row r="9809" spans="2:2" ht="15.6">
      <c r="B9809" s="171">
        <v>-1760.4962480881463</v>
      </c>
    </row>
    <row r="9810" spans="2:2" ht="15.6">
      <c r="B9810" s="171">
        <v>-720.62229854208965</v>
      </c>
    </row>
    <row r="9811" spans="2:2" ht="15.6">
      <c r="B9811" s="171">
        <v>-2059.602606731195</v>
      </c>
    </row>
    <row r="9812" spans="2:2" ht="15.6">
      <c r="B9812" s="171">
        <v>-1400.6318370860013</v>
      </c>
    </row>
    <row r="9813" spans="2:2" ht="15.6">
      <c r="B9813" s="171">
        <v>-1680.5806021635653</v>
      </c>
    </row>
    <row r="9814" spans="2:2" ht="15.6">
      <c r="B9814" s="171">
        <v>-1471.7019723855844</v>
      </c>
    </row>
    <row r="9815" spans="2:2" ht="15.6">
      <c r="B9815" s="171">
        <v>-1577.0945094188194</v>
      </c>
    </row>
    <row r="9816" spans="2:2" ht="15.6">
      <c r="B9816" s="171">
        <v>-1572.8872258396989</v>
      </c>
    </row>
    <row r="9817" spans="2:2" ht="15.6">
      <c r="B9817" s="171">
        <v>-1228.6056068809676</v>
      </c>
    </row>
    <row r="9818" spans="2:2" ht="15.6">
      <c r="B9818" s="171">
        <v>-1963.5630976159166</v>
      </c>
    </row>
    <row r="9819" spans="2:2" ht="15.6">
      <c r="B9819" s="171">
        <v>-1455.4286652680594</v>
      </c>
    </row>
    <row r="9820" spans="2:2" ht="15.6">
      <c r="B9820" s="171">
        <v>-1242.0317307232872</v>
      </c>
    </row>
    <row r="9821" spans="2:2" ht="15.6">
      <c r="B9821" s="171">
        <v>-1411.512642969795</v>
      </c>
    </row>
    <row r="9822" spans="2:2" ht="15.6">
      <c r="B9822" s="171">
        <v>-714.28900005231708</v>
      </c>
    </row>
    <row r="9823" spans="2:2" ht="15.6">
      <c r="B9823" s="171">
        <v>-1033.2375967373041</v>
      </c>
    </row>
    <row r="9824" spans="2:2" ht="15.6">
      <c r="B9824" s="171">
        <v>-1069.2875346542589</v>
      </c>
    </row>
    <row r="9825" spans="2:2" ht="15.6">
      <c r="B9825" s="171">
        <v>-1523.4098906521799</v>
      </c>
    </row>
    <row r="9826" spans="2:2" ht="15.6">
      <c r="B9826" s="171">
        <v>-1753.6348923213272</v>
      </c>
    </row>
    <row r="9827" spans="2:2" ht="15.6">
      <c r="B9827" s="171">
        <v>-1471.9013098975179</v>
      </c>
    </row>
    <row r="9828" spans="2:2" ht="15.6">
      <c r="B9828" s="171">
        <v>-1902.3992225509023</v>
      </c>
    </row>
    <row r="9829" spans="2:2" ht="15.6">
      <c r="B9829" s="171">
        <v>-1319.8961124168397</v>
      </c>
    </row>
    <row r="9830" spans="2:2" ht="15.6">
      <c r="B9830" s="171">
        <v>-1417.7776566079915</v>
      </c>
    </row>
    <row r="9831" spans="2:2" ht="15.6">
      <c r="B9831" s="171">
        <v>-1876.2098093633167</v>
      </c>
    </row>
    <row r="9832" spans="2:2" ht="15.6">
      <c r="B9832" s="171">
        <v>-2046.9334175300223</v>
      </c>
    </row>
    <row r="9833" spans="2:2" ht="15.6">
      <c r="B9833" s="171">
        <v>-1365.2432035209199</v>
      </c>
    </row>
    <row r="9834" spans="2:2" ht="15.6">
      <c r="B9834" s="171">
        <v>-2415.2838938010077</v>
      </c>
    </row>
    <row r="9835" spans="2:2" ht="15.6">
      <c r="B9835" s="171">
        <v>-990.55004835102932</v>
      </c>
    </row>
    <row r="9836" spans="2:2" ht="15.6">
      <c r="B9836" s="171">
        <v>-1179.0632549829818</v>
      </c>
    </row>
    <row r="9837" spans="2:2" ht="15.6">
      <c r="B9837" s="171">
        <v>-1314.9285494232392</v>
      </c>
    </row>
    <row r="9838" spans="2:2" ht="15.6">
      <c r="B9838" s="171">
        <v>-1384.3527013742089</v>
      </c>
    </row>
    <row r="9839" spans="2:2" ht="15.6">
      <c r="B9839" s="171">
        <v>-1171.4768638157632</v>
      </c>
    </row>
    <row r="9840" spans="2:2" ht="15.6">
      <c r="B9840" s="171">
        <v>-2064.7096422148188</v>
      </c>
    </row>
    <row r="9841" spans="2:2" ht="15.6">
      <c r="B9841" s="171">
        <v>-932.19392657203048</v>
      </c>
    </row>
    <row r="9842" spans="2:2" ht="15.6">
      <c r="B9842" s="171">
        <v>-1618.3400009733548</v>
      </c>
    </row>
    <row r="9843" spans="2:2" ht="15.6">
      <c r="B9843" s="171">
        <v>-1583.1516978159066</v>
      </c>
    </row>
    <row r="9844" spans="2:2" ht="15.6">
      <c r="B9844" s="171">
        <v>-1289.9824044969102</v>
      </c>
    </row>
    <row r="9845" spans="2:2" ht="15.6">
      <c r="B9845" s="171">
        <v>-2226.2739310563952</v>
      </c>
    </row>
    <row r="9846" spans="2:2" ht="15.6">
      <c r="B9846" s="171">
        <v>-2355.467949065699</v>
      </c>
    </row>
    <row r="9847" spans="2:2" ht="15.6">
      <c r="B9847" s="171">
        <v>-1162.1114563342189</v>
      </c>
    </row>
    <row r="9848" spans="2:2" ht="15.6">
      <c r="B9848" s="171">
        <v>-961.91539039395832</v>
      </c>
    </row>
    <row r="9849" spans="2:2" ht="15.6">
      <c r="B9849" s="171">
        <v>-1889.8270136625415</v>
      </c>
    </row>
    <row r="9850" spans="2:2" ht="15.6">
      <c r="B9850" s="171">
        <v>-1457.5312146621818</v>
      </c>
    </row>
    <row r="9851" spans="2:2" ht="15.6">
      <c r="B9851" s="171">
        <v>-1645.882045839262</v>
      </c>
    </row>
    <row r="9852" spans="2:2" ht="15.6">
      <c r="B9852" s="171">
        <v>-2792.3499142527266</v>
      </c>
    </row>
    <row r="9853" spans="2:2" ht="15.6">
      <c r="B9853" s="171">
        <v>-1488.5110803121927</v>
      </c>
    </row>
    <row r="9854" spans="2:2" ht="15.6">
      <c r="B9854" s="171">
        <v>-1720.9453359604431</v>
      </c>
    </row>
    <row r="9855" spans="2:2" ht="15.6">
      <c r="B9855" s="171">
        <v>-916.80819685554297</v>
      </c>
    </row>
    <row r="9856" spans="2:2" ht="15.6">
      <c r="B9856" s="171">
        <v>-2206.8114236747742</v>
      </c>
    </row>
    <row r="9857" spans="2:2" ht="15.6">
      <c r="B9857" s="171">
        <v>-1718.2062322032655</v>
      </c>
    </row>
    <row r="9858" spans="2:2" ht="15.6">
      <c r="B9858" s="171">
        <v>-1145.1193847060863</v>
      </c>
    </row>
    <row r="9859" spans="2:2" ht="15.6">
      <c r="B9859" s="171">
        <v>-1511.97669800475</v>
      </c>
    </row>
    <row r="9860" spans="2:2" ht="15.6">
      <c r="B9860" s="171">
        <v>-2138.286332356307</v>
      </c>
    </row>
    <row r="9861" spans="2:2" ht="15.6">
      <c r="B9861" s="171">
        <v>-2405.1716401510566</v>
      </c>
    </row>
    <row r="9862" spans="2:2" ht="15.6">
      <c r="B9862" s="171">
        <v>-1792.8663129858262</v>
      </c>
    </row>
    <row r="9863" spans="2:2" ht="15.6">
      <c r="B9863" s="171">
        <v>-1712.146263465394</v>
      </c>
    </row>
    <row r="9864" spans="2:2" ht="15.6">
      <c r="B9864" s="171">
        <v>-1750.2932654336478</v>
      </c>
    </row>
    <row r="9865" spans="2:2" ht="15.6">
      <c r="B9865" s="171">
        <v>-2312.2400418094617</v>
      </c>
    </row>
    <row r="9866" spans="2:2" ht="15.6">
      <c r="B9866" s="171">
        <v>-2040.3987502673028</v>
      </c>
    </row>
    <row r="9867" spans="2:2" ht="15.6">
      <c r="B9867" s="171">
        <v>-1313.1961464525766</v>
      </c>
    </row>
    <row r="9868" spans="2:2" ht="15.6">
      <c r="B9868" s="171">
        <v>-1695.632946352127</v>
      </c>
    </row>
    <row r="9869" spans="2:2" ht="15.6">
      <c r="B9869" s="171">
        <v>-1458.4845129648015</v>
      </c>
    </row>
    <row r="9870" spans="2:2" ht="15.6">
      <c r="B9870" s="171">
        <v>-1093.5054996787796</v>
      </c>
    </row>
    <row r="9871" spans="2:2" ht="15.6">
      <c r="B9871" s="171">
        <v>-1721.2572648712489</v>
      </c>
    </row>
    <row r="9872" spans="2:2" ht="15.6">
      <c r="B9872" s="171">
        <v>-1778.154002898375</v>
      </c>
    </row>
    <row r="9873" spans="2:2" ht="15.6">
      <c r="B9873" s="171">
        <v>-1618.9973659783564</v>
      </c>
    </row>
    <row r="9874" spans="2:2" ht="15.6">
      <c r="B9874" s="171">
        <v>-1860.2546290540827</v>
      </c>
    </row>
    <row r="9875" spans="2:2" ht="15.6">
      <c r="B9875" s="171">
        <v>-2325.0482715796079</v>
      </c>
    </row>
    <row r="9876" spans="2:2" ht="15.6">
      <c r="B9876" s="171">
        <v>-2058.9475734087641</v>
      </c>
    </row>
    <row r="9877" spans="2:2" ht="15.6">
      <c r="B9877" s="171">
        <v>-1136.8244349047498</v>
      </c>
    </row>
    <row r="9878" spans="2:2" ht="15.6">
      <c r="B9878" s="171">
        <v>-1600.6256476829792</v>
      </c>
    </row>
    <row r="9879" spans="2:2" ht="15.6">
      <c r="B9879" s="171">
        <v>-1536.9792810215667</v>
      </c>
    </row>
    <row r="9880" spans="2:2" ht="15.6">
      <c r="B9880" s="171">
        <v>-1373.0991681851467</v>
      </c>
    </row>
    <row r="9881" spans="2:2" ht="15.6">
      <c r="B9881" s="171">
        <v>-1305.9610650224613</v>
      </c>
    </row>
    <row r="9882" spans="2:2" ht="15.6">
      <c r="B9882" s="171">
        <v>-2261.1873324720882</v>
      </c>
    </row>
    <row r="9883" spans="2:2" ht="15.6">
      <c r="B9883" s="171">
        <v>-1435.7451970280417</v>
      </c>
    </row>
    <row r="9884" spans="2:2" ht="15.6">
      <c r="B9884" s="171">
        <v>-998.39386917402067</v>
      </c>
    </row>
    <row r="9885" spans="2:2" ht="15.6">
      <c r="B9885" s="171">
        <v>-1253.2540108476676</v>
      </c>
    </row>
    <row r="9886" spans="2:2" ht="15.6">
      <c r="B9886" s="171">
        <v>-1697.5309993353808</v>
      </c>
    </row>
    <row r="9887" spans="2:2" ht="15.6">
      <c r="B9887" s="171">
        <v>-1593.6923469085939</v>
      </c>
    </row>
    <row r="9888" spans="2:2" ht="15.6">
      <c r="B9888" s="171">
        <v>-1458.9016522268973</v>
      </c>
    </row>
    <row r="9889" spans="2:2" ht="15.6">
      <c r="B9889" s="171">
        <v>-1808.8938901890674</v>
      </c>
    </row>
    <row r="9890" spans="2:2" ht="15.6">
      <c r="B9890" s="171">
        <v>-1498.0791483207468</v>
      </c>
    </row>
    <row r="9891" spans="2:2" ht="15.6">
      <c r="B9891" s="171">
        <v>-1723.3349041780916</v>
      </c>
    </row>
    <row r="9892" spans="2:2" ht="15.6">
      <c r="B9892" s="171">
        <v>-2307.198561552098</v>
      </c>
    </row>
    <row r="9893" spans="2:2" ht="15.6">
      <c r="B9893" s="171">
        <v>-1601.0792957977681</v>
      </c>
    </row>
    <row r="9894" spans="2:2" ht="15.6">
      <c r="B9894" s="171">
        <v>-1220.0271697447065</v>
      </c>
    </row>
    <row r="9895" spans="2:2" ht="15.6">
      <c r="B9895" s="171">
        <v>-2209.9136310370855</v>
      </c>
    </row>
    <row r="9896" spans="2:2" ht="15.6">
      <c r="B9896" s="171">
        <v>-1176.4195380499857</v>
      </c>
    </row>
    <row r="9897" spans="2:2" ht="15.6">
      <c r="B9897" s="171">
        <v>-1130.4232311774372</v>
      </c>
    </row>
    <row r="9898" spans="2:2" ht="15.6">
      <c r="B9898" s="171">
        <v>-1497.5123990442366</v>
      </c>
    </row>
    <row r="9899" spans="2:2" ht="15.6">
      <c r="B9899" s="171">
        <v>-1020.8016518869408</v>
      </c>
    </row>
    <row r="9900" spans="2:2" ht="15.6">
      <c r="B9900" s="171">
        <v>-1750.4327886736078</v>
      </c>
    </row>
    <row r="9901" spans="2:2" ht="15.6">
      <c r="B9901" s="171">
        <v>-956.0537815371024</v>
      </c>
    </row>
    <row r="9902" spans="2:2" ht="15.6">
      <c r="B9902" s="171">
        <v>-1505.7416310821452</v>
      </c>
    </row>
    <row r="9903" spans="2:2" ht="15.6">
      <c r="B9903" s="171">
        <v>-1438.4529113196202</v>
      </c>
    </row>
    <row r="9904" spans="2:2" ht="15.6">
      <c r="B9904" s="171">
        <v>-2081.5903227253716</v>
      </c>
    </row>
    <row r="9905" spans="2:2" ht="15.6">
      <c r="B9905" s="171">
        <v>-1867.9317034133855</v>
      </c>
    </row>
    <row r="9906" spans="2:2" ht="15.6">
      <c r="B9906" s="171">
        <v>-1370.8567817320081</v>
      </c>
    </row>
    <row r="9907" spans="2:2" ht="15.6">
      <c r="B9907" s="171">
        <v>-1651.4488496201466</v>
      </c>
    </row>
    <row r="9908" spans="2:2" ht="15.6">
      <c r="B9908" s="171">
        <v>-1191.35233921184</v>
      </c>
    </row>
    <row r="9909" spans="2:2" ht="15.6">
      <c r="B9909" s="171">
        <v>-2077.0208302738074</v>
      </c>
    </row>
    <row r="9910" spans="2:2" ht="15.6">
      <c r="B9910" s="171">
        <v>-1350.4061998048114</v>
      </c>
    </row>
    <row r="9911" spans="2:2" ht="15.6">
      <c r="B9911" s="171">
        <v>-1701.102487584358</v>
      </c>
    </row>
    <row r="9912" spans="2:2" ht="15.6">
      <c r="B9912" s="171">
        <v>-2212.3288784758747</v>
      </c>
    </row>
    <row r="9913" spans="2:2" ht="15.6">
      <c r="B9913" s="171">
        <v>-1461.1370218693596</v>
      </c>
    </row>
    <row r="9914" spans="2:2" ht="15.6">
      <c r="B9914" s="171">
        <v>-1211.5113283512721</v>
      </c>
    </row>
    <row r="9915" spans="2:2" ht="15.6">
      <c r="B9915" s="171">
        <v>-1753.9373146585442</v>
      </c>
    </row>
    <row r="9916" spans="2:2" ht="15.6">
      <c r="B9916" s="171">
        <v>-1644.490151640159</v>
      </c>
    </row>
    <row r="9917" spans="2:2" ht="15.6">
      <c r="B9917" s="171">
        <v>-1596.2979523979538</v>
      </c>
    </row>
    <row r="9918" spans="2:2" ht="15.6">
      <c r="B9918" s="171">
        <v>-2243.6764160486073</v>
      </c>
    </row>
    <row r="9919" spans="2:2" ht="15.6">
      <c r="B9919" s="171">
        <v>-1078.8649838737085</v>
      </c>
    </row>
    <row r="9920" spans="2:2" ht="15.6">
      <c r="B9920" s="171">
        <v>-1125.7052623261557</v>
      </c>
    </row>
    <row r="9921" spans="2:2" ht="15.6">
      <c r="B9921" s="171">
        <v>-2256.4570897088047</v>
      </c>
    </row>
    <row r="9922" spans="2:2" ht="15.6">
      <c r="B9922" s="171">
        <v>-2996.0203448822649</v>
      </c>
    </row>
    <row r="9923" spans="2:2" ht="15.6">
      <c r="B9923" s="171">
        <v>-1741.0530998685397</v>
      </c>
    </row>
    <row r="9924" spans="2:2" ht="15.6">
      <c r="B9924" s="171">
        <v>-1802.932611644695</v>
      </c>
    </row>
    <row r="9925" spans="2:2" ht="15.6">
      <c r="B9925" s="171">
        <v>-1759.5517072341966</v>
      </c>
    </row>
    <row r="9926" spans="2:2" ht="15.6">
      <c r="B9926" s="171">
        <v>-1230.321213350212</v>
      </c>
    </row>
    <row r="9927" spans="2:2" ht="15.6">
      <c r="B9927" s="171">
        <v>-2249.3934397848402</v>
      </c>
    </row>
    <row r="9928" spans="2:2" ht="15.6">
      <c r="B9928" s="171">
        <v>-1295.1372974571973</v>
      </c>
    </row>
    <row r="9929" spans="2:2" ht="15.6">
      <c r="B9929" s="171">
        <v>-1376.0359668082526</v>
      </c>
    </row>
    <row r="9930" spans="2:2" ht="15.6">
      <c r="B9930" s="171">
        <v>-1768.4600856647539</v>
      </c>
    </row>
    <row r="9931" spans="2:2" ht="15.6">
      <c r="B9931" s="171">
        <v>-1491.3145185615017</v>
      </c>
    </row>
    <row r="9932" spans="2:2" ht="15.6">
      <c r="B9932" s="171">
        <v>-1335.6136226637552</v>
      </c>
    </row>
    <row r="9933" spans="2:2" ht="15.6">
      <c r="B9933" s="171">
        <v>-2499.9853318604569</v>
      </c>
    </row>
    <row r="9934" spans="2:2" ht="15.6">
      <c r="B9934" s="171">
        <v>-1267.2662696584355</v>
      </c>
    </row>
    <row r="9935" spans="2:2" ht="15.6">
      <c r="B9935" s="171">
        <v>-1569.1253188767453</v>
      </c>
    </row>
    <row r="9936" spans="2:2" ht="15.6">
      <c r="B9936" s="171">
        <v>-1374.8744795866432</v>
      </c>
    </row>
    <row r="9937" spans="2:2" ht="15.6">
      <c r="B9937" s="171">
        <v>-1510.661408386432</v>
      </c>
    </row>
    <row r="9938" spans="2:2" ht="15.6">
      <c r="B9938" s="171">
        <v>-534.03999239805444</v>
      </c>
    </row>
    <row r="9939" spans="2:2" ht="15.6">
      <c r="B9939" s="171">
        <v>-2250.0902622488838</v>
      </c>
    </row>
    <row r="9940" spans="2:2" ht="15.6">
      <c r="B9940" s="171">
        <v>-1476.2229345768576</v>
      </c>
    </row>
    <row r="9941" spans="2:2" ht="15.6">
      <c r="B9941" s="171">
        <v>-1141.8086565987364</v>
      </c>
    </row>
    <row r="9942" spans="2:2" ht="15.6">
      <c r="B9942" s="171">
        <v>-2040.9408017628109</v>
      </c>
    </row>
    <row r="9943" spans="2:2" ht="15.6">
      <c r="B9943" s="171">
        <v>-1345.7615908933033</v>
      </c>
    </row>
    <row r="9944" spans="2:2" ht="15.6">
      <c r="B9944" s="171">
        <v>-2122.0564766478392</v>
      </c>
    </row>
    <row r="9945" spans="2:2" ht="15.6">
      <c r="B9945" s="171">
        <v>-1300.5582364543616</v>
      </c>
    </row>
    <row r="9946" spans="2:2" ht="15.6">
      <c r="B9946" s="171">
        <v>-1949.8463846645368</v>
      </c>
    </row>
    <row r="9947" spans="2:2" ht="15.6">
      <c r="B9947" s="171">
        <v>-1390.0894805781882</v>
      </c>
    </row>
    <row r="9948" spans="2:2" ht="15.6">
      <c r="B9948" s="171">
        <v>-2401.8960684757171</v>
      </c>
    </row>
    <row r="9949" spans="2:2" ht="15.6">
      <c r="B9949" s="171">
        <v>-945.66153706780415</v>
      </c>
    </row>
    <row r="9950" spans="2:2" ht="15.6">
      <c r="B9950" s="171">
        <v>-1479.05321797182</v>
      </c>
    </row>
    <row r="9951" spans="2:2" ht="15.6">
      <c r="B9951" s="171">
        <v>-1408.3358704698117</v>
      </c>
    </row>
    <row r="9952" spans="2:2" ht="15.6">
      <c r="B9952" s="171">
        <v>-1028.2469571013437</v>
      </c>
    </row>
    <row r="9953" spans="2:2" ht="15.6">
      <c r="B9953" s="171">
        <v>-1098.5147189580962</v>
      </c>
    </row>
    <row r="9954" spans="2:2" ht="15.6">
      <c r="B9954" s="171">
        <v>-1582.8745319979314</v>
      </c>
    </row>
    <row r="9955" spans="2:2" ht="15.6">
      <c r="B9955" s="171">
        <v>-1394.8684399019701</v>
      </c>
    </row>
    <row r="9956" spans="2:2" ht="15.6">
      <c r="B9956" s="171">
        <v>-1776.5493179815865</v>
      </c>
    </row>
    <row r="9957" spans="2:2" ht="15.6">
      <c r="B9957" s="171">
        <v>-1950.2883123282097</v>
      </c>
    </row>
    <row r="9958" spans="2:2" ht="15.6">
      <c r="B9958" s="171">
        <v>-1461.1707874459121</v>
      </c>
    </row>
    <row r="9959" spans="2:2" ht="15.6">
      <c r="B9959" s="171">
        <v>-1528.2950565405924</v>
      </c>
    </row>
    <row r="9960" spans="2:2" ht="15.6">
      <c r="B9960" s="171">
        <v>-1394.7443905954235</v>
      </c>
    </row>
    <row r="9961" spans="2:2" ht="15.6">
      <c r="B9961" s="171">
        <v>-1883.8807793628007</v>
      </c>
    </row>
    <row r="9962" spans="2:2" ht="15.6">
      <c r="B9962" s="171">
        <v>-1156.8287031558411</v>
      </c>
    </row>
    <row r="9963" spans="2:2" ht="15.6">
      <c r="B9963" s="171">
        <v>-1695.3503755974377</v>
      </c>
    </row>
    <row r="9964" spans="2:2" ht="15.6">
      <c r="B9964" s="171">
        <v>-782.77195040390734</v>
      </c>
    </row>
    <row r="9965" spans="2:2" ht="15.6">
      <c r="B9965" s="171">
        <v>-990.9145300959143</v>
      </c>
    </row>
    <row r="9966" spans="2:2" ht="15.6">
      <c r="B9966" s="171">
        <v>-2001.994950055451</v>
      </c>
    </row>
    <row r="9967" spans="2:2" ht="15.6">
      <c r="B9967" s="171">
        <v>-1417.8412709214324</v>
      </c>
    </row>
    <row r="9968" spans="2:2" ht="15.6">
      <c r="B9968" s="171">
        <v>-2349.661699723034</v>
      </c>
    </row>
    <row r="9969" spans="2:2" ht="15.6">
      <c r="B9969" s="171">
        <v>-2286.7938073393643</v>
      </c>
    </row>
    <row r="9970" spans="2:2" ht="15.6">
      <c r="B9970" s="171">
        <v>-1916.767923378075</v>
      </c>
    </row>
    <row r="9971" spans="2:2" ht="15.6">
      <c r="B9971" s="171">
        <v>-1940.1811694725907</v>
      </c>
    </row>
    <row r="9972" spans="2:2" ht="15.6">
      <c r="B9972" s="171">
        <v>-1522.7832986185001</v>
      </c>
    </row>
    <row r="9973" spans="2:2" ht="15.6">
      <c r="B9973" s="171">
        <v>-1192.7514935927688</v>
      </c>
    </row>
    <row r="9974" spans="2:2" ht="15.6">
      <c r="B9974" s="171">
        <v>-1633.1483011839232</v>
      </c>
    </row>
    <row r="9975" spans="2:2" ht="15.6">
      <c r="B9975" s="171">
        <v>-1415.9749010348207</v>
      </c>
    </row>
    <row r="9976" spans="2:2" ht="15.6">
      <c r="B9976" s="171">
        <v>-1760.8760411496085</v>
      </c>
    </row>
    <row r="9977" spans="2:2" ht="15.6">
      <c r="B9977" s="171">
        <v>-1641.2267538021811</v>
      </c>
    </row>
    <row r="9978" spans="2:2" ht="15.6">
      <c r="B9978" s="171">
        <v>-1881.7339116462799</v>
      </c>
    </row>
    <row r="9979" spans="2:2" ht="15.6">
      <c r="B9979" s="171">
        <v>-1304.2998389273764</v>
      </c>
    </row>
    <row r="9980" spans="2:2" ht="15.6">
      <c r="B9980" s="171">
        <v>-2107.0169769502149</v>
      </c>
    </row>
    <row r="9981" spans="2:2" ht="15.6">
      <c r="B9981" s="171">
        <v>-1458.3003921300358</v>
      </c>
    </row>
    <row r="9982" spans="2:2" ht="15.6">
      <c r="B9982" s="171">
        <v>-1296.8051014157631</v>
      </c>
    </row>
    <row r="9983" spans="2:2" ht="15.6">
      <c r="B9983" s="171">
        <v>-1771.4634208694399</v>
      </c>
    </row>
    <row r="9984" spans="2:2" ht="15.6">
      <c r="B9984" s="171">
        <v>-1843.4193585703831</v>
      </c>
    </row>
    <row r="9985" spans="2:2" ht="15.6">
      <c r="B9985" s="171">
        <v>-1545.5356384329568</v>
      </c>
    </row>
    <row r="9986" spans="2:2" ht="15.6">
      <c r="B9986" s="171">
        <v>-1612.6212164773092</v>
      </c>
    </row>
    <row r="9987" spans="2:2" ht="15.6">
      <c r="B9987" s="171">
        <v>-2521.502028809125</v>
      </c>
    </row>
    <row r="9988" spans="2:2" ht="15.6">
      <c r="B9988" s="171">
        <v>-1412.0437393213165</v>
      </c>
    </row>
    <row r="9989" spans="2:2" ht="15.6">
      <c r="B9989" s="171">
        <v>-975.16386336463199</v>
      </c>
    </row>
    <row r="9990" spans="2:2" ht="15.6">
      <c r="B9990" s="171">
        <v>-1723.2741613914077</v>
      </c>
    </row>
    <row r="9991" spans="2:2" ht="15.6">
      <c r="B9991" s="171">
        <v>-2332.4251057996903</v>
      </c>
    </row>
    <row r="9992" spans="2:2" ht="15.6">
      <c r="B9992" s="171">
        <v>-971.92759896484915</v>
      </c>
    </row>
    <row r="9993" spans="2:2" ht="15.6">
      <c r="B9993" s="171">
        <v>-1785.1588306954984</v>
      </c>
    </row>
    <row r="9994" spans="2:2" ht="15.6">
      <c r="B9994" s="171">
        <v>-1041.5032848991957</v>
      </c>
    </row>
    <row r="9995" spans="2:2" ht="15.6">
      <c r="B9995" s="171">
        <v>-1262.5253847321226</v>
      </c>
    </row>
    <row r="9996" spans="2:2" ht="15.6">
      <c r="B9996" s="171">
        <v>-1926.2389762229586</v>
      </c>
    </row>
    <row r="9997" spans="2:2" ht="15.6">
      <c r="B9997" s="171">
        <v>-1810.7250560202579</v>
      </c>
    </row>
    <row r="9998" spans="2:2" ht="15.6">
      <c r="B9998" s="171">
        <v>-1113.3152912612688</v>
      </c>
    </row>
    <row r="9999" spans="2:2" ht="15.6">
      <c r="B9999" s="171">
        <v>-2031.0644713230458</v>
      </c>
    </row>
    <row r="10000" spans="2:2" ht="15.6">
      <c r="B10000" s="171">
        <v>-2132.3315655409833</v>
      </c>
    </row>
    <row r="10001" spans="2:2" ht="15.6">
      <c r="B10001" s="171">
        <v>-1513.9942185354339</v>
      </c>
    </row>
    <row r="10002" spans="2:2" ht="15.6">
      <c r="B10002" s="171">
        <v>-1953.4141122945041</v>
      </c>
    </row>
    <row r="10003" spans="2:2" ht="15.6">
      <c r="B10003" s="171">
        <v>-1461.0436667835836</v>
      </c>
    </row>
    <row r="10004" spans="2:2" ht="15.6">
      <c r="B10004" s="171">
        <v>-1896.2556795795322</v>
      </c>
    </row>
    <row r="10005" spans="2:2" ht="15.6">
      <c r="B10005" s="171">
        <v>-1710.8087544264802</v>
      </c>
    </row>
    <row r="10006" spans="2:2" ht="15.6">
      <c r="B10006" s="171">
        <v>-1899.3284434594591</v>
      </c>
    </row>
    <row r="10007" spans="2:2" ht="15.6">
      <c r="B10007" s="171">
        <v>-1628.618846418867</v>
      </c>
    </row>
    <row r="10008" spans="2:2" ht="15.6">
      <c r="B10008" s="171">
        <v>-1317.4287041955304</v>
      </c>
    </row>
    <row r="10009" spans="2:2" ht="15.6">
      <c r="B10009" s="171">
        <v>-1671.8239680188574</v>
      </c>
    </row>
    <row r="10010" spans="2:2" ht="15.6">
      <c r="B10010" s="171">
        <v>-1647.7750324822152</v>
      </c>
    </row>
    <row r="10011" spans="2:2" ht="15.6">
      <c r="B10011" s="171">
        <v>-1309.2733740270362</v>
      </c>
    </row>
    <row r="10012" spans="2:2" ht="15.6">
      <c r="B10012" s="171">
        <v>-1475.8059422535923</v>
      </c>
    </row>
    <row r="10013" spans="2:2" ht="15.6">
      <c r="B10013" s="171">
        <v>-1441.9261112595389</v>
      </c>
    </row>
    <row r="10014" spans="2:2" ht="15.6">
      <c r="B10014" s="171">
        <v>-2198.9418343158113</v>
      </c>
    </row>
    <row r="10015" spans="2:2" ht="15.6">
      <c r="B10015" s="171">
        <v>-2054.5576448740258</v>
      </c>
    </row>
    <row r="10016" spans="2:2" ht="15.6">
      <c r="B10016" s="171">
        <v>-2242.1194750820505</v>
      </c>
    </row>
    <row r="10017" spans="2:2" ht="15.6">
      <c r="B10017" s="171">
        <v>-1856.8560813547965</v>
      </c>
    </row>
    <row r="10018" spans="2:2" ht="15.6">
      <c r="B10018" s="171">
        <v>-1718.8749457320794</v>
      </c>
    </row>
    <row r="10019" spans="2:2" ht="15.6">
      <c r="B10019" s="171">
        <v>-1555.354957772224</v>
      </c>
    </row>
    <row r="10020" spans="2:2" ht="15.6">
      <c r="B10020" s="171">
        <v>-1447.7141587919264</v>
      </c>
    </row>
    <row r="10021" spans="2:2" ht="15.6">
      <c r="B10021" s="171">
        <v>-1328.2947368054656</v>
      </c>
    </row>
    <row r="10022" spans="2:2" ht="15.6">
      <c r="B10022" s="171">
        <v>-1005.114221499326</v>
      </c>
    </row>
    <row r="10023" spans="2:2" ht="15.6">
      <c r="B10023" s="171">
        <v>-1501.9451912114102</v>
      </c>
    </row>
    <row r="10024" spans="2:2" ht="15.6">
      <c r="B10024" s="171">
        <v>-1355.6077735432859</v>
      </c>
    </row>
    <row r="10025" spans="2:2" ht="15.6">
      <c r="B10025" s="171">
        <v>-961.84328706847828</v>
      </c>
    </row>
    <row r="10026" spans="2:2" ht="15.6">
      <c r="B10026" s="171">
        <v>-1058.818320537385</v>
      </c>
    </row>
    <row r="10027" spans="2:2" ht="15.6">
      <c r="B10027" s="171">
        <v>-2503.2745902870593</v>
      </c>
    </row>
    <row r="10028" spans="2:2" ht="15.6">
      <c r="B10028" s="171">
        <v>-1501.379712233419</v>
      </c>
    </row>
    <row r="10029" spans="2:2" ht="15.6">
      <c r="B10029" s="171">
        <v>-2064.651612996221</v>
      </c>
    </row>
    <row r="10030" spans="2:2" ht="15.6">
      <c r="B10030" s="171">
        <v>-1454.6575560482133</v>
      </c>
    </row>
    <row r="10031" spans="2:2" ht="15.6">
      <c r="B10031" s="171">
        <v>-2503.5618039111027</v>
      </c>
    </row>
    <row r="10032" spans="2:2" ht="15.6">
      <c r="B10032" s="171">
        <v>-1886.1988085358053</v>
      </c>
    </row>
    <row r="10033" spans="2:2" ht="15.6">
      <c r="B10033" s="171">
        <v>-1897.8075366333164</v>
      </c>
    </row>
    <row r="10034" spans="2:2" ht="15.6">
      <c r="B10034" s="171">
        <v>-1920.3364070376347</v>
      </c>
    </row>
    <row r="10035" spans="2:2" ht="15.6">
      <c r="B10035" s="171">
        <v>-1195.4211969470225</v>
      </c>
    </row>
    <row r="10036" spans="2:2" ht="15.6">
      <c r="B10036" s="171">
        <v>-1447.5304033367065</v>
      </c>
    </row>
    <row r="10037" spans="2:2" ht="15.6">
      <c r="B10037" s="171">
        <v>-1489.4457135798366</v>
      </c>
    </row>
    <row r="10038" spans="2:2" ht="15.6">
      <c r="B10038" s="171">
        <v>-2442.5093789154153</v>
      </c>
    </row>
    <row r="10039" spans="2:2" ht="15.6">
      <c r="B10039" s="171">
        <v>-1918.1531901907038</v>
      </c>
    </row>
    <row r="10040" spans="2:2" ht="15.6">
      <c r="B10040" s="171">
        <v>-1739.7744144346125</v>
      </c>
    </row>
    <row r="10041" spans="2:2" ht="15.6">
      <c r="B10041" s="171">
        <v>-2114.1845310266922</v>
      </c>
    </row>
    <row r="10042" spans="2:2" ht="15.6">
      <c r="B10042" s="171">
        <v>-1209.7075450863028</v>
      </c>
    </row>
    <row r="10043" spans="2:2" ht="15.6">
      <c r="B10043" s="171">
        <v>-1455.5531163930646</v>
      </c>
    </row>
    <row r="10044" spans="2:2" ht="15.6">
      <c r="B10044" s="171">
        <v>-2228.6671375064898</v>
      </c>
    </row>
    <row r="10045" spans="2:2" ht="15.6">
      <c r="B10045" s="171">
        <v>-1709.5921533972146</v>
      </c>
    </row>
    <row r="10046" spans="2:2" ht="15.6">
      <c r="B10046" s="171">
        <v>-995.92986850108502</v>
      </c>
    </row>
    <row r="10047" spans="2:2" ht="15.6">
      <c r="B10047" s="171">
        <v>-1761.8739001865686</v>
      </c>
    </row>
    <row r="10048" spans="2:2" ht="15.6">
      <c r="B10048" s="171">
        <v>-1218.4603771574039</v>
      </c>
    </row>
    <row r="10049" spans="2:2" ht="15.6">
      <c r="B10049" s="171">
        <v>-1823.9739857302316</v>
      </c>
    </row>
    <row r="10050" spans="2:2" ht="15.6">
      <c r="B10050" s="171">
        <v>-2191.4520714386153</v>
      </c>
    </row>
    <row r="10051" spans="2:2" ht="15.6">
      <c r="B10051" s="171">
        <v>-1677.8200772894268</v>
      </c>
    </row>
    <row r="10052" spans="2:2" ht="15.6">
      <c r="B10052" s="171">
        <v>-1553.6006462451398</v>
      </c>
    </row>
    <row r="10053" spans="2:2" ht="15.6">
      <c r="B10053" s="171">
        <v>-1486.1089229845966</v>
      </c>
    </row>
    <row r="10054" spans="2:2" ht="15.6">
      <c r="B10054" s="171">
        <v>-1978.8485146836517</v>
      </c>
    </row>
    <row r="10055" spans="2:2" ht="15.6">
      <c r="B10055" s="171">
        <v>-1801.9010549335226</v>
      </c>
    </row>
    <row r="10056" spans="2:2">
      <c r="B10056">
        <v>-1354.1596408362764</v>
      </c>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85F5-38C0-4EE6-84FF-12B1D249749A}">
  <sheetPr codeName="Sheet13"/>
  <dimension ref="A1:P62"/>
  <sheetViews>
    <sheetView topLeftCell="D1" workbookViewId="0">
      <selection activeCell="M6" sqref="M6"/>
    </sheetView>
  </sheetViews>
  <sheetFormatPr defaultRowHeight="14.1"/>
  <cols>
    <col min="1" max="1" width="30.75" customWidth="1"/>
    <col min="12" max="12" width="39.25" bestFit="1" customWidth="1"/>
  </cols>
  <sheetData>
    <row r="1" spans="1:16">
      <c r="A1" s="773" t="s">
        <v>622</v>
      </c>
      <c r="B1" s="774" t="s">
        <v>623</v>
      </c>
      <c r="C1" s="775" t="s">
        <v>624</v>
      </c>
      <c r="D1" s="775" t="s">
        <v>625</v>
      </c>
      <c r="E1" s="775" t="s">
        <v>626</v>
      </c>
      <c r="F1" s="775" t="s">
        <v>627</v>
      </c>
    </row>
    <row r="2" spans="1:16">
      <c r="A2" s="776" t="s">
        <v>123</v>
      </c>
      <c r="B2" s="777">
        <v>44561</v>
      </c>
      <c r="C2" s="778">
        <v>44926</v>
      </c>
      <c r="D2" s="778">
        <v>45291</v>
      </c>
      <c r="E2" s="778">
        <v>45657</v>
      </c>
      <c r="F2" s="778">
        <v>45657</v>
      </c>
    </row>
    <row r="3" spans="1:16">
      <c r="A3" s="779" t="s">
        <v>628</v>
      </c>
      <c r="B3" s="791" t="s">
        <v>588</v>
      </c>
      <c r="C3" s="781" t="s">
        <v>588</v>
      </c>
      <c r="D3" s="781" t="s">
        <v>588</v>
      </c>
      <c r="E3" s="781" t="s">
        <v>588</v>
      </c>
      <c r="F3" s="782" t="s">
        <v>588</v>
      </c>
    </row>
    <row r="4" spans="1:16">
      <c r="A4" s="783" t="s">
        <v>629</v>
      </c>
      <c r="B4" s="784">
        <v>-117.3</v>
      </c>
      <c r="C4" s="785">
        <v>-135.9</v>
      </c>
      <c r="D4" s="785">
        <v>-182.6</v>
      </c>
      <c r="E4" s="785">
        <v>-190.2</v>
      </c>
      <c r="F4" s="786">
        <v>-190.2</v>
      </c>
    </row>
    <row r="5" spans="1:16">
      <c r="A5" s="783" t="s">
        <v>630</v>
      </c>
      <c r="B5" s="784">
        <v>11.5</v>
      </c>
      <c r="C5" s="785">
        <v>29.9</v>
      </c>
      <c r="D5" s="785">
        <v>29.7</v>
      </c>
      <c r="E5" s="785">
        <v>33.700000000000003</v>
      </c>
      <c r="F5" s="786">
        <v>33.700000000000003</v>
      </c>
    </row>
    <row r="6" spans="1:16">
      <c r="A6" s="783" t="s">
        <v>631</v>
      </c>
      <c r="B6" s="784">
        <v>36.1</v>
      </c>
      <c r="C6" s="785">
        <v>37.1</v>
      </c>
      <c r="D6" s="785">
        <v>44.9</v>
      </c>
      <c r="E6" s="785">
        <v>44.7</v>
      </c>
      <c r="F6" s="786">
        <v>44.7</v>
      </c>
      <c r="M6">
        <v>2</v>
      </c>
      <c r="N6">
        <f t="shared" ref="N6:P7" si="0">M6+1</f>
        <v>3</v>
      </c>
      <c r="O6">
        <f t="shared" si="0"/>
        <v>4</v>
      </c>
      <c r="P6">
        <f t="shared" si="0"/>
        <v>5</v>
      </c>
    </row>
    <row r="7" spans="1:16">
      <c r="A7" s="783" t="s">
        <v>632</v>
      </c>
      <c r="B7" s="784">
        <v>32.6</v>
      </c>
      <c r="C7" s="785">
        <v>55.6</v>
      </c>
      <c r="D7" s="785">
        <v>53.5</v>
      </c>
      <c r="E7" s="785">
        <v>56.8</v>
      </c>
      <c r="F7" s="786">
        <v>56.8</v>
      </c>
      <c r="M7">
        <v>2021</v>
      </c>
      <c r="N7">
        <f t="shared" si="0"/>
        <v>2022</v>
      </c>
      <c r="O7">
        <f t="shared" si="0"/>
        <v>2023</v>
      </c>
      <c r="P7">
        <f t="shared" si="0"/>
        <v>2024</v>
      </c>
    </row>
    <row r="8" spans="1:16">
      <c r="A8" s="783" t="s">
        <v>633</v>
      </c>
      <c r="B8" s="784" t="s">
        <v>634</v>
      </c>
      <c r="C8" s="785">
        <v>-0.6</v>
      </c>
      <c r="D8" s="785">
        <v>0.7</v>
      </c>
      <c r="E8" s="785">
        <v>0.6</v>
      </c>
      <c r="F8" s="786">
        <v>0.6</v>
      </c>
      <c r="L8" t="s">
        <v>299</v>
      </c>
      <c r="M8">
        <f t="shared" ref="M8:P9" si="1">B4</f>
        <v>-117.3</v>
      </c>
      <c r="N8">
        <f t="shared" si="1"/>
        <v>-135.9</v>
      </c>
      <c r="O8">
        <f t="shared" si="1"/>
        <v>-182.6</v>
      </c>
      <c r="P8">
        <f t="shared" si="1"/>
        <v>-190.2</v>
      </c>
    </row>
    <row r="9" spans="1:16">
      <c r="A9" s="783" t="s">
        <v>635</v>
      </c>
      <c r="B9" s="784">
        <v>3.5</v>
      </c>
      <c r="C9" s="785">
        <v>-18</v>
      </c>
      <c r="D9" s="785">
        <v>-9.1999999999999993</v>
      </c>
      <c r="E9" s="785">
        <v>-12.7</v>
      </c>
      <c r="F9" s="786">
        <v>-12.7</v>
      </c>
      <c r="L9" t="s">
        <v>563</v>
      </c>
      <c r="M9">
        <f t="shared" si="1"/>
        <v>11.5</v>
      </c>
      <c r="N9">
        <f t="shared" si="1"/>
        <v>29.9</v>
      </c>
      <c r="O9">
        <f t="shared" si="1"/>
        <v>29.7</v>
      </c>
      <c r="P9">
        <f t="shared" si="1"/>
        <v>33.700000000000003</v>
      </c>
    </row>
    <row r="10" spans="1:16">
      <c r="A10" s="783" t="s">
        <v>636</v>
      </c>
      <c r="B10" s="784">
        <v>-2</v>
      </c>
      <c r="C10" s="785">
        <v>-37.6</v>
      </c>
      <c r="D10" s="785">
        <v>9</v>
      </c>
      <c r="E10" s="785">
        <v>62.9</v>
      </c>
      <c r="F10" s="786">
        <v>62.9</v>
      </c>
      <c r="L10" t="s">
        <v>476</v>
      </c>
      <c r="M10">
        <f t="shared" ref="M10:P12" si="2">B10</f>
        <v>-2</v>
      </c>
      <c r="N10">
        <f t="shared" si="2"/>
        <v>-37.6</v>
      </c>
      <c r="O10">
        <f t="shared" si="2"/>
        <v>9</v>
      </c>
      <c r="P10">
        <f t="shared" si="2"/>
        <v>62.9</v>
      </c>
    </row>
    <row r="11" spans="1:16" ht="14.45">
      <c r="A11" s="783" t="s">
        <v>637</v>
      </c>
      <c r="B11" s="784">
        <v>-7.8</v>
      </c>
      <c r="C11" s="785">
        <v>-9.4</v>
      </c>
      <c r="D11" s="785">
        <v>1.5</v>
      </c>
      <c r="E11" s="785">
        <v>-1.4</v>
      </c>
      <c r="F11" s="786">
        <v>-1.4</v>
      </c>
      <c r="L11" s="262" t="s">
        <v>564</v>
      </c>
      <c r="M11">
        <f t="shared" si="2"/>
        <v>-7.8</v>
      </c>
      <c r="N11">
        <f t="shared" si="2"/>
        <v>-9.4</v>
      </c>
      <c r="O11">
        <f t="shared" si="2"/>
        <v>1.5</v>
      </c>
      <c r="P11">
        <f t="shared" si="2"/>
        <v>-1.4</v>
      </c>
    </row>
    <row r="12" spans="1:16" ht="14.45">
      <c r="A12" s="783" t="s">
        <v>638</v>
      </c>
      <c r="B12" s="784">
        <v>-12.7</v>
      </c>
      <c r="C12" s="785">
        <v>-26</v>
      </c>
      <c r="D12" s="785">
        <v>-15.6</v>
      </c>
      <c r="E12" s="785">
        <v>-12.4</v>
      </c>
      <c r="F12" s="786">
        <v>-12.4</v>
      </c>
      <c r="L12" s="262" t="s">
        <v>565</v>
      </c>
      <c r="M12">
        <f t="shared" si="2"/>
        <v>-12.7</v>
      </c>
      <c r="N12">
        <f t="shared" si="2"/>
        <v>-26</v>
      </c>
      <c r="O12">
        <f t="shared" si="2"/>
        <v>-15.6</v>
      </c>
      <c r="P12">
        <f t="shared" si="2"/>
        <v>-12.4</v>
      </c>
    </row>
    <row r="13" spans="1:16" ht="14.45">
      <c r="A13" s="783" t="s">
        <v>639</v>
      </c>
      <c r="B13" s="784">
        <v>-4.5</v>
      </c>
      <c r="C13" s="785">
        <v>-2.1</v>
      </c>
      <c r="D13" s="785">
        <v>15.6</v>
      </c>
      <c r="E13" s="785">
        <v>24.8</v>
      </c>
      <c r="F13" s="786">
        <v>24.8</v>
      </c>
      <c r="L13" s="262" t="s">
        <v>566</v>
      </c>
      <c r="M13">
        <v>0</v>
      </c>
      <c r="N13">
        <v>0</v>
      </c>
      <c r="O13">
        <v>0</v>
      </c>
      <c r="P13">
        <v>0</v>
      </c>
    </row>
    <row r="14" spans="1:16" ht="14.45">
      <c r="A14" s="783" t="s">
        <v>640</v>
      </c>
      <c r="B14" s="784">
        <v>23</v>
      </c>
      <c r="C14" s="785">
        <v>-0.1</v>
      </c>
      <c r="D14" s="785">
        <v>7.6</v>
      </c>
      <c r="E14" s="785">
        <v>51.9</v>
      </c>
      <c r="F14" s="786">
        <v>51.9</v>
      </c>
      <c r="L14" s="262" t="s">
        <v>567</v>
      </c>
      <c r="M14">
        <f>B14</f>
        <v>23</v>
      </c>
      <c r="N14">
        <f>C14</f>
        <v>-0.1</v>
      </c>
      <c r="O14">
        <f>D14</f>
        <v>7.6</v>
      </c>
      <c r="P14">
        <f>E14</f>
        <v>51.9</v>
      </c>
    </row>
    <row r="15" spans="1:16">
      <c r="A15" s="783" t="s">
        <v>641</v>
      </c>
      <c r="B15" s="784">
        <v>0</v>
      </c>
      <c r="C15" s="785">
        <v>0</v>
      </c>
      <c r="D15" s="785">
        <v>0</v>
      </c>
      <c r="E15" s="785">
        <v>0</v>
      </c>
      <c r="F15" s="786">
        <v>0</v>
      </c>
      <c r="L15" t="s">
        <v>474</v>
      </c>
      <c r="M15">
        <f>B7</f>
        <v>32.6</v>
      </c>
      <c r="N15">
        <f>C7</f>
        <v>55.6</v>
      </c>
      <c r="O15">
        <f>D7</f>
        <v>53.5</v>
      </c>
      <c r="P15">
        <f>E7</f>
        <v>56.8</v>
      </c>
    </row>
    <row r="16" spans="1:16">
      <c r="A16" s="779" t="s">
        <v>628</v>
      </c>
      <c r="B16" s="780">
        <v>-71.8</v>
      </c>
      <c r="C16" s="781">
        <v>-106.5</v>
      </c>
      <c r="D16" s="781">
        <v>-98.9</v>
      </c>
      <c r="E16" s="781">
        <v>-48.9</v>
      </c>
      <c r="F16" s="782">
        <v>-48.9</v>
      </c>
      <c r="L16" t="s">
        <v>477</v>
      </c>
      <c r="M16">
        <f>B9</f>
        <v>3.5</v>
      </c>
      <c r="N16">
        <f>C9</f>
        <v>-18</v>
      </c>
      <c r="O16">
        <f>D9</f>
        <v>-9.1999999999999993</v>
      </c>
      <c r="P16">
        <f>E9</f>
        <v>-12.7</v>
      </c>
    </row>
    <row r="17" spans="1:16">
      <c r="A17" s="779" t="s">
        <v>588</v>
      </c>
      <c r="B17" s="791" t="s">
        <v>588</v>
      </c>
      <c r="C17" s="781" t="s">
        <v>588</v>
      </c>
      <c r="D17" s="781" t="s">
        <v>588</v>
      </c>
      <c r="E17" s="781" t="s">
        <v>588</v>
      </c>
      <c r="F17" s="782" t="s">
        <v>588</v>
      </c>
      <c r="L17" s="265" t="s">
        <v>316</v>
      </c>
      <c r="M17">
        <f>B16</f>
        <v>-71.8</v>
      </c>
      <c r="N17">
        <f>C16</f>
        <v>-106.5</v>
      </c>
      <c r="O17">
        <f>D16</f>
        <v>-98.9</v>
      </c>
      <c r="P17">
        <f>E16</f>
        <v>-48.9</v>
      </c>
    </row>
    <row r="18" spans="1:16">
      <c r="A18" s="779" t="s">
        <v>642</v>
      </c>
      <c r="B18" s="791" t="s">
        <v>588</v>
      </c>
      <c r="C18" s="781" t="s">
        <v>588</v>
      </c>
      <c r="D18" s="781" t="s">
        <v>588</v>
      </c>
      <c r="E18" s="781" t="s">
        <v>588</v>
      </c>
      <c r="F18" s="782" t="s">
        <v>588</v>
      </c>
      <c r="L18" t="s">
        <v>27</v>
      </c>
    </row>
    <row r="19" spans="1:16" ht="14.45">
      <c r="A19" s="783" t="s">
        <v>643</v>
      </c>
      <c r="B19" s="784">
        <v>-92.1</v>
      </c>
      <c r="C19" s="785">
        <v>-108.2</v>
      </c>
      <c r="D19" s="785">
        <v>-70</v>
      </c>
      <c r="E19" s="785">
        <v>-54.6</v>
      </c>
      <c r="F19" s="786">
        <v>-54.6</v>
      </c>
      <c r="L19" s="262" t="s">
        <v>479</v>
      </c>
      <c r="M19">
        <f>B23</f>
        <v>-92.1</v>
      </c>
      <c r="N19">
        <f>C23</f>
        <v>-108.2</v>
      </c>
      <c r="O19">
        <f>D23</f>
        <v>-73.7</v>
      </c>
      <c r="P19">
        <f>E23</f>
        <v>-67.099999999999994</v>
      </c>
    </row>
    <row r="20" spans="1:16" ht="14.45">
      <c r="A20" s="783" t="s">
        <v>644</v>
      </c>
      <c r="B20" s="784">
        <v>0</v>
      </c>
      <c r="C20" s="785">
        <v>0</v>
      </c>
      <c r="D20" s="785">
        <v>3.7</v>
      </c>
      <c r="E20" s="785">
        <v>12.5</v>
      </c>
      <c r="F20" s="786">
        <v>12.5</v>
      </c>
      <c r="L20" s="262" t="s">
        <v>480</v>
      </c>
      <c r="M20">
        <f>B20</f>
        <v>0</v>
      </c>
      <c r="N20">
        <f>C20</f>
        <v>0</v>
      </c>
      <c r="O20">
        <f>D20</f>
        <v>3.7</v>
      </c>
      <c r="P20">
        <f>E20</f>
        <v>12.5</v>
      </c>
    </row>
    <row r="21" spans="1:16" ht="14.45">
      <c r="A21" s="787" t="s">
        <v>645</v>
      </c>
      <c r="B21" s="788" t="s">
        <v>634</v>
      </c>
      <c r="C21" s="789">
        <v>0</v>
      </c>
      <c r="D21" s="789" t="s">
        <v>634</v>
      </c>
      <c r="E21" s="789" t="s">
        <v>634</v>
      </c>
      <c r="F21" s="790" t="s">
        <v>588</v>
      </c>
      <c r="L21" s="89" t="s">
        <v>482</v>
      </c>
      <c r="M21">
        <f>B29</f>
        <v>0</v>
      </c>
      <c r="N21">
        <f>C29</f>
        <v>0</v>
      </c>
      <c r="O21">
        <f>D29</f>
        <v>0</v>
      </c>
      <c r="P21">
        <f>E29</f>
        <v>0</v>
      </c>
    </row>
    <row r="22" spans="1:16" ht="14.45">
      <c r="A22" s="787" t="s">
        <v>646</v>
      </c>
      <c r="B22" s="788" t="s">
        <v>634</v>
      </c>
      <c r="C22" s="789">
        <v>0</v>
      </c>
      <c r="D22" s="789" t="s">
        <v>634</v>
      </c>
      <c r="E22" s="789" t="s">
        <v>634</v>
      </c>
      <c r="F22" s="790" t="s">
        <v>588</v>
      </c>
      <c r="L22" s="262" t="s">
        <v>568</v>
      </c>
      <c r="M22">
        <v>2.5</v>
      </c>
      <c r="N22">
        <v>0.6</v>
      </c>
      <c r="O22">
        <v>0.3</v>
      </c>
      <c r="P22">
        <v>2.4</v>
      </c>
    </row>
    <row r="23" spans="1:16" ht="14.45">
      <c r="A23" s="783" t="s">
        <v>647</v>
      </c>
      <c r="B23" s="784">
        <v>-92.1</v>
      </c>
      <c r="C23" s="785">
        <v>-108.2</v>
      </c>
      <c r="D23" s="785">
        <v>-73.7</v>
      </c>
      <c r="E23" s="785">
        <v>-67.099999999999994</v>
      </c>
      <c r="F23" s="786">
        <v>-67.099999999999994</v>
      </c>
      <c r="L23" s="262" t="s">
        <v>569</v>
      </c>
      <c r="M23">
        <v>0</v>
      </c>
      <c r="N23">
        <v>0</v>
      </c>
      <c r="O23">
        <v>0</v>
      </c>
      <c r="P23">
        <v>0</v>
      </c>
    </row>
    <row r="24" spans="1:16" ht="14.45">
      <c r="A24" s="787" t="s">
        <v>648</v>
      </c>
      <c r="B24" s="788">
        <v>-92.1</v>
      </c>
      <c r="C24" s="789">
        <v>-108.2</v>
      </c>
      <c r="D24" s="789">
        <v>-73.7</v>
      </c>
      <c r="E24" s="789">
        <v>-67.099999999999994</v>
      </c>
      <c r="F24" s="790">
        <v>-67.099999999999994</v>
      </c>
      <c r="L24" s="262" t="s">
        <v>570</v>
      </c>
      <c r="M24">
        <f>B28</f>
        <v>0</v>
      </c>
      <c r="N24">
        <f>C28</f>
        <v>0</v>
      </c>
      <c r="O24">
        <f>D28</f>
        <v>0</v>
      </c>
      <c r="P24">
        <f>E28</f>
        <v>0</v>
      </c>
    </row>
    <row r="25" spans="1:16" ht="14.45">
      <c r="A25" s="787" t="s">
        <v>649</v>
      </c>
      <c r="B25" s="788">
        <v>0</v>
      </c>
      <c r="C25" s="789">
        <v>0</v>
      </c>
      <c r="D25" s="789">
        <v>0</v>
      </c>
      <c r="E25" s="789">
        <v>0</v>
      </c>
      <c r="F25" s="790">
        <v>0</v>
      </c>
      <c r="L25" s="262" t="s">
        <v>571</v>
      </c>
      <c r="M25">
        <f>B27</f>
        <v>0</v>
      </c>
      <c r="N25">
        <f>C27</f>
        <v>0</v>
      </c>
      <c r="O25">
        <f>D27</f>
        <v>0</v>
      </c>
      <c r="P25">
        <f>E27</f>
        <v>0</v>
      </c>
    </row>
    <row r="26" spans="1:16">
      <c r="A26" s="783" t="s">
        <v>650</v>
      </c>
      <c r="B26" s="784">
        <v>0</v>
      </c>
      <c r="C26" s="785">
        <v>0</v>
      </c>
      <c r="D26" s="785">
        <v>0</v>
      </c>
      <c r="E26" s="785">
        <v>0</v>
      </c>
      <c r="F26" s="786">
        <v>0</v>
      </c>
      <c r="L26" t="s">
        <v>483</v>
      </c>
      <c r="M26">
        <f>B33</f>
        <v>0</v>
      </c>
      <c r="N26">
        <f>C33</f>
        <v>-237.8</v>
      </c>
      <c r="O26">
        <f>D33</f>
        <v>82</v>
      </c>
      <c r="P26">
        <f>E33</f>
        <v>-43.8</v>
      </c>
    </row>
    <row r="27" spans="1:16">
      <c r="A27" s="783" t="s">
        <v>651</v>
      </c>
      <c r="B27" s="784">
        <v>0</v>
      </c>
      <c r="C27" s="785">
        <v>0</v>
      </c>
      <c r="D27" s="785">
        <v>0</v>
      </c>
      <c r="E27" s="785">
        <v>0</v>
      </c>
      <c r="F27" s="786">
        <v>0</v>
      </c>
      <c r="L27" s="265" t="s">
        <v>317</v>
      </c>
      <c r="M27">
        <f>B35</f>
        <v>-92.1</v>
      </c>
      <c r="N27">
        <f>C35</f>
        <v>-346.1</v>
      </c>
      <c r="O27">
        <f>D35</f>
        <v>12</v>
      </c>
      <c r="P27">
        <f>E35</f>
        <v>-98.3</v>
      </c>
    </row>
    <row r="28" spans="1:16">
      <c r="A28" s="783" t="s">
        <v>652</v>
      </c>
      <c r="B28" s="784">
        <v>0</v>
      </c>
      <c r="C28" s="785">
        <v>0</v>
      </c>
      <c r="D28" s="785">
        <v>0</v>
      </c>
      <c r="E28" s="785">
        <v>0</v>
      </c>
      <c r="F28" s="786">
        <v>0</v>
      </c>
      <c r="L28" t="s">
        <v>318</v>
      </c>
      <c r="M28" t="s">
        <v>653</v>
      </c>
      <c r="N28">
        <v>87</v>
      </c>
      <c r="O28">
        <v>89.8</v>
      </c>
      <c r="P28">
        <v>401.2</v>
      </c>
    </row>
    <row r="29" spans="1:16">
      <c r="A29" s="783" t="s">
        <v>654</v>
      </c>
      <c r="B29" s="784">
        <v>0</v>
      </c>
      <c r="C29" s="785">
        <v>0</v>
      </c>
      <c r="D29" s="785">
        <v>0</v>
      </c>
      <c r="E29" s="785">
        <v>0</v>
      </c>
      <c r="F29" s="786">
        <v>0</v>
      </c>
      <c r="L29" t="s">
        <v>319</v>
      </c>
      <c r="M29">
        <f>B39</f>
        <v>796.8</v>
      </c>
      <c r="N29">
        <f>C39</f>
        <v>-0.3</v>
      </c>
      <c r="O29">
        <f>D39</f>
        <v>-0.3</v>
      </c>
      <c r="P29">
        <f>E39</f>
        <v>302.89999999999998</v>
      </c>
    </row>
    <row r="30" spans="1:16">
      <c r="A30" s="783" t="s">
        <v>655</v>
      </c>
      <c r="B30" s="784">
        <v>0</v>
      </c>
      <c r="C30" s="785">
        <v>0</v>
      </c>
      <c r="D30" s="785">
        <v>0</v>
      </c>
      <c r="E30" s="785">
        <v>0</v>
      </c>
      <c r="F30" s="786">
        <v>0</v>
      </c>
      <c r="L30" t="s">
        <v>488</v>
      </c>
      <c r="M30">
        <v>28.3</v>
      </c>
      <c r="N30">
        <v>37.700000000000003</v>
      </c>
      <c r="O30">
        <v>61.4</v>
      </c>
      <c r="P30">
        <v>58.2</v>
      </c>
    </row>
    <row r="31" spans="1:16">
      <c r="A31" s="783" t="s">
        <v>656</v>
      </c>
      <c r="B31" s="784">
        <v>0</v>
      </c>
      <c r="C31" s="785">
        <v>0</v>
      </c>
      <c r="D31" s="785">
        <v>0</v>
      </c>
      <c r="E31" s="785">
        <v>0</v>
      </c>
      <c r="F31" s="786">
        <v>0</v>
      </c>
      <c r="L31" t="s">
        <v>484</v>
      </c>
      <c r="M31">
        <f>B38</f>
        <v>0</v>
      </c>
      <c r="N31">
        <f>C38</f>
        <v>0</v>
      </c>
      <c r="O31">
        <f>D38</f>
        <v>0</v>
      </c>
      <c r="P31">
        <f>E38</f>
        <v>0</v>
      </c>
    </row>
    <row r="32" spans="1:16">
      <c r="A32" s="783" t="s">
        <v>657</v>
      </c>
      <c r="B32" s="784">
        <v>0</v>
      </c>
      <c r="C32" s="785">
        <v>0</v>
      </c>
      <c r="D32" s="785">
        <v>0</v>
      </c>
      <c r="E32" s="785">
        <v>0</v>
      </c>
      <c r="F32" s="786">
        <v>0</v>
      </c>
      <c r="L32" t="s">
        <v>486</v>
      </c>
      <c r="M32">
        <f>B43</f>
        <v>3.1</v>
      </c>
      <c r="N32">
        <f>C43</f>
        <v>3.9</v>
      </c>
      <c r="O32">
        <f>D43</f>
        <v>2.4</v>
      </c>
      <c r="P32">
        <f>E43</f>
        <v>-26.1</v>
      </c>
    </row>
    <row r="33" spans="1:16">
      <c r="A33" s="783" t="s">
        <v>658</v>
      </c>
      <c r="B33" s="784">
        <v>0</v>
      </c>
      <c r="C33" s="785">
        <v>-237.8</v>
      </c>
      <c r="D33" s="785">
        <v>82</v>
      </c>
      <c r="E33" s="785">
        <v>-43.8</v>
      </c>
      <c r="F33" s="786">
        <v>-43.8</v>
      </c>
      <c r="L33" t="s">
        <v>491</v>
      </c>
      <c r="M33">
        <f>B46</f>
        <v>0</v>
      </c>
      <c r="N33">
        <f>C46</f>
        <v>-1.6</v>
      </c>
      <c r="O33">
        <f>D46</f>
        <v>5.3</v>
      </c>
      <c r="P33">
        <f>E46</f>
        <v>-20.100000000000001</v>
      </c>
    </row>
    <row r="34" spans="1:16">
      <c r="A34" s="783" t="s">
        <v>641</v>
      </c>
      <c r="B34" s="784" t="s">
        <v>634</v>
      </c>
      <c r="C34" s="785">
        <v>0</v>
      </c>
      <c r="D34" s="785">
        <v>0</v>
      </c>
      <c r="E34" s="785">
        <v>0</v>
      </c>
      <c r="F34" s="786">
        <v>0</v>
      </c>
      <c r="L34" s="265" t="s">
        <v>320</v>
      </c>
      <c r="M34">
        <f>B48</f>
        <v>799.9</v>
      </c>
      <c r="N34">
        <f>C48</f>
        <v>2</v>
      </c>
      <c r="O34">
        <f>D48</f>
        <v>7.4</v>
      </c>
      <c r="P34">
        <f>E48</f>
        <v>256.7</v>
      </c>
    </row>
    <row r="35" spans="1:16" ht="14.45" thickBot="1">
      <c r="A35" s="779" t="s">
        <v>642</v>
      </c>
      <c r="B35" s="780">
        <v>-92.1</v>
      </c>
      <c r="C35" s="781">
        <v>-346.1</v>
      </c>
      <c r="D35" s="781">
        <v>12</v>
      </c>
      <c r="E35" s="781">
        <v>-98.3</v>
      </c>
      <c r="F35" s="782">
        <v>-98.3</v>
      </c>
      <c r="L35" s="271" t="s">
        <v>572</v>
      </c>
      <c r="M35">
        <f>B50</f>
        <v>2.1</v>
      </c>
      <c r="N35">
        <f>C50</f>
        <v>4.4000000000000004</v>
      </c>
      <c r="O35">
        <f>D50</f>
        <v>0</v>
      </c>
      <c r="P35">
        <f>E50</f>
        <v>-0.6</v>
      </c>
    </row>
    <row r="36" spans="1:16">
      <c r="A36" s="779" t="s">
        <v>588</v>
      </c>
      <c r="B36" s="791" t="s">
        <v>588</v>
      </c>
      <c r="C36" s="781" t="s">
        <v>588</v>
      </c>
      <c r="D36" s="781" t="s">
        <v>588</v>
      </c>
      <c r="E36" s="781" t="s">
        <v>588</v>
      </c>
      <c r="F36" s="782" t="s">
        <v>588</v>
      </c>
      <c r="L36" s="1" t="s">
        <v>321</v>
      </c>
      <c r="M36">
        <f>B52</f>
        <v>638.1</v>
      </c>
      <c r="N36">
        <f>C52</f>
        <v>-446.2</v>
      </c>
      <c r="O36">
        <f>D52</f>
        <v>-79.400000000000006</v>
      </c>
      <c r="P36">
        <f>E52</f>
        <v>108.9</v>
      </c>
    </row>
    <row r="37" spans="1:16" ht="14.45">
      <c r="A37" s="779" t="s">
        <v>659</v>
      </c>
      <c r="B37" s="791" t="s">
        <v>588</v>
      </c>
      <c r="C37" s="781" t="s">
        <v>588</v>
      </c>
      <c r="D37" s="781" t="s">
        <v>588</v>
      </c>
      <c r="E37" s="781" t="s">
        <v>588</v>
      </c>
      <c r="F37" s="782" t="s">
        <v>588</v>
      </c>
      <c r="L37" s="89" t="s">
        <v>573</v>
      </c>
    </row>
    <row r="38" spans="1:16">
      <c r="A38" s="783" t="s">
        <v>660</v>
      </c>
      <c r="B38" s="784">
        <v>0</v>
      </c>
      <c r="C38" s="785">
        <v>0</v>
      </c>
      <c r="D38" s="785">
        <v>0</v>
      </c>
      <c r="E38" s="785">
        <v>0</v>
      </c>
      <c r="F38" s="786">
        <v>0</v>
      </c>
    </row>
    <row r="39" spans="1:16">
      <c r="A39" s="783" t="s">
        <v>661</v>
      </c>
      <c r="B39" s="784">
        <v>796.8</v>
      </c>
      <c r="C39" s="785">
        <v>-0.3</v>
      </c>
      <c r="D39" s="785">
        <v>-0.3</v>
      </c>
      <c r="E39" s="785">
        <v>302.89999999999998</v>
      </c>
      <c r="F39" s="786">
        <v>302.89999999999998</v>
      </c>
    </row>
    <row r="40" spans="1:16">
      <c r="A40" s="783" t="s">
        <v>662</v>
      </c>
      <c r="B40" s="784" t="s">
        <v>634</v>
      </c>
      <c r="C40" s="785">
        <v>0</v>
      </c>
      <c r="D40" s="785">
        <v>0</v>
      </c>
      <c r="E40" s="785">
        <v>0</v>
      </c>
      <c r="F40" s="786">
        <v>0</v>
      </c>
    </row>
    <row r="41" spans="1:16">
      <c r="A41" s="783" t="s">
        <v>663</v>
      </c>
      <c r="B41" s="784">
        <v>842.2</v>
      </c>
      <c r="C41" s="785">
        <v>0</v>
      </c>
      <c r="D41" s="785">
        <v>0</v>
      </c>
      <c r="E41" s="785">
        <v>355</v>
      </c>
      <c r="F41" s="786">
        <v>355</v>
      </c>
    </row>
    <row r="42" spans="1:16">
      <c r="A42" s="783" t="s">
        <v>664</v>
      </c>
      <c r="B42" s="784">
        <v>-45.4</v>
      </c>
      <c r="C42" s="785">
        <v>-0.3</v>
      </c>
      <c r="D42" s="785">
        <v>-0.3</v>
      </c>
      <c r="E42" s="785">
        <v>-52.1</v>
      </c>
      <c r="F42" s="786">
        <v>-52.1</v>
      </c>
    </row>
    <row r="43" spans="1:16">
      <c r="A43" s="783" t="s">
        <v>665</v>
      </c>
      <c r="B43" s="784">
        <v>3.1</v>
      </c>
      <c r="C43" s="785">
        <v>3.9</v>
      </c>
      <c r="D43" s="785">
        <v>2.4</v>
      </c>
      <c r="E43" s="785">
        <v>-26.1</v>
      </c>
      <c r="F43" s="786">
        <v>-26.1</v>
      </c>
    </row>
    <row r="44" spans="1:16">
      <c r="A44" s="783" t="s">
        <v>666</v>
      </c>
      <c r="B44" s="784">
        <v>3.1</v>
      </c>
      <c r="C44" s="785">
        <v>3.9</v>
      </c>
      <c r="D44" s="785">
        <v>2.4</v>
      </c>
      <c r="E44" s="785">
        <v>3.5</v>
      </c>
      <c r="F44" s="786">
        <v>3.5</v>
      </c>
    </row>
    <row r="45" spans="1:16">
      <c r="A45" s="783" t="s">
        <v>667</v>
      </c>
      <c r="B45" s="784">
        <v>0</v>
      </c>
      <c r="C45" s="785">
        <v>0</v>
      </c>
      <c r="D45" s="785">
        <v>0</v>
      </c>
      <c r="E45" s="785">
        <v>-29.7</v>
      </c>
      <c r="F45" s="786">
        <v>-29.7</v>
      </c>
    </row>
    <row r="46" spans="1:16">
      <c r="A46" s="783" t="s">
        <v>668</v>
      </c>
      <c r="B46" s="784">
        <v>0</v>
      </c>
      <c r="C46" s="785">
        <v>-1.6</v>
      </c>
      <c r="D46" s="785">
        <v>5.3</v>
      </c>
      <c r="E46" s="785">
        <v>-20.100000000000001</v>
      </c>
      <c r="F46" s="786">
        <v>-20.100000000000001</v>
      </c>
    </row>
    <row r="47" spans="1:16">
      <c r="A47" s="783" t="s">
        <v>641</v>
      </c>
      <c r="B47" s="784" t="s">
        <v>634</v>
      </c>
      <c r="C47" s="785">
        <v>0</v>
      </c>
      <c r="D47" s="785">
        <v>0</v>
      </c>
      <c r="E47" s="785">
        <v>0</v>
      </c>
      <c r="F47" s="786">
        <v>0</v>
      </c>
    </row>
    <row r="48" spans="1:16">
      <c r="A48" s="779" t="s">
        <v>659</v>
      </c>
      <c r="B48" s="780">
        <v>799.9</v>
      </c>
      <c r="C48" s="781">
        <v>2</v>
      </c>
      <c r="D48" s="781">
        <v>7.4</v>
      </c>
      <c r="E48" s="781">
        <v>256.7</v>
      </c>
      <c r="F48" s="782">
        <v>256.7</v>
      </c>
    </row>
    <row r="49" spans="1:6">
      <c r="A49" s="779" t="s">
        <v>588</v>
      </c>
      <c r="B49" s="791" t="s">
        <v>588</v>
      </c>
      <c r="C49" s="781" t="s">
        <v>588</v>
      </c>
      <c r="D49" s="781" t="s">
        <v>588</v>
      </c>
      <c r="E49" s="781" t="s">
        <v>588</v>
      </c>
      <c r="F49" s="782" t="s">
        <v>588</v>
      </c>
    </row>
    <row r="50" spans="1:6">
      <c r="A50" s="783" t="s">
        <v>669</v>
      </c>
      <c r="B50" s="784">
        <v>2.1</v>
      </c>
      <c r="C50" s="785">
        <v>4.4000000000000004</v>
      </c>
      <c r="D50" s="785">
        <v>0</v>
      </c>
      <c r="E50" s="785">
        <v>-0.6</v>
      </c>
      <c r="F50" s="786">
        <v>-0.6</v>
      </c>
    </row>
    <row r="51" spans="1:6">
      <c r="A51" s="779" t="s">
        <v>588</v>
      </c>
      <c r="B51" s="791" t="s">
        <v>588</v>
      </c>
      <c r="C51" s="781" t="s">
        <v>588</v>
      </c>
      <c r="D51" s="781" t="s">
        <v>588</v>
      </c>
      <c r="E51" s="781" t="s">
        <v>588</v>
      </c>
      <c r="F51" s="782" t="s">
        <v>588</v>
      </c>
    </row>
    <row r="52" spans="1:6">
      <c r="A52" s="779" t="s">
        <v>321</v>
      </c>
      <c r="B52" s="780">
        <v>638.1</v>
      </c>
      <c r="C52" s="781">
        <v>-446.2</v>
      </c>
      <c r="D52" s="781">
        <v>-79.400000000000006</v>
      </c>
      <c r="E52" s="781">
        <v>108.9</v>
      </c>
      <c r="F52" s="782">
        <v>108.9</v>
      </c>
    </row>
    <row r="53" spans="1:6">
      <c r="A53" s="779" t="s">
        <v>588</v>
      </c>
      <c r="B53" s="791" t="s">
        <v>588</v>
      </c>
      <c r="C53" s="781" t="s">
        <v>588</v>
      </c>
      <c r="D53" s="781" t="s">
        <v>588</v>
      </c>
      <c r="E53" s="781" t="s">
        <v>588</v>
      </c>
      <c r="F53" s="782" t="s">
        <v>588</v>
      </c>
    </row>
    <row r="54" spans="1:6">
      <c r="A54" s="779" t="s">
        <v>670</v>
      </c>
      <c r="B54" s="780">
        <v>1.8</v>
      </c>
      <c r="C54" s="781">
        <v>2.7</v>
      </c>
      <c r="D54" s="781">
        <v>0.8</v>
      </c>
      <c r="E54" s="781">
        <v>0.3</v>
      </c>
      <c r="F54" s="782">
        <v>0.3</v>
      </c>
    </row>
    <row r="55" spans="1:6">
      <c r="A55" s="779" t="s">
        <v>671</v>
      </c>
      <c r="B55" s="780">
        <v>4</v>
      </c>
      <c r="C55" s="781">
        <v>10.7</v>
      </c>
      <c r="D55" s="781">
        <v>15.6</v>
      </c>
      <c r="E55" s="781">
        <v>16.3</v>
      </c>
      <c r="F55" s="782">
        <v>16.3</v>
      </c>
    </row>
    <row r="56" spans="1:6">
      <c r="A56" s="779" t="s">
        <v>588</v>
      </c>
      <c r="B56" s="791" t="s">
        <v>588</v>
      </c>
      <c r="C56" s="781" t="s">
        <v>588</v>
      </c>
      <c r="D56" s="781" t="s">
        <v>588</v>
      </c>
      <c r="E56" s="781" t="s">
        <v>588</v>
      </c>
      <c r="F56" s="782" t="s">
        <v>588</v>
      </c>
    </row>
    <row r="57" spans="1:6">
      <c r="A57" s="779" t="s">
        <v>672</v>
      </c>
      <c r="B57" s="791" t="s">
        <v>588</v>
      </c>
      <c r="C57" s="781" t="s">
        <v>588</v>
      </c>
      <c r="D57" s="781" t="s">
        <v>588</v>
      </c>
      <c r="E57" s="781" t="s">
        <v>588</v>
      </c>
      <c r="F57" s="782" t="s">
        <v>588</v>
      </c>
    </row>
    <row r="58" spans="1:6">
      <c r="A58" s="783" t="s">
        <v>233</v>
      </c>
      <c r="B58" s="784">
        <v>-90.6</v>
      </c>
      <c r="C58" s="785">
        <v>-105.3</v>
      </c>
      <c r="D58" s="785">
        <v>-148.19999999999999</v>
      </c>
      <c r="E58" s="785">
        <v>-145.19999999999999</v>
      </c>
      <c r="F58" s="786">
        <v>-156.1</v>
      </c>
    </row>
    <row r="59" spans="1:6">
      <c r="A59" s="783" t="s">
        <v>673</v>
      </c>
      <c r="B59" s="784">
        <v>-145.55000000000001</v>
      </c>
      <c r="C59" s="785">
        <v>-49.89</v>
      </c>
      <c r="D59" s="785">
        <v>-60.58</v>
      </c>
      <c r="E59" s="785">
        <v>-33.28</v>
      </c>
      <c r="F59" s="786">
        <v>-35.799999999999997</v>
      </c>
    </row>
    <row r="60" spans="1:6">
      <c r="A60" s="783" t="s">
        <v>674</v>
      </c>
      <c r="B60" s="784">
        <v>-163.9</v>
      </c>
      <c r="C60" s="785">
        <v>-214.8</v>
      </c>
      <c r="D60" s="785">
        <v>-172.5</v>
      </c>
      <c r="E60" s="785">
        <v>-116</v>
      </c>
      <c r="F60" s="786">
        <v>-116</v>
      </c>
    </row>
    <row r="61" spans="1:6">
      <c r="A61" s="783" t="s">
        <v>675</v>
      </c>
      <c r="B61" s="784">
        <v>632.9</v>
      </c>
      <c r="C61" s="785">
        <v>-215</v>
      </c>
      <c r="D61" s="785">
        <v>-169.2</v>
      </c>
      <c r="E61" s="785">
        <v>199.5</v>
      </c>
      <c r="F61" s="786">
        <v>199.5</v>
      </c>
    </row>
    <row r="62" spans="1:6">
      <c r="A62" s="783" t="s">
        <v>676</v>
      </c>
      <c r="B62" s="784">
        <v>-0.78</v>
      </c>
      <c r="C62" s="785">
        <v>-0.46</v>
      </c>
      <c r="D62" s="785">
        <v>-0.36</v>
      </c>
      <c r="E62" s="785">
        <v>-0.23</v>
      </c>
      <c r="F62" s="786">
        <v>-0.23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093FD-4AA8-453D-9777-94B628EF669D}">
  <sheetPr codeName="Sheet14">
    <tabColor theme="7" tint="0.79998168889431442"/>
  </sheetPr>
  <dimension ref="A1:P68"/>
  <sheetViews>
    <sheetView workbookViewId="0"/>
  </sheetViews>
  <sheetFormatPr defaultRowHeight="14.1"/>
  <cols>
    <col min="1" max="1" width="29.25" customWidth="1"/>
    <col min="2" max="2" width="13" customWidth="1"/>
    <col min="3" max="3" width="16" customWidth="1"/>
    <col min="4" max="4" width="10.375" customWidth="1"/>
    <col min="5" max="5" width="12.75" customWidth="1"/>
    <col min="7" max="7" width="0.125" customWidth="1"/>
    <col min="8" max="8" width="0" hidden="1" customWidth="1"/>
    <col min="11" max="11" width="21.875" customWidth="1"/>
    <col min="12" max="12" width="34.125" bestFit="1" customWidth="1"/>
  </cols>
  <sheetData>
    <row r="1" spans="1:16" ht="14.45">
      <c r="A1" s="765" t="s">
        <v>588</v>
      </c>
      <c r="B1" s="765" t="s">
        <v>588</v>
      </c>
      <c r="C1" s="766" t="s">
        <v>588</v>
      </c>
      <c r="D1" s="766" t="s">
        <v>588</v>
      </c>
      <c r="E1" s="766" t="s">
        <v>588</v>
      </c>
      <c r="F1" s="766" t="s">
        <v>588</v>
      </c>
      <c r="G1" s="766" t="s">
        <v>588</v>
      </c>
      <c r="H1" s="766" t="s">
        <v>588</v>
      </c>
    </row>
    <row r="2" spans="1:16" ht="60">
      <c r="A2" s="767" t="s">
        <v>677</v>
      </c>
      <c r="B2" s="768"/>
      <c r="C2" s="769"/>
      <c r="D2" s="769"/>
      <c r="E2" s="769"/>
      <c r="F2" s="770" t="s">
        <v>588</v>
      </c>
      <c r="G2" s="770" t="s">
        <v>588</v>
      </c>
      <c r="H2" s="770" t="s">
        <v>588</v>
      </c>
    </row>
    <row r="3" spans="1:16">
      <c r="A3" s="771" t="s">
        <v>588</v>
      </c>
      <c r="B3" s="771" t="s">
        <v>588</v>
      </c>
      <c r="C3" s="772" t="s">
        <v>588</v>
      </c>
      <c r="D3" s="772" t="s">
        <v>588</v>
      </c>
      <c r="E3" s="772" t="s">
        <v>588</v>
      </c>
      <c r="F3" s="772" t="s">
        <v>588</v>
      </c>
      <c r="G3" s="772" t="s">
        <v>588</v>
      </c>
      <c r="H3" s="772" t="s">
        <v>588</v>
      </c>
    </row>
    <row r="4" spans="1:16">
      <c r="A4" s="773" t="s">
        <v>622</v>
      </c>
      <c r="B4" s="774" t="s">
        <v>623</v>
      </c>
      <c r="C4" s="775" t="s">
        <v>624</v>
      </c>
      <c r="D4" s="775" t="s">
        <v>625</v>
      </c>
      <c r="E4" s="775" t="s">
        <v>626</v>
      </c>
      <c r="F4" s="775" t="s">
        <v>627</v>
      </c>
      <c r="G4" s="775" t="s">
        <v>678</v>
      </c>
      <c r="H4" s="775" t="s">
        <v>679</v>
      </c>
    </row>
    <row r="5" spans="1:16">
      <c r="A5" s="776" t="s">
        <v>123</v>
      </c>
      <c r="B5" s="777">
        <v>44561</v>
      </c>
      <c r="C5" s="778">
        <v>44926</v>
      </c>
      <c r="D5" s="778">
        <v>45291</v>
      </c>
      <c r="E5" s="778">
        <v>45657</v>
      </c>
      <c r="F5" s="778">
        <v>45657</v>
      </c>
      <c r="G5" s="778">
        <v>46022</v>
      </c>
      <c r="H5" s="778">
        <v>46387</v>
      </c>
      <c r="M5">
        <v>2</v>
      </c>
      <c r="N5">
        <f t="shared" ref="N5:P6" si="0">M5+1</f>
        <v>3</v>
      </c>
      <c r="O5">
        <f t="shared" si="0"/>
        <v>4</v>
      </c>
      <c r="P5">
        <f t="shared" si="0"/>
        <v>5</v>
      </c>
    </row>
    <row r="6" spans="1:16">
      <c r="A6" s="779" t="s">
        <v>232</v>
      </c>
      <c r="B6" s="780">
        <v>62.2</v>
      </c>
      <c r="C6" s="781">
        <v>211</v>
      </c>
      <c r="D6" s="781">
        <v>244.6</v>
      </c>
      <c r="E6" s="781">
        <v>436.2</v>
      </c>
      <c r="F6" s="782">
        <v>436.2</v>
      </c>
      <c r="G6" s="781">
        <v>580.4</v>
      </c>
      <c r="H6" s="781">
        <v>894.2</v>
      </c>
      <c r="M6">
        <v>2021</v>
      </c>
      <c r="N6">
        <f t="shared" si="0"/>
        <v>2022</v>
      </c>
      <c r="O6">
        <f t="shared" si="0"/>
        <v>2023</v>
      </c>
      <c r="P6">
        <f t="shared" si="0"/>
        <v>2024</v>
      </c>
    </row>
    <row r="7" spans="1:16">
      <c r="A7" s="783" t="s">
        <v>680</v>
      </c>
      <c r="B7" s="784">
        <v>62.2</v>
      </c>
      <c r="C7" s="785">
        <v>211</v>
      </c>
      <c r="D7" s="785">
        <v>244.6</v>
      </c>
      <c r="E7" s="785">
        <v>436.2</v>
      </c>
      <c r="F7" s="786">
        <v>436.2</v>
      </c>
      <c r="G7" s="785" t="s">
        <v>588</v>
      </c>
      <c r="H7" s="785" t="s">
        <v>588</v>
      </c>
      <c r="L7" s="1" t="s">
        <v>436</v>
      </c>
      <c r="M7">
        <f>B6</f>
        <v>62.2</v>
      </c>
      <c r="N7">
        <f>C6</f>
        <v>211</v>
      </c>
      <c r="O7">
        <f>D6</f>
        <v>244.6</v>
      </c>
      <c r="P7">
        <f>E6</f>
        <v>436.2</v>
      </c>
    </row>
    <row r="8" spans="1:16">
      <c r="A8" s="783" t="s">
        <v>681</v>
      </c>
      <c r="B8" s="784">
        <v>64.099999999999994</v>
      </c>
      <c r="C8" s="785">
        <v>192</v>
      </c>
      <c r="D8" s="785">
        <v>193.2</v>
      </c>
      <c r="E8" s="785">
        <v>320.10000000000002</v>
      </c>
      <c r="F8" s="786">
        <v>320.10000000000002</v>
      </c>
      <c r="G8" s="785" t="s">
        <v>588</v>
      </c>
      <c r="H8" s="785" t="s">
        <v>588</v>
      </c>
      <c r="L8" t="s">
        <v>293</v>
      </c>
      <c r="M8">
        <f>B8</f>
        <v>64.099999999999994</v>
      </c>
      <c r="N8">
        <f>C8</f>
        <v>192</v>
      </c>
      <c r="O8">
        <f>D8</f>
        <v>193.2</v>
      </c>
      <c r="P8">
        <f>E8</f>
        <v>320.10000000000002</v>
      </c>
    </row>
    <row r="9" spans="1:16">
      <c r="A9" s="783" t="s">
        <v>682</v>
      </c>
      <c r="B9" s="784">
        <v>64.099999999999994</v>
      </c>
      <c r="C9" s="785">
        <v>192</v>
      </c>
      <c r="D9" s="785">
        <v>193.2</v>
      </c>
      <c r="E9" s="785">
        <v>301.89999999999998</v>
      </c>
      <c r="F9" s="786">
        <v>308.2</v>
      </c>
      <c r="G9" s="785" t="s">
        <v>588</v>
      </c>
      <c r="H9" s="785" t="s">
        <v>588</v>
      </c>
      <c r="L9" t="s">
        <v>438</v>
      </c>
      <c r="M9">
        <f t="shared" ref="M9:P10" si="1">B14</f>
        <v>58.4</v>
      </c>
      <c r="N9">
        <f t="shared" si="1"/>
        <v>89</v>
      </c>
      <c r="O9">
        <f t="shared" si="1"/>
        <v>110.3</v>
      </c>
      <c r="P9">
        <f t="shared" si="1"/>
        <v>123.8</v>
      </c>
    </row>
    <row r="10" spans="1:16">
      <c r="A10" s="783" t="s">
        <v>683</v>
      </c>
      <c r="B10" s="784" t="s">
        <v>634</v>
      </c>
      <c r="C10" s="785" t="s">
        <v>634</v>
      </c>
      <c r="D10" s="785" t="s">
        <v>634</v>
      </c>
      <c r="E10" s="785">
        <v>18.2</v>
      </c>
      <c r="F10" s="786">
        <v>11.9</v>
      </c>
      <c r="G10" s="785" t="s">
        <v>588</v>
      </c>
      <c r="H10" s="785" t="s">
        <v>588</v>
      </c>
      <c r="L10" t="s">
        <v>301</v>
      </c>
      <c r="M10">
        <f t="shared" si="1"/>
        <v>41.8</v>
      </c>
      <c r="N10">
        <f t="shared" si="1"/>
        <v>65.2</v>
      </c>
      <c r="O10">
        <f t="shared" si="1"/>
        <v>119.1</v>
      </c>
      <c r="P10">
        <f t="shared" si="1"/>
        <v>174.4</v>
      </c>
    </row>
    <row r="11" spans="1:16">
      <c r="A11" s="779" t="s">
        <v>294</v>
      </c>
      <c r="B11" s="780">
        <v>-1.9</v>
      </c>
      <c r="C11" s="781">
        <v>19</v>
      </c>
      <c r="D11" s="781">
        <v>51.4</v>
      </c>
      <c r="E11" s="781">
        <v>116.1</v>
      </c>
      <c r="F11" s="782">
        <v>116.1</v>
      </c>
      <c r="G11" s="781">
        <v>197.5</v>
      </c>
      <c r="H11" s="781">
        <v>324.60000000000002</v>
      </c>
      <c r="L11" t="s">
        <v>440</v>
      </c>
      <c r="M11">
        <f>B17</f>
        <v>0</v>
      </c>
      <c r="N11">
        <f>C17</f>
        <v>0</v>
      </c>
      <c r="O11">
        <f>D17</f>
        <v>0</v>
      </c>
      <c r="P11">
        <f>E17</f>
        <v>0</v>
      </c>
    </row>
    <row r="12" spans="1:16">
      <c r="A12" s="783" t="s">
        <v>684</v>
      </c>
      <c r="B12" s="784">
        <v>0</v>
      </c>
      <c r="C12" s="785">
        <v>0</v>
      </c>
      <c r="D12" s="785">
        <v>0</v>
      </c>
      <c r="E12" s="785">
        <v>0</v>
      </c>
      <c r="F12" s="786">
        <v>0</v>
      </c>
      <c r="G12" s="785" t="s">
        <v>588</v>
      </c>
      <c r="H12" s="785" t="s">
        <v>588</v>
      </c>
      <c r="L12" t="s">
        <v>441</v>
      </c>
      <c r="M12" t="s">
        <v>685</v>
      </c>
      <c r="N12">
        <v>29.9</v>
      </c>
      <c r="O12">
        <v>29.7</v>
      </c>
      <c r="P12">
        <v>33.700000000000003</v>
      </c>
    </row>
    <row r="13" spans="1:16" ht="14.45">
      <c r="A13" s="783" t="s">
        <v>686</v>
      </c>
      <c r="B13" s="784">
        <v>100.2</v>
      </c>
      <c r="C13" s="785">
        <v>154.19999999999999</v>
      </c>
      <c r="D13" s="785">
        <v>229.3</v>
      </c>
      <c r="E13" s="785">
        <v>306</v>
      </c>
      <c r="F13" s="786">
        <v>306</v>
      </c>
      <c r="G13" s="785" t="s">
        <v>588</v>
      </c>
      <c r="H13" s="785" t="s">
        <v>588</v>
      </c>
      <c r="L13" s="262" t="s">
        <v>443</v>
      </c>
      <c r="M13">
        <v>7.5</v>
      </c>
      <c r="N13">
        <v>16.2</v>
      </c>
      <c r="O13">
        <v>15.4</v>
      </c>
      <c r="P13">
        <v>19.8</v>
      </c>
    </row>
    <row r="14" spans="1:16" ht="14.45">
      <c r="A14" s="783" t="s">
        <v>687</v>
      </c>
      <c r="B14" s="784">
        <v>58.4</v>
      </c>
      <c r="C14" s="785">
        <v>89</v>
      </c>
      <c r="D14" s="785">
        <v>110.3</v>
      </c>
      <c r="E14" s="785">
        <v>123.8</v>
      </c>
      <c r="F14" s="786">
        <v>127</v>
      </c>
      <c r="G14" s="785" t="s">
        <v>588</v>
      </c>
      <c r="H14" s="785" t="s">
        <v>588</v>
      </c>
      <c r="L14" s="262" t="s">
        <v>445</v>
      </c>
      <c r="M14">
        <v>3.31</v>
      </c>
      <c r="N14">
        <v>13.23</v>
      </c>
      <c r="O14">
        <v>13.1</v>
      </c>
      <c r="P14">
        <v>12.07</v>
      </c>
    </row>
    <row r="15" spans="1:16">
      <c r="A15" s="783" t="s">
        <v>688</v>
      </c>
      <c r="B15" s="784">
        <v>41.8</v>
      </c>
      <c r="C15" s="785">
        <v>65.2</v>
      </c>
      <c r="D15" s="785">
        <v>119.1</v>
      </c>
      <c r="E15" s="785">
        <v>174.4</v>
      </c>
      <c r="F15" s="786">
        <v>174.4</v>
      </c>
      <c r="G15" s="785" t="s">
        <v>588</v>
      </c>
      <c r="H15" s="785" t="s">
        <v>588</v>
      </c>
      <c r="L15" t="s">
        <v>296</v>
      </c>
      <c r="M15">
        <f t="shared" ref="M15:P19" si="2">B20</f>
        <v>6.1</v>
      </c>
      <c r="N15">
        <f t="shared" si="2"/>
        <v>7.8</v>
      </c>
      <c r="O15">
        <f t="shared" si="2"/>
        <v>4.2</v>
      </c>
      <c r="P15">
        <f t="shared" si="2"/>
        <v>4</v>
      </c>
    </row>
    <row r="16" spans="1:16" ht="14.45">
      <c r="A16" s="783" t="s">
        <v>683</v>
      </c>
      <c r="B16" s="784" t="s">
        <v>634</v>
      </c>
      <c r="C16" s="785" t="s">
        <v>634</v>
      </c>
      <c r="D16" s="785" t="s">
        <v>634</v>
      </c>
      <c r="E16" s="785">
        <v>7.7</v>
      </c>
      <c r="F16" s="786">
        <v>4.5999999999999996</v>
      </c>
      <c r="G16" s="785" t="s">
        <v>588</v>
      </c>
      <c r="H16" s="785" t="s">
        <v>588</v>
      </c>
      <c r="L16" s="262" t="s">
        <v>448</v>
      </c>
      <c r="M16">
        <f t="shared" si="2"/>
        <v>6.1</v>
      </c>
      <c r="N16">
        <f t="shared" si="2"/>
        <v>7.8</v>
      </c>
      <c r="O16">
        <f t="shared" si="2"/>
        <v>4.2</v>
      </c>
      <c r="P16">
        <f t="shared" si="2"/>
        <v>4</v>
      </c>
    </row>
    <row r="17" spans="1:16" ht="14.45">
      <c r="A17" s="783" t="s">
        <v>689</v>
      </c>
      <c r="B17" s="784">
        <v>0</v>
      </c>
      <c r="C17" s="785">
        <v>0</v>
      </c>
      <c r="D17" s="785">
        <v>0</v>
      </c>
      <c r="E17" s="785">
        <v>0</v>
      </c>
      <c r="F17" s="786">
        <v>0</v>
      </c>
      <c r="G17" s="785" t="s">
        <v>588</v>
      </c>
      <c r="H17" s="785" t="s">
        <v>588</v>
      </c>
      <c r="L17" s="262" t="s">
        <v>450</v>
      </c>
      <c r="M17">
        <f t="shared" si="2"/>
        <v>0</v>
      </c>
      <c r="N17">
        <f t="shared" si="2"/>
        <v>0</v>
      </c>
      <c r="O17">
        <f t="shared" si="2"/>
        <v>0</v>
      </c>
      <c r="P17">
        <f t="shared" si="2"/>
        <v>0</v>
      </c>
    </row>
    <row r="18" spans="1:16">
      <c r="A18" s="779" t="s">
        <v>690</v>
      </c>
      <c r="B18" s="780">
        <v>-102.1</v>
      </c>
      <c r="C18" s="781">
        <v>-135.19999999999999</v>
      </c>
      <c r="D18" s="781">
        <v>-177.9</v>
      </c>
      <c r="E18" s="781">
        <v>-189.8</v>
      </c>
      <c r="F18" s="782">
        <v>-189.8</v>
      </c>
      <c r="G18" s="781">
        <v>-117.5</v>
      </c>
      <c r="H18" s="781">
        <v>21</v>
      </c>
      <c r="L18" t="s">
        <v>452</v>
      </c>
      <c r="M18">
        <f t="shared" si="2"/>
        <v>0.6</v>
      </c>
      <c r="N18">
        <f t="shared" si="2"/>
        <v>4.4000000000000004</v>
      </c>
      <c r="O18">
        <f t="shared" si="2"/>
        <v>0.5</v>
      </c>
      <c r="P18">
        <f t="shared" si="2"/>
        <v>0.1</v>
      </c>
    </row>
    <row r="19" spans="1:16">
      <c r="A19" s="783" t="s">
        <v>691</v>
      </c>
      <c r="B19" s="784">
        <v>22.8</v>
      </c>
      <c r="C19" s="785">
        <v>-2.2999999999999998</v>
      </c>
      <c r="D19" s="785">
        <v>1</v>
      </c>
      <c r="E19" s="785">
        <v>-0.4</v>
      </c>
      <c r="F19" s="786">
        <v>-0.4</v>
      </c>
      <c r="G19" s="785" t="s">
        <v>588</v>
      </c>
      <c r="H19" s="785" t="s">
        <v>588</v>
      </c>
      <c r="L19" t="s">
        <v>453</v>
      </c>
      <c r="M19">
        <f t="shared" si="2"/>
        <v>16.100000000000001</v>
      </c>
      <c r="N19">
        <f t="shared" si="2"/>
        <v>-14.5</v>
      </c>
      <c r="O19">
        <f t="shared" si="2"/>
        <v>-3.7</v>
      </c>
      <c r="P19">
        <f t="shared" si="2"/>
        <v>-4.4000000000000004</v>
      </c>
    </row>
    <row r="20" spans="1:16">
      <c r="A20" s="783" t="s">
        <v>692</v>
      </c>
      <c r="B20" s="784">
        <v>6.1</v>
      </c>
      <c r="C20" s="785">
        <v>7.8</v>
      </c>
      <c r="D20" s="785">
        <v>4.2</v>
      </c>
      <c r="E20" s="785">
        <v>4</v>
      </c>
      <c r="F20" s="786">
        <v>4</v>
      </c>
      <c r="G20" s="785" t="s">
        <v>588</v>
      </c>
      <c r="H20" s="785" t="s">
        <v>588</v>
      </c>
      <c r="L20" t="s">
        <v>298</v>
      </c>
      <c r="M20">
        <f>B26</f>
        <v>-7.5</v>
      </c>
      <c r="N20">
        <f>C26</f>
        <v>3</v>
      </c>
      <c r="O20">
        <f>D26</f>
        <v>3.7</v>
      </c>
      <c r="P20">
        <f>E26</f>
        <v>0.8</v>
      </c>
    </row>
    <row r="21" spans="1:16">
      <c r="A21" s="787" t="s">
        <v>693</v>
      </c>
      <c r="B21" s="788">
        <v>6.1</v>
      </c>
      <c r="C21" s="789">
        <v>7.8</v>
      </c>
      <c r="D21" s="789">
        <v>4.2</v>
      </c>
      <c r="E21" s="789">
        <v>4</v>
      </c>
      <c r="F21" s="790">
        <v>4</v>
      </c>
      <c r="G21" s="789" t="s">
        <v>588</v>
      </c>
      <c r="H21" s="789" t="s">
        <v>588</v>
      </c>
    </row>
    <row r="22" spans="1:16">
      <c r="A22" s="787" t="s">
        <v>694</v>
      </c>
      <c r="B22" s="788">
        <v>0</v>
      </c>
      <c r="C22" s="789">
        <v>0</v>
      </c>
      <c r="D22" s="789">
        <v>0</v>
      </c>
      <c r="E22" s="789">
        <v>0</v>
      </c>
      <c r="F22" s="790">
        <v>0</v>
      </c>
      <c r="G22" s="789" t="s">
        <v>588</v>
      </c>
      <c r="H22" s="789" t="s">
        <v>588</v>
      </c>
    </row>
    <row r="23" spans="1:16">
      <c r="A23" s="783" t="s">
        <v>695</v>
      </c>
      <c r="B23" s="784">
        <v>0.6</v>
      </c>
      <c r="C23" s="785">
        <v>4.4000000000000004</v>
      </c>
      <c r="D23" s="785">
        <v>0.5</v>
      </c>
      <c r="E23" s="785">
        <v>0.1</v>
      </c>
      <c r="F23" s="786">
        <v>0.1</v>
      </c>
      <c r="G23" s="785" t="s">
        <v>588</v>
      </c>
      <c r="H23" s="785" t="s">
        <v>588</v>
      </c>
      <c r="L23" s="1"/>
    </row>
    <row r="24" spans="1:16">
      <c r="A24" s="783" t="s">
        <v>696</v>
      </c>
      <c r="B24" s="784">
        <v>16.100000000000001</v>
      </c>
      <c r="C24" s="785">
        <v>-14.5</v>
      </c>
      <c r="D24" s="785">
        <v>-3.7</v>
      </c>
      <c r="E24" s="785">
        <v>-4.4000000000000004</v>
      </c>
      <c r="F24" s="786">
        <v>-4.4000000000000004</v>
      </c>
      <c r="G24" s="785" t="s">
        <v>588</v>
      </c>
      <c r="H24" s="785" t="s">
        <v>588</v>
      </c>
    </row>
    <row r="25" spans="1:16">
      <c r="A25" s="779" t="s">
        <v>697</v>
      </c>
      <c r="B25" s="780">
        <v>-124.8</v>
      </c>
      <c r="C25" s="781">
        <v>-132.9</v>
      </c>
      <c r="D25" s="781">
        <v>-178.9</v>
      </c>
      <c r="E25" s="781">
        <v>-189.4</v>
      </c>
      <c r="F25" s="782">
        <v>-189.4</v>
      </c>
      <c r="G25" s="781">
        <v>-160.69999999999999</v>
      </c>
      <c r="H25" s="781">
        <v>-29.2</v>
      </c>
      <c r="L25" s="1" t="s">
        <v>299</v>
      </c>
    </row>
    <row r="26" spans="1:16">
      <c r="A26" s="783" t="s">
        <v>698</v>
      </c>
      <c r="B26" s="784">
        <v>-7.5</v>
      </c>
      <c r="C26" s="785">
        <v>3</v>
      </c>
      <c r="D26" s="785">
        <v>3.7</v>
      </c>
      <c r="E26" s="785">
        <v>0.8</v>
      </c>
      <c r="F26" s="786">
        <v>0.8</v>
      </c>
      <c r="G26" s="785" t="s">
        <v>588</v>
      </c>
      <c r="H26" s="785" t="s">
        <v>588</v>
      </c>
      <c r="K26" s="1"/>
    </row>
    <row r="27" spans="1:16">
      <c r="A27" s="783" t="s">
        <v>699</v>
      </c>
      <c r="B27" s="784" t="s">
        <v>634</v>
      </c>
      <c r="C27" s="785" t="s">
        <v>634</v>
      </c>
      <c r="D27" s="785" t="s">
        <v>634</v>
      </c>
      <c r="E27" s="785">
        <v>-0.3</v>
      </c>
      <c r="F27" s="786" t="s">
        <v>588</v>
      </c>
      <c r="G27" s="785" t="s">
        <v>588</v>
      </c>
      <c r="H27" s="785" t="s">
        <v>588</v>
      </c>
      <c r="K27" s="1"/>
    </row>
    <row r="28" spans="1:16">
      <c r="A28" s="783" t="s">
        <v>700</v>
      </c>
      <c r="B28" s="784" t="s">
        <v>634</v>
      </c>
      <c r="C28" s="785" t="s">
        <v>634</v>
      </c>
      <c r="D28" s="785" t="s">
        <v>634</v>
      </c>
      <c r="E28" s="785">
        <v>1</v>
      </c>
      <c r="F28" s="786" t="s">
        <v>588</v>
      </c>
      <c r="G28" s="785" t="s">
        <v>588</v>
      </c>
      <c r="H28" s="785" t="s">
        <v>588</v>
      </c>
    </row>
    <row r="29" spans="1:16">
      <c r="A29" s="779" t="s">
        <v>701</v>
      </c>
      <c r="B29" s="780">
        <v>-117.3</v>
      </c>
      <c r="C29" s="781">
        <v>-135.9</v>
      </c>
      <c r="D29" s="781">
        <v>-182.6</v>
      </c>
      <c r="E29" s="781">
        <v>-190.2</v>
      </c>
      <c r="F29" s="782">
        <v>-190.2</v>
      </c>
      <c r="G29" s="781">
        <v>-167.9</v>
      </c>
      <c r="H29" s="781">
        <v>-82.1</v>
      </c>
    </row>
    <row r="30" spans="1:16">
      <c r="A30" s="783" t="s">
        <v>702</v>
      </c>
      <c r="B30" s="784">
        <v>0</v>
      </c>
      <c r="C30" s="785">
        <v>0</v>
      </c>
      <c r="D30" s="785">
        <v>0</v>
      </c>
      <c r="E30" s="785">
        <v>0</v>
      </c>
      <c r="F30" s="786">
        <v>0</v>
      </c>
      <c r="G30" s="785" t="s">
        <v>588</v>
      </c>
      <c r="H30" s="785" t="s">
        <v>588</v>
      </c>
    </row>
    <row r="31" spans="1:16">
      <c r="A31" s="783" t="s">
        <v>703</v>
      </c>
      <c r="B31" s="784">
        <v>0</v>
      </c>
      <c r="C31" s="785">
        <v>0</v>
      </c>
      <c r="D31" s="785">
        <v>0</v>
      </c>
      <c r="E31" s="785">
        <v>0</v>
      </c>
      <c r="F31" s="786">
        <v>0</v>
      </c>
      <c r="G31" s="785" t="s">
        <v>588</v>
      </c>
      <c r="H31" s="785" t="s">
        <v>588</v>
      </c>
    </row>
    <row r="32" spans="1:16">
      <c r="A32" s="783" t="s">
        <v>704</v>
      </c>
      <c r="B32" s="784">
        <v>0</v>
      </c>
      <c r="C32" s="785">
        <v>0</v>
      </c>
      <c r="D32" s="785">
        <v>0</v>
      </c>
      <c r="E32" s="785">
        <v>0</v>
      </c>
      <c r="F32" s="786">
        <v>0</v>
      </c>
      <c r="G32" s="785" t="s">
        <v>588</v>
      </c>
      <c r="H32" s="785" t="s">
        <v>588</v>
      </c>
    </row>
    <row r="33" spans="1:8">
      <c r="A33" s="779" t="s">
        <v>705</v>
      </c>
      <c r="B33" s="780">
        <v>-117.3</v>
      </c>
      <c r="C33" s="781">
        <v>-135.9</v>
      </c>
      <c r="D33" s="781">
        <v>-182.6</v>
      </c>
      <c r="E33" s="781">
        <v>-190.2</v>
      </c>
      <c r="F33" s="782">
        <v>-190.2</v>
      </c>
      <c r="G33" s="781" t="s">
        <v>588</v>
      </c>
      <c r="H33" s="781" t="s">
        <v>588</v>
      </c>
    </row>
    <row r="34" spans="1:8">
      <c r="A34" s="783" t="s">
        <v>706</v>
      </c>
      <c r="B34" s="784">
        <v>0</v>
      </c>
      <c r="C34" s="785">
        <v>0</v>
      </c>
      <c r="D34" s="785">
        <v>0</v>
      </c>
      <c r="E34" s="785">
        <v>0</v>
      </c>
      <c r="F34" s="786">
        <v>0</v>
      </c>
      <c r="G34" s="785" t="s">
        <v>588</v>
      </c>
      <c r="H34" s="785" t="s">
        <v>588</v>
      </c>
    </row>
    <row r="35" spans="1:8">
      <c r="A35" s="779" t="s">
        <v>707</v>
      </c>
      <c r="B35" s="780">
        <v>-117.3</v>
      </c>
      <c r="C35" s="781">
        <v>-135.9</v>
      </c>
      <c r="D35" s="781">
        <v>-182.6</v>
      </c>
      <c r="E35" s="781">
        <v>-190.2</v>
      </c>
      <c r="F35" s="782">
        <v>-190.2</v>
      </c>
      <c r="G35" s="781">
        <v>-167.9</v>
      </c>
      <c r="H35" s="781">
        <v>-82.1</v>
      </c>
    </row>
    <row r="36" spans="1:8">
      <c r="A36" s="783" t="s">
        <v>708</v>
      </c>
      <c r="B36" s="784">
        <v>0</v>
      </c>
      <c r="C36" s="785">
        <v>0</v>
      </c>
      <c r="D36" s="785">
        <v>0</v>
      </c>
      <c r="E36" s="785">
        <v>0</v>
      </c>
      <c r="F36" s="786">
        <v>0</v>
      </c>
      <c r="G36" s="785" t="s">
        <v>588</v>
      </c>
      <c r="H36" s="785" t="s">
        <v>588</v>
      </c>
    </row>
    <row r="37" spans="1:8">
      <c r="A37" s="783" t="s">
        <v>709</v>
      </c>
      <c r="B37" s="784">
        <v>0</v>
      </c>
      <c r="C37" s="785">
        <v>0</v>
      </c>
      <c r="D37" s="785">
        <v>0</v>
      </c>
      <c r="E37" s="785">
        <v>0</v>
      </c>
      <c r="F37" s="786">
        <v>0</v>
      </c>
      <c r="G37" s="785" t="s">
        <v>588</v>
      </c>
      <c r="H37" s="785" t="s">
        <v>588</v>
      </c>
    </row>
    <row r="38" spans="1:8" ht="26.1">
      <c r="A38" s="779" t="s">
        <v>710</v>
      </c>
      <c r="B38" s="780">
        <v>-117.3</v>
      </c>
      <c r="C38" s="781">
        <v>-135.9</v>
      </c>
      <c r="D38" s="781">
        <v>-182.6</v>
      </c>
      <c r="E38" s="781">
        <v>-190.2</v>
      </c>
      <c r="F38" s="782">
        <v>-190.2</v>
      </c>
      <c r="G38" s="781">
        <v>-167.9</v>
      </c>
      <c r="H38" s="781">
        <v>-82.1</v>
      </c>
    </row>
    <row r="39" spans="1:8">
      <c r="A39" s="779" t="s">
        <v>588</v>
      </c>
      <c r="B39" s="791" t="s">
        <v>588</v>
      </c>
      <c r="C39" s="781" t="s">
        <v>588</v>
      </c>
      <c r="D39" s="781" t="s">
        <v>588</v>
      </c>
      <c r="E39" s="781" t="s">
        <v>588</v>
      </c>
      <c r="F39" s="782" t="s">
        <v>588</v>
      </c>
      <c r="G39" s="781" t="s">
        <v>588</v>
      </c>
      <c r="H39" s="781" t="s">
        <v>588</v>
      </c>
    </row>
    <row r="40" spans="1:8">
      <c r="A40" s="779" t="s">
        <v>711</v>
      </c>
      <c r="B40" s="780">
        <v>-114.6</v>
      </c>
      <c r="C40" s="781">
        <v>-134.69999999999999</v>
      </c>
      <c r="D40" s="781">
        <v>-181</v>
      </c>
      <c r="E40" s="781">
        <v>-189.5</v>
      </c>
      <c r="F40" s="782">
        <v>-189.4</v>
      </c>
      <c r="G40" s="781">
        <v>-173.3</v>
      </c>
      <c r="H40" s="781">
        <v>-41.8</v>
      </c>
    </row>
    <row r="41" spans="1:8">
      <c r="A41" s="783" t="s">
        <v>712</v>
      </c>
      <c r="B41" s="784">
        <v>2.7</v>
      </c>
      <c r="C41" s="785">
        <v>1.2</v>
      </c>
      <c r="D41" s="785">
        <v>1.6</v>
      </c>
      <c r="E41" s="785">
        <v>0.7</v>
      </c>
      <c r="F41" s="786">
        <v>0.7</v>
      </c>
      <c r="G41" s="785" t="s">
        <v>588</v>
      </c>
      <c r="H41" s="785" t="s">
        <v>588</v>
      </c>
    </row>
    <row r="42" spans="1:8">
      <c r="A42" s="783" t="s">
        <v>713</v>
      </c>
      <c r="B42" s="784">
        <v>0</v>
      </c>
      <c r="C42" s="785">
        <v>0</v>
      </c>
      <c r="D42" s="785">
        <v>0</v>
      </c>
      <c r="E42" s="785">
        <v>0</v>
      </c>
      <c r="F42" s="786">
        <v>0</v>
      </c>
      <c r="G42" s="785" t="s">
        <v>588</v>
      </c>
      <c r="H42" s="785" t="s">
        <v>588</v>
      </c>
    </row>
    <row r="43" spans="1:8">
      <c r="A43" s="779" t="s">
        <v>588</v>
      </c>
      <c r="B43" s="791" t="s">
        <v>588</v>
      </c>
      <c r="C43" s="781" t="s">
        <v>588</v>
      </c>
      <c r="D43" s="781" t="s">
        <v>588</v>
      </c>
      <c r="E43" s="781" t="s">
        <v>588</v>
      </c>
      <c r="F43" s="782" t="s">
        <v>588</v>
      </c>
      <c r="G43" s="781" t="s">
        <v>588</v>
      </c>
      <c r="H43" s="781" t="s">
        <v>588</v>
      </c>
    </row>
    <row r="44" spans="1:8">
      <c r="A44" s="783" t="s">
        <v>714</v>
      </c>
      <c r="B44" s="784">
        <v>209.9</v>
      </c>
      <c r="C44" s="785">
        <v>466.2</v>
      </c>
      <c r="D44" s="785">
        <v>481.8</v>
      </c>
      <c r="E44" s="785">
        <v>495.9</v>
      </c>
      <c r="F44" s="786">
        <v>501.7</v>
      </c>
      <c r="G44" s="785" t="s">
        <v>588</v>
      </c>
      <c r="H44" s="785" t="s">
        <v>588</v>
      </c>
    </row>
    <row r="45" spans="1:8">
      <c r="A45" s="779" t="s">
        <v>715</v>
      </c>
      <c r="B45" s="780">
        <v>-0.56000000000000005</v>
      </c>
      <c r="C45" s="781">
        <v>-0.28999999999999998</v>
      </c>
      <c r="D45" s="781">
        <v>-0.38</v>
      </c>
      <c r="E45" s="781">
        <v>-0.38</v>
      </c>
      <c r="F45" s="782">
        <v>-0.37</v>
      </c>
      <c r="G45" s="781">
        <v>-0.38</v>
      </c>
      <c r="H45" s="781">
        <v>-0.12</v>
      </c>
    </row>
    <row r="46" spans="1:8">
      <c r="A46" s="779" t="s">
        <v>716</v>
      </c>
      <c r="B46" s="780">
        <v>-0.56000000000000005</v>
      </c>
      <c r="C46" s="781">
        <v>-0.28999999999999998</v>
      </c>
      <c r="D46" s="781">
        <v>-0.38</v>
      </c>
      <c r="E46" s="781">
        <v>-0.38</v>
      </c>
      <c r="F46" s="782">
        <v>-0.37</v>
      </c>
      <c r="G46" s="781">
        <v>-0.38</v>
      </c>
      <c r="H46" s="781">
        <v>-0.12</v>
      </c>
    </row>
    <row r="47" spans="1:8" ht="26.1">
      <c r="A47" s="779" t="s">
        <v>717</v>
      </c>
      <c r="B47" s="780">
        <v>-0.55000000000000004</v>
      </c>
      <c r="C47" s="781">
        <v>-0.28999999999999998</v>
      </c>
      <c r="D47" s="781">
        <v>-0.38</v>
      </c>
      <c r="E47" s="781">
        <v>-0.38</v>
      </c>
      <c r="F47" s="782">
        <v>-0.38</v>
      </c>
      <c r="G47" s="781">
        <v>-0.31</v>
      </c>
      <c r="H47" s="781">
        <v>-0.05</v>
      </c>
    </row>
    <row r="48" spans="1:8">
      <c r="A48" s="779" t="s">
        <v>588</v>
      </c>
      <c r="B48" s="791" t="s">
        <v>588</v>
      </c>
      <c r="C48" s="781" t="s">
        <v>588</v>
      </c>
      <c r="D48" s="781" t="s">
        <v>588</v>
      </c>
      <c r="E48" s="781" t="s">
        <v>588</v>
      </c>
      <c r="F48" s="782" t="s">
        <v>588</v>
      </c>
      <c r="G48" s="781" t="s">
        <v>588</v>
      </c>
      <c r="H48" s="781" t="s">
        <v>588</v>
      </c>
    </row>
    <row r="49" spans="1:8">
      <c r="A49" s="783" t="s">
        <v>718</v>
      </c>
      <c r="B49" s="784">
        <v>209.9</v>
      </c>
      <c r="C49" s="785">
        <v>466.2</v>
      </c>
      <c r="D49" s="785">
        <v>481.8</v>
      </c>
      <c r="E49" s="785">
        <v>495.9</v>
      </c>
      <c r="F49" s="786">
        <v>501.7</v>
      </c>
      <c r="G49" s="785" t="s">
        <v>588</v>
      </c>
      <c r="H49" s="785" t="s">
        <v>588</v>
      </c>
    </row>
    <row r="50" spans="1:8">
      <c r="A50" s="779" t="s">
        <v>719</v>
      </c>
      <c r="B50" s="780">
        <v>-0.56000000000000005</v>
      </c>
      <c r="C50" s="781">
        <v>-0.28999999999999998</v>
      </c>
      <c r="D50" s="781">
        <v>-0.38</v>
      </c>
      <c r="E50" s="781">
        <v>-0.38</v>
      </c>
      <c r="F50" s="782">
        <v>-0.37</v>
      </c>
      <c r="G50" s="781">
        <v>-0.38</v>
      </c>
      <c r="H50" s="781">
        <v>-0.12</v>
      </c>
    </row>
    <row r="51" spans="1:8">
      <c r="A51" s="779" t="s">
        <v>720</v>
      </c>
      <c r="B51" s="780">
        <v>-0.56000000000000005</v>
      </c>
      <c r="C51" s="781">
        <v>-0.28999999999999998</v>
      </c>
      <c r="D51" s="781">
        <v>-0.38</v>
      </c>
      <c r="E51" s="781">
        <v>-0.38</v>
      </c>
      <c r="F51" s="782">
        <v>-0.37</v>
      </c>
      <c r="G51" s="781">
        <v>-0.38</v>
      </c>
      <c r="H51" s="781">
        <v>-0.12</v>
      </c>
    </row>
    <row r="52" spans="1:8" ht="26.1">
      <c r="A52" s="779" t="s">
        <v>721</v>
      </c>
      <c r="B52" s="780">
        <v>-0.55000000000000004</v>
      </c>
      <c r="C52" s="781">
        <v>-0.28999999999999998</v>
      </c>
      <c r="D52" s="781">
        <v>-0.38</v>
      </c>
      <c r="E52" s="781">
        <v>-0.38</v>
      </c>
      <c r="F52" s="782">
        <v>-0.38</v>
      </c>
      <c r="G52" s="781">
        <v>-0.31</v>
      </c>
      <c r="H52" s="781">
        <v>-0.05</v>
      </c>
    </row>
    <row r="53" spans="1:8">
      <c r="A53" s="779" t="s">
        <v>588</v>
      </c>
      <c r="B53" s="791" t="s">
        <v>588</v>
      </c>
      <c r="C53" s="781" t="s">
        <v>588</v>
      </c>
      <c r="D53" s="781" t="s">
        <v>588</v>
      </c>
      <c r="E53" s="781" t="s">
        <v>588</v>
      </c>
      <c r="F53" s="782" t="s">
        <v>588</v>
      </c>
      <c r="G53" s="781" t="s">
        <v>588</v>
      </c>
      <c r="H53" s="781" t="s">
        <v>588</v>
      </c>
    </row>
    <row r="54" spans="1:8">
      <c r="A54" s="779" t="s">
        <v>672</v>
      </c>
      <c r="B54" s="791" t="s">
        <v>588</v>
      </c>
      <c r="C54" s="781" t="s">
        <v>588</v>
      </c>
      <c r="D54" s="781" t="s">
        <v>588</v>
      </c>
      <c r="E54" s="781" t="s">
        <v>588</v>
      </c>
      <c r="F54" s="782" t="s">
        <v>588</v>
      </c>
      <c r="G54" s="781" t="s">
        <v>588</v>
      </c>
      <c r="H54" s="781" t="s">
        <v>588</v>
      </c>
    </row>
    <row r="55" spans="1:8">
      <c r="A55" s="783" t="s">
        <v>722</v>
      </c>
      <c r="B55" s="784" t="s">
        <v>723</v>
      </c>
      <c r="C55" s="785" t="s">
        <v>723</v>
      </c>
      <c r="D55" s="785" t="s">
        <v>723</v>
      </c>
      <c r="E55" s="785" t="s">
        <v>723</v>
      </c>
      <c r="F55" s="786" t="s">
        <v>588</v>
      </c>
      <c r="G55" s="785" t="s">
        <v>588</v>
      </c>
      <c r="H55" s="785" t="s">
        <v>588</v>
      </c>
    </row>
    <row r="56" spans="1:8">
      <c r="A56" s="783" t="s">
        <v>233</v>
      </c>
      <c r="B56" s="784">
        <v>-90.6</v>
      </c>
      <c r="C56" s="785">
        <v>-105.3</v>
      </c>
      <c r="D56" s="785">
        <v>-148.19999999999999</v>
      </c>
      <c r="E56" s="785">
        <v>-145.19999999999999</v>
      </c>
      <c r="F56" s="786">
        <v>-156.1</v>
      </c>
      <c r="G56" s="785">
        <v>-68.2</v>
      </c>
      <c r="H56" s="785">
        <v>83.2</v>
      </c>
    </row>
    <row r="57" spans="1:8">
      <c r="A57" s="783" t="s">
        <v>724</v>
      </c>
      <c r="B57" s="784">
        <v>-145.55000000000001</v>
      </c>
      <c r="C57" s="785">
        <v>-49.89</v>
      </c>
      <c r="D57" s="785">
        <v>-60.58</v>
      </c>
      <c r="E57" s="785">
        <v>-33.28</v>
      </c>
      <c r="F57" s="786">
        <v>-35.799999999999997</v>
      </c>
      <c r="G57" s="785">
        <v>-11.76</v>
      </c>
      <c r="H57" s="785">
        <v>9.3000000000000007</v>
      </c>
    </row>
    <row r="58" spans="1:8">
      <c r="A58" s="783" t="s">
        <v>725</v>
      </c>
      <c r="B58" s="784">
        <v>-98.1</v>
      </c>
      <c r="C58" s="785">
        <v>-121.4</v>
      </c>
      <c r="D58" s="785">
        <v>-163.6</v>
      </c>
      <c r="E58" s="785">
        <v>-164.9</v>
      </c>
      <c r="F58" s="786">
        <v>-176.5</v>
      </c>
      <c r="G58" s="785" t="s">
        <v>588</v>
      </c>
      <c r="H58" s="785" t="s">
        <v>588</v>
      </c>
    </row>
    <row r="59" spans="1:8">
      <c r="A59" s="783" t="s">
        <v>425</v>
      </c>
      <c r="B59" s="784">
        <v>-102.1</v>
      </c>
      <c r="C59" s="785">
        <v>-135.19999999999999</v>
      </c>
      <c r="D59" s="785">
        <v>-177.9</v>
      </c>
      <c r="E59" s="785">
        <v>-189.8</v>
      </c>
      <c r="F59" s="786">
        <v>-189.8</v>
      </c>
      <c r="G59" s="785">
        <v>-117.5</v>
      </c>
      <c r="H59" s="785">
        <v>21</v>
      </c>
    </row>
    <row r="60" spans="1:8">
      <c r="A60" s="783" t="s">
        <v>726</v>
      </c>
      <c r="B60" s="784">
        <v>-3.04</v>
      </c>
      <c r="C60" s="785">
        <v>9</v>
      </c>
      <c r="D60" s="785">
        <v>21.02</v>
      </c>
      <c r="E60" s="785">
        <v>26.63</v>
      </c>
      <c r="F60" s="786">
        <v>26.63</v>
      </c>
      <c r="G60" s="785" t="s">
        <v>588</v>
      </c>
      <c r="H60" s="785" t="s">
        <v>588</v>
      </c>
    </row>
    <row r="61" spans="1:8">
      <c r="A61" s="783" t="s">
        <v>243</v>
      </c>
      <c r="B61" s="784">
        <v>-163.97</v>
      </c>
      <c r="C61" s="785">
        <v>-64.08</v>
      </c>
      <c r="D61" s="785">
        <v>-72.739999999999995</v>
      </c>
      <c r="E61" s="785">
        <v>-43.51</v>
      </c>
      <c r="F61" s="786">
        <v>-43.51</v>
      </c>
      <c r="G61" s="785">
        <v>-20.25</v>
      </c>
      <c r="H61" s="785">
        <v>2.35</v>
      </c>
    </row>
    <row r="62" spans="1:8">
      <c r="A62" s="783" t="s">
        <v>219</v>
      </c>
      <c r="B62" s="784">
        <v>-188.51</v>
      </c>
      <c r="C62" s="785">
        <v>-64.430000000000007</v>
      </c>
      <c r="D62" s="785">
        <v>-74.64</v>
      </c>
      <c r="E62" s="785">
        <v>-43.6</v>
      </c>
      <c r="F62" s="786">
        <v>-43.6</v>
      </c>
      <c r="G62" s="785">
        <v>-29.86</v>
      </c>
      <c r="H62" s="785">
        <v>-4.67</v>
      </c>
    </row>
    <row r="63" spans="1:8">
      <c r="A63" s="783" t="s">
        <v>727</v>
      </c>
      <c r="B63" s="784" t="s">
        <v>634</v>
      </c>
      <c r="C63" s="792">
        <v>150711.43</v>
      </c>
      <c r="D63" s="792">
        <v>148237.57999999999</v>
      </c>
      <c r="E63" s="792">
        <v>207720.95</v>
      </c>
      <c r="F63" s="793">
        <v>63041.9</v>
      </c>
      <c r="G63" s="785" t="s">
        <v>588</v>
      </c>
      <c r="H63" s="785" t="s">
        <v>588</v>
      </c>
    </row>
    <row r="64" spans="1:8">
      <c r="A64" s="783" t="s">
        <v>728</v>
      </c>
      <c r="B64" s="784">
        <v>0</v>
      </c>
      <c r="C64" s="785">
        <v>0</v>
      </c>
      <c r="D64" s="785">
        <v>0</v>
      </c>
      <c r="E64" s="785">
        <v>0</v>
      </c>
      <c r="F64" s="786">
        <v>0</v>
      </c>
      <c r="G64" s="785">
        <v>0</v>
      </c>
      <c r="H64" s="785">
        <v>0</v>
      </c>
    </row>
    <row r="65" spans="1:8">
      <c r="A65" s="783" t="s">
        <v>729</v>
      </c>
      <c r="B65" s="784" t="s">
        <v>634</v>
      </c>
      <c r="C65" s="785" t="s">
        <v>634</v>
      </c>
      <c r="D65" s="785">
        <v>0</v>
      </c>
      <c r="E65" s="785">
        <v>0</v>
      </c>
      <c r="F65" s="786">
        <v>0</v>
      </c>
      <c r="G65" s="785" t="s">
        <v>588</v>
      </c>
      <c r="H65" s="785" t="s">
        <v>588</v>
      </c>
    </row>
    <row r="66" spans="1:8">
      <c r="A66" s="783" t="s">
        <v>443</v>
      </c>
      <c r="B66" s="784">
        <v>7.5</v>
      </c>
      <c r="C66" s="785">
        <v>16.2</v>
      </c>
      <c r="D66" s="785">
        <v>15.4</v>
      </c>
      <c r="E66" s="785">
        <v>19.8</v>
      </c>
      <c r="F66" s="786">
        <v>20.399999999999999</v>
      </c>
      <c r="G66" s="785" t="s">
        <v>588</v>
      </c>
      <c r="H66" s="785" t="s">
        <v>588</v>
      </c>
    </row>
    <row r="67" spans="1:8">
      <c r="A67" s="783" t="s">
        <v>730</v>
      </c>
      <c r="B67" s="784" t="s">
        <v>634</v>
      </c>
      <c r="C67" s="785" t="s">
        <v>634</v>
      </c>
      <c r="D67" s="785" t="s">
        <v>634</v>
      </c>
      <c r="E67" s="785">
        <v>11</v>
      </c>
      <c r="F67" s="786" t="s">
        <v>588</v>
      </c>
      <c r="G67" s="785" t="s">
        <v>588</v>
      </c>
      <c r="H67" s="785" t="s">
        <v>588</v>
      </c>
    </row>
    <row r="68" spans="1:8" ht="65.099999999999994">
      <c r="A68" s="794" t="s">
        <v>156</v>
      </c>
      <c r="B68" s="794" t="s">
        <v>731</v>
      </c>
      <c r="C68" s="795"/>
      <c r="D68" s="795"/>
      <c r="E68" s="795"/>
      <c r="F68" s="795"/>
      <c r="G68" s="796" t="s">
        <v>588</v>
      </c>
      <c r="H68" s="796" t="s">
        <v>588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E82D-4185-408A-B1D0-52DBBF50A89B}">
  <sheetPr codeName="Sheet15"/>
  <dimension ref="A1:M90"/>
  <sheetViews>
    <sheetView workbookViewId="0"/>
  </sheetViews>
  <sheetFormatPr defaultRowHeight="14.1"/>
  <cols>
    <col min="1" max="1" width="27.375" customWidth="1"/>
    <col min="2" max="2" width="10.75" customWidth="1"/>
    <col min="3" max="3" width="11.875" customWidth="1"/>
    <col min="4" max="4" width="11" customWidth="1"/>
    <col min="5" max="5" width="10.5" customWidth="1"/>
    <col min="6" max="6" width="10.25" customWidth="1"/>
    <col min="9" max="9" width="40.25" bestFit="1" customWidth="1"/>
    <col min="10" max="10" width="9" bestFit="1" customWidth="1"/>
  </cols>
  <sheetData>
    <row r="1" spans="1:13" ht="26.1">
      <c r="A1" s="773" t="s">
        <v>622</v>
      </c>
      <c r="B1" s="774" t="s">
        <v>732</v>
      </c>
      <c r="C1" s="775" t="s">
        <v>623</v>
      </c>
      <c r="D1" s="775" t="s">
        <v>624</v>
      </c>
      <c r="E1" s="775" t="s">
        <v>625</v>
      </c>
      <c r="F1" s="775" t="s">
        <v>626</v>
      </c>
    </row>
    <row r="2" spans="1:13">
      <c r="A2" s="776" t="s">
        <v>123</v>
      </c>
      <c r="B2" s="805" t="s">
        <v>733</v>
      </c>
      <c r="C2" s="806" t="s">
        <v>734</v>
      </c>
      <c r="D2" s="806" t="s">
        <v>735</v>
      </c>
      <c r="E2" s="806" t="s">
        <v>736</v>
      </c>
      <c r="F2" s="806" t="s">
        <v>737</v>
      </c>
    </row>
    <row r="3" spans="1:13">
      <c r="A3" s="779" t="s">
        <v>309</v>
      </c>
      <c r="B3" s="791"/>
      <c r="C3" s="781"/>
      <c r="D3" s="781"/>
      <c r="E3" s="781"/>
      <c r="F3" s="781"/>
      <c r="J3">
        <v>2</v>
      </c>
      <c r="K3">
        <f>J3+1</f>
        <v>3</v>
      </c>
      <c r="L3">
        <f>K3+1</f>
        <v>4</v>
      </c>
      <c r="M3">
        <f>L3+1</f>
        <v>5</v>
      </c>
    </row>
    <row r="4" spans="1:13">
      <c r="A4" s="783" t="s">
        <v>738</v>
      </c>
      <c r="B4" s="784">
        <v>0.9</v>
      </c>
      <c r="C4" s="785">
        <v>691</v>
      </c>
      <c r="D4" s="785">
        <v>471.8</v>
      </c>
      <c r="E4" s="785">
        <v>244.8</v>
      </c>
      <c r="F4" s="785">
        <v>419</v>
      </c>
      <c r="J4">
        <v>2021</v>
      </c>
      <c r="K4">
        <v>2022</v>
      </c>
      <c r="L4">
        <v>2023</v>
      </c>
      <c r="M4">
        <v>2024</v>
      </c>
    </row>
    <row r="5" spans="1:13">
      <c r="A5" s="783" t="s">
        <v>739</v>
      </c>
      <c r="B5" s="784">
        <v>0.9</v>
      </c>
      <c r="C5" s="785">
        <v>691</v>
      </c>
      <c r="D5" s="785">
        <v>242.5</v>
      </c>
      <c r="E5" s="785">
        <v>162.5</v>
      </c>
      <c r="F5" s="785">
        <v>271</v>
      </c>
      <c r="I5" t="s">
        <v>456</v>
      </c>
      <c r="J5">
        <f t="shared" ref="J5:M8" si="0">C4</f>
        <v>691</v>
      </c>
      <c r="K5">
        <f t="shared" si="0"/>
        <v>471.8</v>
      </c>
      <c r="L5">
        <f t="shared" si="0"/>
        <v>244.8</v>
      </c>
      <c r="M5">
        <f t="shared" si="0"/>
        <v>419</v>
      </c>
    </row>
    <row r="6" spans="1:13" ht="14.45">
      <c r="A6" s="783" t="s">
        <v>740</v>
      </c>
      <c r="B6" s="784">
        <v>0</v>
      </c>
      <c r="C6" s="785">
        <v>0</v>
      </c>
      <c r="D6" s="785">
        <v>229.3</v>
      </c>
      <c r="E6" s="785">
        <v>82.3</v>
      </c>
      <c r="F6" s="785">
        <v>147.9</v>
      </c>
      <c r="I6" s="262" t="s">
        <v>303</v>
      </c>
      <c r="J6">
        <f t="shared" si="0"/>
        <v>691</v>
      </c>
      <c r="K6">
        <f t="shared" si="0"/>
        <v>242.5</v>
      </c>
      <c r="L6">
        <f t="shared" si="0"/>
        <v>162.5</v>
      </c>
      <c r="M6">
        <f t="shared" si="0"/>
        <v>271</v>
      </c>
    </row>
    <row r="7" spans="1:13" ht="14.45">
      <c r="A7" s="783" t="s">
        <v>741</v>
      </c>
      <c r="B7" s="784">
        <v>0</v>
      </c>
      <c r="C7" s="785">
        <v>14</v>
      </c>
      <c r="D7" s="785">
        <v>36.6</v>
      </c>
      <c r="E7" s="785">
        <v>35.200000000000003</v>
      </c>
      <c r="F7" s="785">
        <v>36.4</v>
      </c>
      <c r="I7" s="262" t="s">
        <v>548</v>
      </c>
      <c r="J7">
        <f t="shared" si="0"/>
        <v>0</v>
      </c>
      <c r="K7">
        <f t="shared" si="0"/>
        <v>229.3</v>
      </c>
      <c r="L7">
        <f t="shared" si="0"/>
        <v>82.3</v>
      </c>
      <c r="M7">
        <f t="shared" si="0"/>
        <v>147.9</v>
      </c>
    </row>
    <row r="8" spans="1:13">
      <c r="A8" s="783" t="s">
        <v>742</v>
      </c>
      <c r="B8" s="784" t="s">
        <v>634</v>
      </c>
      <c r="C8" s="785">
        <v>14</v>
      </c>
      <c r="D8" s="785">
        <v>36.6</v>
      </c>
      <c r="E8" s="785">
        <v>35.200000000000003</v>
      </c>
      <c r="F8" s="785">
        <v>36.4</v>
      </c>
      <c r="I8" t="s">
        <v>304</v>
      </c>
      <c r="J8">
        <f t="shared" si="0"/>
        <v>14</v>
      </c>
      <c r="K8">
        <f t="shared" si="0"/>
        <v>36.6</v>
      </c>
      <c r="L8">
        <f t="shared" si="0"/>
        <v>35.200000000000003</v>
      </c>
      <c r="M8">
        <f t="shared" si="0"/>
        <v>36.4</v>
      </c>
    </row>
    <row r="9" spans="1:13">
      <c r="A9" s="783" t="s">
        <v>743</v>
      </c>
      <c r="B9" s="784" t="s">
        <v>634</v>
      </c>
      <c r="C9" s="785" t="s">
        <v>634</v>
      </c>
      <c r="D9" s="785">
        <v>0</v>
      </c>
      <c r="E9" s="785">
        <v>0</v>
      </c>
      <c r="F9" s="785">
        <v>0</v>
      </c>
      <c r="I9" t="s">
        <v>458</v>
      </c>
      <c r="J9">
        <f>C11</f>
        <v>47.9</v>
      </c>
      <c r="K9">
        <f>D11</f>
        <v>92.3</v>
      </c>
      <c r="L9">
        <f>E11</f>
        <v>107.9</v>
      </c>
      <c r="M9">
        <f>F11</f>
        <v>119.1</v>
      </c>
    </row>
    <row r="10" spans="1:13">
      <c r="A10" s="783" t="s">
        <v>744</v>
      </c>
      <c r="B10" s="784" t="s">
        <v>634</v>
      </c>
      <c r="C10" s="785">
        <v>2.5</v>
      </c>
      <c r="D10" s="785">
        <v>9.5</v>
      </c>
      <c r="E10" s="785">
        <v>13</v>
      </c>
      <c r="F10" s="785">
        <v>63.1</v>
      </c>
      <c r="I10" s="38" t="s">
        <v>460</v>
      </c>
      <c r="J10">
        <f>C16</f>
        <v>19.5</v>
      </c>
      <c r="K10">
        <f>D16</f>
        <v>52.2</v>
      </c>
      <c r="L10">
        <f>E16</f>
        <v>76</v>
      </c>
      <c r="M10">
        <f>F16</f>
        <v>55</v>
      </c>
    </row>
    <row r="11" spans="1:13">
      <c r="A11" s="783" t="s">
        <v>745</v>
      </c>
      <c r="B11" s="784">
        <v>0</v>
      </c>
      <c r="C11" s="785">
        <v>47.9</v>
      </c>
      <c r="D11" s="785">
        <v>92.3</v>
      </c>
      <c r="E11" s="785">
        <v>107.9</v>
      </c>
      <c r="F11" s="785">
        <v>119.1</v>
      </c>
      <c r="I11" s="76" t="s">
        <v>307</v>
      </c>
      <c r="J11">
        <f t="shared" ref="J11:M14" si="1">C21</f>
        <v>774.8</v>
      </c>
      <c r="K11">
        <f t="shared" si="1"/>
        <v>662.3</v>
      </c>
      <c r="L11">
        <f t="shared" si="1"/>
        <v>476.7</v>
      </c>
      <c r="M11">
        <f t="shared" si="1"/>
        <v>692.6</v>
      </c>
    </row>
    <row r="12" spans="1:13">
      <c r="A12" s="783" t="s">
        <v>746</v>
      </c>
      <c r="B12" s="784">
        <v>0</v>
      </c>
      <c r="C12" s="785">
        <v>21.5</v>
      </c>
      <c r="D12" s="785">
        <v>33.4</v>
      </c>
      <c r="E12" s="785">
        <v>45.1</v>
      </c>
      <c r="F12" s="785">
        <v>50.7</v>
      </c>
      <c r="I12" t="s">
        <v>308</v>
      </c>
      <c r="J12">
        <f t="shared" si="1"/>
        <v>93.8</v>
      </c>
      <c r="K12">
        <f t="shared" si="1"/>
        <v>152.4</v>
      </c>
      <c r="L12">
        <f t="shared" si="1"/>
        <v>219.8</v>
      </c>
      <c r="M12">
        <f t="shared" si="1"/>
        <v>262.89999999999998</v>
      </c>
    </row>
    <row r="13" spans="1:13" ht="14.45">
      <c r="A13" s="783" t="s">
        <v>747</v>
      </c>
      <c r="B13" s="784">
        <v>0</v>
      </c>
      <c r="C13" s="785">
        <v>24.2</v>
      </c>
      <c r="D13" s="785">
        <v>50.7</v>
      </c>
      <c r="E13" s="785">
        <v>53.6</v>
      </c>
      <c r="F13" s="785">
        <v>60.5</v>
      </c>
      <c r="I13" s="262" t="s">
        <v>549</v>
      </c>
      <c r="J13">
        <f t="shared" si="1"/>
        <v>116</v>
      </c>
      <c r="K13">
        <f t="shared" si="1"/>
        <v>188.8</v>
      </c>
      <c r="L13">
        <f t="shared" si="1"/>
        <v>268.89999999999998</v>
      </c>
      <c r="M13">
        <f t="shared" si="1"/>
        <v>328.5</v>
      </c>
    </row>
    <row r="14" spans="1:13" ht="14.45">
      <c r="A14" s="783" t="s">
        <v>748</v>
      </c>
      <c r="B14" s="784">
        <v>0</v>
      </c>
      <c r="C14" s="785">
        <v>2.2000000000000002</v>
      </c>
      <c r="D14" s="785">
        <v>8.1999999999999993</v>
      </c>
      <c r="E14" s="785">
        <v>9.1999999999999993</v>
      </c>
      <c r="F14" s="785">
        <v>8</v>
      </c>
      <c r="I14" s="262" t="s">
        <v>464</v>
      </c>
      <c r="J14">
        <f t="shared" si="1"/>
        <v>22.2</v>
      </c>
      <c r="K14">
        <f t="shared" si="1"/>
        <v>36.4</v>
      </c>
      <c r="L14">
        <f t="shared" si="1"/>
        <v>49.1</v>
      </c>
      <c r="M14">
        <f t="shared" si="1"/>
        <v>65.599999999999994</v>
      </c>
    </row>
    <row r="15" spans="1:13">
      <c r="A15" s="783" t="s">
        <v>749</v>
      </c>
      <c r="B15" s="784">
        <v>0</v>
      </c>
      <c r="C15" s="785">
        <v>0</v>
      </c>
      <c r="D15" s="785">
        <v>0</v>
      </c>
      <c r="E15" s="785">
        <v>0</v>
      </c>
      <c r="F15" s="785">
        <v>0</v>
      </c>
    </row>
    <row r="16" spans="1:13">
      <c r="A16" s="783" t="s">
        <v>750</v>
      </c>
      <c r="B16" s="784">
        <v>0.4</v>
      </c>
      <c r="C16" s="785">
        <v>19.5</v>
      </c>
      <c r="D16" s="785">
        <v>52.2</v>
      </c>
      <c r="E16" s="785">
        <v>76</v>
      </c>
      <c r="F16" s="785">
        <v>55</v>
      </c>
      <c r="I16" t="s">
        <v>550</v>
      </c>
      <c r="J16">
        <f t="shared" ref="J16:M17" si="2">C28</f>
        <v>45.1</v>
      </c>
      <c r="K16">
        <f t="shared" si="2"/>
        <v>150.69999999999999</v>
      </c>
      <c r="L16">
        <f t="shared" si="2"/>
        <v>139.1</v>
      </c>
      <c r="M16">
        <f t="shared" si="2"/>
        <v>129.69999999999999</v>
      </c>
    </row>
    <row r="17" spans="1:13" ht="14.45">
      <c r="A17" s="783" t="s">
        <v>751</v>
      </c>
      <c r="B17" s="784">
        <v>0.4</v>
      </c>
      <c r="C17" s="785">
        <v>19.5</v>
      </c>
      <c r="D17" s="785">
        <v>52.2</v>
      </c>
      <c r="E17" s="785">
        <v>66.900000000000006</v>
      </c>
      <c r="F17" s="785">
        <v>38</v>
      </c>
      <c r="I17" s="262" t="s">
        <v>551</v>
      </c>
      <c r="J17">
        <f t="shared" si="2"/>
        <v>43.3</v>
      </c>
      <c r="K17">
        <f t="shared" si="2"/>
        <v>71</v>
      </c>
      <c r="L17">
        <f t="shared" si="2"/>
        <v>71</v>
      </c>
      <c r="M17">
        <f t="shared" si="2"/>
        <v>71</v>
      </c>
    </row>
    <row r="18" spans="1:13" ht="14.45">
      <c r="A18" s="783" t="s">
        <v>752</v>
      </c>
      <c r="B18" s="784">
        <v>0</v>
      </c>
      <c r="C18" s="785">
        <v>0</v>
      </c>
      <c r="D18" s="785">
        <v>0</v>
      </c>
      <c r="E18" s="785">
        <v>0</v>
      </c>
      <c r="F18" s="785">
        <v>0</v>
      </c>
      <c r="I18" s="262" t="s">
        <v>465</v>
      </c>
    </row>
    <row r="19" spans="1:13">
      <c r="A19" s="783" t="s">
        <v>753</v>
      </c>
      <c r="B19" s="784" t="s">
        <v>634</v>
      </c>
      <c r="C19" s="785" t="s">
        <v>634</v>
      </c>
      <c r="D19" s="785" t="s">
        <v>634</v>
      </c>
      <c r="E19" s="785" t="s">
        <v>634</v>
      </c>
      <c r="F19" s="785">
        <v>0</v>
      </c>
      <c r="I19" s="38" t="s">
        <v>552</v>
      </c>
    </row>
    <row r="20" spans="1:13" ht="14.45" thickBot="1">
      <c r="A20" s="783" t="s">
        <v>754</v>
      </c>
      <c r="B20" s="784">
        <v>0</v>
      </c>
      <c r="C20" s="785">
        <v>0</v>
      </c>
      <c r="D20" s="785">
        <v>0</v>
      </c>
      <c r="E20" s="785">
        <v>9</v>
      </c>
      <c r="F20" s="785">
        <v>17</v>
      </c>
      <c r="I20" s="1" t="s">
        <v>553</v>
      </c>
      <c r="J20">
        <f t="shared" ref="J20:M21" si="3">C34</f>
        <v>206.1</v>
      </c>
      <c r="K20">
        <f t="shared" si="3"/>
        <v>326.8</v>
      </c>
      <c r="L20">
        <f t="shared" si="3"/>
        <v>464.5</v>
      </c>
      <c r="M20">
        <f t="shared" si="3"/>
        <v>491.7</v>
      </c>
    </row>
    <row r="21" spans="1:13" ht="14.45" thickBot="1">
      <c r="A21" s="779" t="s">
        <v>755</v>
      </c>
      <c r="B21" s="780">
        <v>1.2</v>
      </c>
      <c r="C21" s="807">
        <v>774.8</v>
      </c>
      <c r="D21" s="807">
        <v>662.3</v>
      </c>
      <c r="E21" s="807">
        <v>476.7</v>
      </c>
      <c r="F21" s="807">
        <v>692.6</v>
      </c>
      <c r="I21" s="237" t="s">
        <v>309</v>
      </c>
      <c r="J21">
        <f t="shared" si="3"/>
        <v>980.8</v>
      </c>
      <c r="K21">
        <f t="shared" si="3"/>
        <v>989.1</v>
      </c>
      <c r="L21">
        <f t="shared" si="3"/>
        <v>941.2</v>
      </c>
      <c r="M21">
        <f t="shared" si="3"/>
        <v>1184.3</v>
      </c>
    </row>
    <row r="22" spans="1:13">
      <c r="A22" s="783" t="s">
        <v>756</v>
      </c>
      <c r="B22" s="784">
        <v>0</v>
      </c>
      <c r="C22" s="785">
        <v>93.8</v>
      </c>
      <c r="D22" s="785">
        <v>152.4</v>
      </c>
      <c r="E22" s="785">
        <v>219.8</v>
      </c>
      <c r="F22" s="785">
        <v>262.89999999999998</v>
      </c>
      <c r="I22" t="s">
        <v>310</v>
      </c>
      <c r="J22">
        <f>C38</f>
        <v>14.5</v>
      </c>
      <c r="K22">
        <f>D38</f>
        <v>20.8</v>
      </c>
      <c r="L22">
        <f>E38</f>
        <v>34.9</v>
      </c>
      <c r="M22">
        <f>F38</f>
        <v>72.5</v>
      </c>
    </row>
    <row r="23" spans="1:13">
      <c r="A23" s="783" t="s">
        <v>757</v>
      </c>
      <c r="B23" s="784" t="s">
        <v>634</v>
      </c>
      <c r="C23" s="785">
        <v>116</v>
      </c>
      <c r="D23" s="785">
        <v>188.8</v>
      </c>
      <c r="E23" s="785">
        <v>268.89999999999998</v>
      </c>
      <c r="F23" s="785">
        <v>328.5</v>
      </c>
      <c r="I23" t="s">
        <v>554</v>
      </c>
      <c r="J23">
        <f t="shared" ref="J23:M25" si="4">C41</f>
        <v>2.8</v>
      </c>
      <c r="K23">
        <f t="shared" si="4"/>
        <v>2.9</v>
      </c>
      <c r="L23">
        <f t="shared" si="4"/>
        <v>17.8</v>
      </c>
      <c r="M23">
        <f t="shared" si="4"/>
        <v>18.2</v>
      </c>
    </row>
    <row r="24" spans="1:13" ht="14.45">
      <c r="A24" s="783" t="s">
        <v>758</v>
      </c>
      <c r="B24" s="784" t="s">
        <v>634</v>
      </c>
      <c r="C24" s="785">
        <v>22.2</v>
      </c>
      <c r="D24" s="785">
        <v>36.4</v>
      </c>
      <c r="E24" s="785">
        <v>49.1</v>
      </c>
      <c r="F24" s="785">
        <v>65.599999999999994</v>
      </c>
      <c r="I24" s="262" t="s">
        <v>555</v>
      </c>
      <c r="J24">
        <f t="shared" si="4"/>
        <v>2.8</v>
      </c>
      <c r="K24">
        <f t="shared" si="4"/>
        <v>2.9</v>
      </c>
      <c r="L24">
        <f t="shared" si="4"/>
        <v>17.8</v>
      </c>
      <c r="M24">
        <f t="shared" si="4"/>
        <v>11.8</v>
      </c>
    </row>
    <row r="25" spans="1:13" ht="14.45">
      <c r="A25" s="783" t="s">
        <v>759</v>
      </c>
      <c r="B25" s="784">
        <v>0</v>
      </c>
      <c r="C25" s="785">
        <v>0</v>
      </c>
      <c r="D25" s="785">
        <v>9.1999999999999993</v>
      </c>
      <c r="E25" s="785">
        <v>79.2</v>
      </c>
      <c r="F25" s="785">
        <v>60.7</v>
      </c>
      <c r="I25" s="262" t="s">
        <v>556</v>
      </c>
      <c r="J25">
        <f t="shared" si="4"/>
        <v>0</v>
      </c>
      <c r="K25" t="str">
        <f t="shared" si="4"/>
        <v>—</v>
      </c>
      <c r="L25" t="str">
        <f t="shared" si="4"/>
        <v>—</v>
      </c>
      <c r="M25">
        <f t="shared" si="4"/>
        <v>6.4</v>
      </c>
    </row>
    <row r="26" spans="1:13">
      <c r="A26" s="783" t="s">
        <v>760</v>
      </c>
      <c r="B26" s="784" t="s">
        <v>634</v>
      </c>
      <c r="C26" s="785" t="s">
        <v>634</v>
      </c>
      <c r="D26" s="785">
        <v>9.1999999999999993</v>
      </c>
      <c r="E26" s="785">
        <v>79.2</v>
      </c>
      <c r="F26" s="785">
        <v>60.7</v>
      </c>
      <c r="I26" s="38" t="s">
        <v>469</v>
      </c>
      <c r="J26">
        <f>C46</f>
        <v>79</v>
      </c>
      <c r="K26">
        <f>D46</f>
        <v>139.19999999999999</v>
      </c>
      <c r="L26">
        <f>E46</f>
        <v>170.7</v>
      </c>
      <c r="M26">
        <f>F46</f>
        <v>248.8</v>
      </c>
    </row>
    <row r="27" spans="1:13">
      <c r="A27" s="783" t="s">
        <v>761</v>
      </c>
      <c r="B27" s="784">
        <v>320.10000000000002</v>
      </c>
      <c r="C27" s="785">
        <v>112.3</v>
      </c>
      <c r="D27" s="785">
        <v>165.3</v>
      </c>
      <c r="E27" s="785">
        <v>165.4</v>
      </c>
      <c r="F27" s="785">
        <v>168.1</v>
      </c>
      <c r="I27" s="38" t="s">
        <v>311</v>
      </c>
      <c r="J27">
        <f t="shared" ref="J27:M29" si="5">C50</f>
        <v>96.3</v>
      </c>
      <c r="K27">
        <f t="shared" si="5"/>
        <v>162.9</v>
      </c>
      <c r="L27">
        <f t="shared" si="5"/>
        <v>223.4</v>
      </c>
      <c r="M27">
        <f t="shared" si="5"/>
        <v>339.5</v>
      </c>
    </row>
    <row r="28" spans="1:13">
      <c r="A28" s="783" t="s">
        <v>762</v>
      </c>
      <c r="B28" s="784">
        <v>0</v>
      </c>
      <c r="C28" s="785">
        <v>45.1</v>
      </c>
      <c r="D28" s="785">
        <v>150.69999999999999</v>
      </c>
      <c r="E28" s="785">
        <v>139.1</v>
      </c>
      <c r="F28" s="785">
        <v>129.69999999999999</v>
      </c>
      <c r="I28" t="s">
        <v>557</v>
      </c>
      <c r="J28">
        <f t="shared" si="5"/>
        <v>125.6</v>
      </c>
      <c r="K28">
        <f t="shared" si="5"/>
        <v>137.69999999999999</v>
      </c>
      <c r="L28">
        <f t="shared" si="5"/>
        <v>149</v>
      </c>
      <c r="M28">
        <f t="shared" si="5"/>
        <v>456.4</v>
      </c>
    </row>
    <row r="29" spans="1:13" ht="14.45">
      <c r="A29" s="787" t="s">
        <v>763</v>
      </c>
      <c r="B29" s="788">
        <v>0</v>
      </c>
      <c r="C29" s="789">
        <v>43.3</v>
      </c>
      <c r="D29" s="789">
        <v>71</v>
      </c>
      <c r="E29" s="789">
        <v>71</v>
      </c>
      <c r="F29" s="789">
        <v>71</v>
      </c>
      <c r="I29" s="262" t="s">
        <v>558</v>
      </c>
      <c r="J29">
        <f t="shared" si="5"/>
        <v>97.3</v>
      </c>
      <c r="K29">
        <f t="shared" si="5"/>
        <v>84.1</v>
      </c>
      <c r="L29">
        <f t="shared" si="5"/>
        <v>72</v>
      </c>
      <c r="M29">
        <f t="shared" si="5"/>
        <v>389.4</v>
      </c>
    </row>
    <row r="30" spans="1:13" ht="14.45">
      <c r="A30" s="787" t="s">
        <v>764</v>
      </c>
      <c r="B30" s="788">
        <v>0</v>
      </c>
      <c r="C30" s="789">
        <v>1.8</v>
      </c>
      <c r="D30" s="789">
        <v>79.7</v>
      </c>
      <c r="E30" s="789">
        <v>68.099999999999994</v>
      </c>
      <c r="F30" s="789">
        <v>58.6</v>
      </c>
      <c r="I30" s="262" t="s">
        <v>559</v>
      </c>
      <c r="J30">
        <f t="shared" ref="J30:M31" si="6">C55</f>
        <v>28.3</v>
      </c>
      <c r="K30">
        <f t="shared" si="6"/>
        <v>37.700000000000003</v>
      </c>
      <c r="L30">
        <f t="shared" si="6"/>
        <v>61.4</v>
      </c>
      <c r="M30">
        <f t="shared" si="6"/>
        <v>52</v>
      </c>
    </row>
    <row r="31" spans="1:13">
      <c r="A31" s="783" t="s">
        <v>765</v>
      </c>
      <c r="B31" s="784" t="s">
        <v>634</v>
      </c>
      <c r="C31" s="785">
        <v>5.9</v>
      </c>
      <c r="D31" s="785">
        <v>3.9</v>
      </c>
      <c r="E31" s="785">
        <v>3.5</v>
      </c>
      <c r="F31" s="785">
        <v>3</v>
      </c>
      <c r="I31" s="38" t="s">
        <v>560</v>
      </c>
      <c r="J31">
        <f t="shared" si="6"/>
        <v>60.5</v>
      </c>
      <c r="K31">
        <f t="shared" si="6"/>
        <v>15.3</v>
      </c>
      <c r="L31">
        <f t="shared" si="6"/>
        <v>14.3</v>
      </c>
      <c r="M31">
        <f t="shared" si="6"/>
        <v>6</v>
      </c>
    </row>
    <row r="32" spans="1:13" ht="14.45" thickBot="1">
      <c r="A32" s="783" t="s">
        <v>752</v>
      </c>
      <c r="B32" s="784">
        <v>0</v>
      </c>
      <c r="C32" s="785">
        <v>0</v>
      </c>
      <c r="D32" s="785">
        <v>0</v>
      </c>
      <c r="E32" s="785">
        <v>0</v>
      </c>
      <c r="F32" s="785">
        <v>0</v>
      </c>
      <c r="I32" s="1" t="s">
        <v>561</v>
      </c>
      <c r="J32">
        <f>C63</f>
        <v>186.1</v>
      </c>
      <c r="K32">
        <f>D63</f>
        <v>153</v>
      </c>
      <c r="L32">
        <f>E63</f>
        <v>163.30000000000001</v>
      </c>
      <c r="M32">
        <f>F63</f>
        <v>462.4</v>
      </c>
    </row>
    <row r="33" spans="1:9" ht="14.45" thickBot="1">
      <c r="A33" s="783" t="s">
        <v>766</v>
      </c>
      <c r="B33" s="784">
        <v>320.10000000000002</v>
      </c>
      <c r="C33" s="785">
        <v>61.4</v>
      </c>
      <c r="D33" s="785">
        <v>10.7</v>
      </c>
      <c r="E33" s="785">
        <v>22.8</v>
      </c>
      <c r="F33" s="785">
        <v>35.5</v>
      </c>
      <c r="I33" s="237" t="s">
        <v>424</v>
      </c>
    </row>
    <row r="34" spans="1:9">
      <c r="A34" s="779" t="s">
        <v>767</v>
      </c>
      <c r="B34" s="780">
        <v>320.10000000000002</v>
      </c>
      <c r="C34" s="807">
        <v>206.1</v>
      </c>
      <c r="D34" s="807">
        <v>326.8</v>
      </c>
      <c r="E34" s="807">
        <v>464.5</v>
      </c>
      <c r="F34" s="807">
        <v>491.7</v>
      </c>
      <c r="I34" s="1" t="s">
        <v>314</v>
      </c>
    </row>
    <row r="35" spans="1:9">
      <c r="A35" s="779" t="s">
        <v>309</v>
      </c>
      <c r="B35" s="780">
        <v>321.3</v>
      </c>
      <c r="C35" s="807">
        <v>980.8</v>
      </c>
      <c r="D35" s="807">
        <v>989.1</v>
      </c>
      <c r="E35" s="807">
        <v>941.2</v>
      </c>
      <c r="F35" s="808">
        <v>1184.3</v>
      </c>
      <c r="I35" t="s">
        <v>562</v>
      </c>
    </row>
    <row r="36" spans="1:9">
      <c r="A36" s="779"/>
      <c r="B36" s="791"/>
      <c r="C36" s="781"/>
      <c r="D36" s="781"/>
      <c r="E36" s="781"/>
      <c r="F36" s="781"/>
    </row>
    <row r="37" spans="1:9">
      <c r="A37" s="779" t="s">
        <v>768</v>
      </c>
      <c r="B37" s="791"/>
      <c r="C37" s="781"/>
      <c r="D37" s="781"/>
      <c r="E37" s="781"/>
      <c r="F37" s="781"/>
    </row>
    <row r="38" spans="1:9">
      <c r="A38" s="783" t="s">
        <v>769</v>
      </c>
      <c r="B38" s="784">
        <v>0.2</v>
      </c>
      <c r="C38" s="785">
        <v>14.5</v>
      </c>
      <c r="D38" s="785">
        <v>20.8</v>
      </c>
      <c r="E38" s="785">
        <v>34.9</v>
      </c>
      <c r="F38" s="785">
        <v>72.5</v>
      </c>
    </row>
    <row r="39" spans="1:9">
      <c r="A39" s="783" t="s">
        <v>770</v>
      </c>
      <c r="B39" s="784" t="s">
        <v>634</v>
      </c>
      <c r="C39" s="785">
        <v>3.5</v>
      </c>
      <c r="D39" s="785">
        <v>12.1</v>
      </c>
      <c r="E39" s="785">
        <v>29.3</v>
      </c>
      <c r="F39" s="785">
        <v>53.1</v>
      </c>
    </row>
    <row r="40" spans="1:9">
      <c r="A40" s="783" t="s">
        <v>771</v>
      </c>
      <c r="B40" s="784">
        <v>0.2</v>
      </c>
      <c r="C40" s="785">
        <v>11</v>
      </c>
      <c r="D40" s="785">
        <v>8.6999999999999993</v>
      </c>
      <c r="E40" s="785">
        <v>5.6</v>
      </c>
      <c r="F40" s="785">
        <v>19.5</v>
      </c>
    </row>
    <row r="41" spans="1:9">
      <c r="A41" s="783" t="s">
        <v>772</v>
      </c>
      <c r="B41" s="784">
        <v>0</v>
      </c>
      <c r="C41" s="785">
        <v>2.8</v>
      </c>
      <c r="D41" s="785">
        <v>2.9</v>
      </c>
      <c r="E41" s="785">
        <v>17.8</v>
      </c>
      <c r="F41" s="785">
        <v>18.2</v>
      </c>
    </row>
    <row r="42" spans="1:9">
      <c r="A42" s="783" t="s">
        <v>773</v>
      </c>
      <c r="B42" s="784">
        <v>0</v>
      </c>
      <c r="C42" s="785">
        <v>2.8</v>
      </c>
      <c r="D42" s="785">
        <v>2.9</v>
      </c>
      <c r="E42" s="785">
        <v>17.8</v>
      </c>
      <c r="F42" s="785">
        <v>11.8</v>
      </c>
    </row>
    <row r="43" spans="1:9">
      <c r="A43" s="783" t="s">
        <v>774</v>
      </c>
      <c r="B43" s="784">
        <v>0</v>
      </c>
      <c r="C43" s="785">
        <v>0</v>
      </c>
      <c r="D43" s="785" t="s">
        <v>634</v>
      </c>
      <c r="E43" s="785" t="s">
        <v>634</v>
      </c>
      <c r="F43" s="785">
        <v>6.4</v>
      </c>
    </row>
    <row r="44" spans="1:9">
      <c r="A44" s="787" t="s">
        <v>775</v>
      </c>
      <c r="B44" s="788">
        <v>0</v>
      </c>
      <c r="C44" s="789">
        <v>0</v>
      </c>
      <c r="D44" s="789" t="s">
        <v>634</v>
      </c>
      <c r="E44" s="789" t="s">
        <v>634</v>
      </c>
      <c r="F44" s="789">
        <v>0.3</v>
      </c>
    </row>
    <row r="45" spans="1:9">
      <c r="A45" s="787" t="s">
        <v>776</v>
      </c>
      <c r="B45" s="788" t="s">
        <v>634</v>
      </c>
      <c r="C45" s="789" t="s">
        <v>634</v>
      </c>
      <c r="D45" s="789" t="s">
        <v>634</v>
      </c>
      <c r="E45" s="789" t="s">
        <v>634</v>
      </c>
      <c r="F45" s="789">
        <v>6.2</v>
      </c>
    </row>
    <row r="46" spans="1:9">
      <c r="A46" s="783" t="s">
        <v>777</v>
      </c>
      <c r="B46" s="784">
        <v>0</v>
      </c>
      <c r="C46" s="785">
        <v>79</v>
      </c>
      <c r="D46" s="785">
        <v>139.19999999999999</v>
      </c>
      <c r="E46" s="785">
        <v>170.7</v>
      </c>
      <c r="F46" s="785">
        <v>248.8</v>
      </c>
    </row>
    <row r="47" spans="1:9">
      <c r="A47" s="783" t="s">
        <v>778</v>
      </c>
      <c r="B47" s="784">
        <v>0</v>
      </c>
      <c r="C47" s="785">
        <v>59.7</v>
      </c>
      <c r="D47" s="785">
        <v>108.3</v>
      </c>
      <c r="E47" s="785">
        <v>139.30000000000001</v>
      </c>
      <c r="F47" s="785">
        <v>216.2</v>
      </c>
    </row>
    <row r="48" spans="1:9">
      <c r="A48" s="783" t="s">
        <v>779</v>
      </c>
      <c r="B48" s="784">
        <v>0</v>
      </c>
      <c r="C48" s="785">
        <v>0</v>
      </c>
      <c r="D48" s="785">
        <v>0</v>
      </c>
      <c r="E48" s="785">
        <v>0</v>
      </c>
      <c r="F48" s="785">
        <v>0</v>
      </c>
    </row>
    <row r="49" spans="1:6">
      <c r="A49" s="783" t="s">
        <v>780</v>
      </c>
      <c r="B49" s="784">
        <v>0</v>
      </c>
      <c r="C49" s="785">
        <v>19.3</v>
      </c>
      <c r="D49" s="785">
        <v>30.9</v>
      </c>
      <c r="E49" s="785">
        <v>31.4</v>
      </c>
      <c r="F49" s="785">
        <v>32.6</v>
      </c>
    </row>
    <row r="50" spans="1:6">
      <c r="A50" s="779" t="s">
        <v>781</v>
      </c>
      <c r="B50" s="780">
        <v>0.2</v>
      </c>
      <c r="C50" s="807">
        <v>96.3</v>
      </c>
      <c r="D50" s="807">
        <v>162.9</v>
      </c>
      <c r="E50" s="807">
        <v>223.4</v>
      </c>
      <c r="F50" s="807">
        <v>339.5</v>
      </c>
    </row>
    <row r="51" spans="1:6">
      <c r="A51" s="783" t="s">
        <v>782</v>
      </c>
      <c r="B51" s="784">
        <v>0</v>
      </c>
      <c r="C51" s="785">
        <v>125.6</v>
      </c>
      <c r="D51" s="785">
        <v>137.69999999999999</v>
      </c>
      <c r="E51" s="785">
        <v>149</v>
      </c>
      <c r="F51" s="785">
        <v>456.4</v>
      </c>
    </row>
    <row r="52" spans="1:6">
      <c r="A52" s="783" t="s">
        <v>783</v>
      </c>
      <c r="B52" s="784">
        <v>0</v>
      </c>
      <c r="C52" s="785">
        <v>97.3</v>
      </c>
      <c r="D52" s="785">
        <v>84.1</v>
      </c>
      <c r="E52" s="785">
        <v>72</v>
      </c>
      <c r="F52" s="785">
        <v>389.4</v>
      </c>
    </row>
    <row r="53" spans="1:6">
      <c r="A53" s="783" t="s">
        <v>784</v>
      </c>
      <c r="B53" s="784">
        <v>0</v>
      </c>
      <c r="C53" s="785">
        <v>28.3</v>
      </c>
      <c r="D53" s="785">
        <v>53.6</v>
      </c>
      <c r="E53" s="785">
        <v>76.900000000000006</v>
      </c>
      <c r="F53" s="785">
        <v>66.900000000000006</v>
      </c>
    </row>
    <row r="54" spans="1:6">
      <c r="A54" s="787" t="s">
        <v>785</v>
      </c>
      <c r="B54" s="788">
        <v>0</v>
      </c>
      <c r="C54" s="789">
        <v>0</v>
      </c>
      <c r="D54" s="789">
        <v>15.9</v>
      </c>
      <c r="E54" s="789">
        <v>15.6</v>
      </c>
      <c r="F54" s="789">
        <v>15</v>
      </c>
    </row>
    <row r="55" spans="1:6">
      <c r="A55" s="787" t="s">
        <v>786</v>
      </c>
      <c r="B55" s="788" t="s">
        <v>634</v>
      </c>
      <c r="C55" s="789">
        <v>28.3</v>
      </c>
      <c r="D55" s="789">
        <v>37.700000000000003</v>
      </c>
      <c r="E55" s="789">
        <v>61.4</v>
      </c>
      <c r="F55" s="789">
        <v>52</v>
      </c>
    </row>
    <row r="56" spans="1:6">
      <c r="A56" s="783" t="s">
        <v>787</v>
      </c>
      <c r="B56" s="784">
        <v>11.2</v>
      </c>
      <c r="C56" s="785">
        <v>60.5</v>
      </c>
      <c r="D56" s="785">
        <v>15.3</v>
      </c>
      <c r="E56" s="785">
        <v>14.3</v>
      </c>
      <c r="F56" s="785">
        <v>6</v>
      </c>
    </row>
    <row r="57" spans="1:6">
      <c r="A57" s="783" t="s">
        <v>788</v>
      </c>
      <c r="B57" s="784">
        <v>0</v>
      </c>
      <c r="C57" s="785">
        <v>0</v>
      </c>
      <c r="D57" s="785">
        <v>0</v>
      </c>
      <c r="E57" s="785">
        <v>0</v>
      </c>
      <c r="F57" s="785">
        <v>0</v>
      </c>
    </row>
    <row r="58" spans="1:6">
      <c r="A58" s="783" t="s">
        <v>789</v>
      </c>
      <c r="B58" s="784">
        <v>11.2</v>
      </c>
      <c r="C58" s="785">
        <v>0</v>
      </c>
      <c r="D58" s="785" t="s">
        <v>634</v>
      </c>
      <c r="E58" s="785" t="s">
        <v>634</v>
      </c>
      <c r="F58" s="785" t="s">
        <v>634</v>
      </c>
    </row>
    <row r="59" spans="1:6">
      <c r="A59" s="783" t="s">
        <v>778</v>
      </c>
      <c r="B59" s="784">
        <v>0</v>
      </c>
      <c r="C59" s="785">
        <v>0</v>
      </c>
      <c r="D59" s="785">
        <v>0</v>
      </c>
      <c r="E59" s="785">
        <v>0</v>
      </c>
      <c r="F59" s="785">
        <v>0</v>
      </c>
    </row>
    <row r="60" spans="1:6">
      <c r="A60" s="783" t="s">
        <v>790</v>
      </c>
      <c r="B60" s="784" t="s">
        <v>634</v>
      </c>
      <c r="C60" s="785" t="s">
        <v>634</v>
      </c>
      <c r="D60" s="785">
        <v>0.1</v>
      </c>
      <c r="E60" s="785">
        <v>0.4</v>
      </c>
      <c r="F60" s="785">
        <v>0.9</v>
      </c>
    </row>
    <row r="61" spans="1:6">
      <c r="A61" s="783" t="s">
        <v>779</v>
      </c>
      <c r="B61" s="784">
        <v>0</v>
      </c>
      <c r="C61" s="785">
        <v>0</v>
      </c>
      <c r="D61" s="785">
        <v>0</v>
      </c>
      <c r="E61" s="785">
        <v>0</v>
      </c>
      <c r="F61" s="785">
        <v>0</v>
      </c>
    </row>
    <row r="62" spans="1:6">
      <c r="A62" s="783" t="s">
        <v>791</v>
      </c>
      <c r="B62" s="784">
        <v>0</v>
      </c>
      <c r="C62" s="785">
        <v>60.5</v>
      </c>
      <c r="D62" s="785">
        <v>15.2</v>
      </c>
      <c r="E62" s="785">
        <v>13.9</v>
      </c>
      <c r="F62" s="785">
        <v>5.0999999999999996</v>
      </c>
    </row>
    <row r="63" spans="1:6">
      <c r="A63" s="779" t="s">
        <v>792</v>
      </c>
      <c r="B63" s="780">
        <v>11.2</v>
      </c>
      <c r="C63" s="807">
        <v>186.1</v>
      </c>
      <c r="D63" s="807">
        <v>153</v>
      </c>
      <c r="E63" s="807">
        <v>163.30000000000001</v>
      </c>
      <c r="F63" s="807">
        <v>462.4</v>
      </c>
    </row>
    <row r="64" spans="1:6">
      <c r="A64" s="779" t="s">
        <v>424</v>
      </c>
      <c r="B64" s="780">
        <v>11.4</v>
      </c>
      <c r="C64" s="807">
        <v>282.39999999999998</v>
      </c>
      <c r="D64" s="807">
        <v>315.89999999999998</v>
      </c>
      <c r="E64" s="807">
        <v>386.7</v>
      </c>
      <c r="F64" s="807">
        <v>801.9</v>
      </c>
    </row>
    <row r="65" spans="1:6" ht="25.5">
      <c r="A65" s="783" t="s">
        <v>793</v>
      </c>
      <c r="B65" s="784">
        <v>0</v>
      </c>
      <c r="C65" s="785">
        <v>0</v>
      </c>
      <c r="D65" s="785">
        <v>0</v>
      </c>
      <c r="E65" s="785">
        <v>0</v>
      </c>
      <c r="F65" s="785">
        <v>0</v>
      </c>
    </row>
    <row r="66" spans="1:6">
      <c r="A66" s="783" t="s">
        <v>794</v>
      </c>
      <c r="B66" s="784">
        <v>310.2</v>
      </c>
      <c r="C66" s="792">
        <v>1002.2</v>
      </c>
      <c r="D66" s="792">
        <v>1113</v>
      </c>
      <c r="E66" s="792">
        <v>1176.5</v>
      </c>
      <c r="F66" s="792">
        <v>1199</v>
      </c>
    </row>
    <row r="67" spans="1:6">
      <c r="A67" s="783" t="s">
        <v>795</v>
      </c>
      <c r="B67" s="784">
        <v>304.8</v>
      </c>
      <c r="C67" s="785">
        <v>0</v>
      </c>
      <c r="D67" s="785">
        <v>0</v>
      </c>
      <c r="E67" s="785">
        <v>0</v>
      </c>
      <c r="F67" s="785">
        <v>0.1</v>
      </c>
    </row>
    <row r="68" spans="1:6">
      <c r="A68" s="783" t="s">
        <v>796</v>
      </c>
      <c r="B68" s="784">
        <v>5.4</v>
      </c>
      <c r="C68" s="792">
        <v>1002.1</v>
      </c>
      <c r="D68" s="792">
        <v>1113</v>
      </c>
      <c r="E68" s="792">
        <v>1176.5</v>
      </c>
      <c r="F68" s="792">
        <v>1198.9000000000001</v>
      </c>
    </row>
    <row r="69" spans="1:6">
      <c r="A69" s="783" t="s">
        <v>797</v>
      </c>
      <c r="B69" s="784">
        <v>0</v>
      </c>
      <c r="C69" s="785">
        <v>0</v>
      </c>
      <c r="D69" s="785">
        <v>0</v>
      </c>
      <c r="E69" s="785">
        <v>0</v>
      </c>
      <c r="F69" s="785">
        <v>0</v>
      </c>
    </row>
    <row r="70" spans="1:6">
      <c r="A70" s="783" t="s">
        <v>798</v>
      </c>
      <c r="B70" s="784">
        <v>-0.4</v>
      </c>
      <c r="C70" s="785">
        <v>-305</v>
      </c>
      <c r="D70" s="785">
        <v>-441</v>
      </c>
      <c r="E70" s="785">
        <v>-623.5</v>
      </c>
      <c r="F70" s="785">
        <v>-813.7</v>
      </c>
    </row>
    <row r="71" spans="1:6">
      <c r="A71" s="783" t="s">
        <v>799</v>
      </c>
      <c r="B71" s="784">
        <v>0.1</v>
      </c>
      <c r="C71" s="785">
        <v>1.3</v>
      </c>
      <c r="D71" s="785">
        <v>1.1000000000000001</v>
      </c>
      <c r="E71" s="785">
        <v>1.5</v>
      </c>
      <c r="F71" s="785">
        <v>-2.8</v>
      </c>
    </row>
    <row r="72" spans="1:6">
      <c r="A72" s="779" t="s">
        <v>800</v>
      </c>
      <c r="B72" s="780">
        <v>309.89999999999998</v>
      </c>
      <c r="C72" s="807">
        <v>698.4</v>
      </c>
      <c r="D72" s="807">
        <v>673.2</v>
      </c>
      <c r="E72" s="807">
        <v>554.5</v>
      </c>
      <c r="F72" s="807">
        <v>382.5</v>
      </c>
    </row>
    <row r="73" spans="1:6">
      <c r="A73" s="783" t="s">
        <v>801</v>
      </c>
      <c r="B73" s="784">
        <v>0</v>
      </c>
      <c r="C73" s="785">
        <v>0</v>
      </c>
      <c r="D73" s="785">
        <v>0</v>
      </c>
      <c r="E73" s="785">
        <v>0</v>
      </c>
      <c r="F73" s="785">
        <v>0</v>
      </c>
    </row>
    <row r="74" spans="1:6">
      <c r="A74" s="779" t="s">
        <v>802</v>
      </c>
      <c r="B74" s="780">
        <v>309.89999999999998</v>
      </c>
      <c r="C74" s="807">
        <v>698.4</v>
      </c>
      <c r="D74" s="807">
        <v>673.2</v>
      </c>
      <c r="E74" s="807">
        <v>554.5</v>
      </c>
      <c r="F74" s="807">
        <v>382.5</v>
      </c>
    </row>
    <row r="75" spans="1:6">
      <c r="A75" s="779" t="s">
        <v>803</v>
      </c>
      <c r="B75" s="780">
        <v>321.3</v>
      </c>
      <c r="C75" s="807">
        <v>980.8</v>
      </c>
      <c r="D75" s="807">
        <v>989.1</v>
      </c>
      <c r="E75" s="807">
        <v>941.2</v>
      </c>
      <c r="F75" s="808">
        <v>1184.3</v>
      </c>
    </row>
    <row r="76" spans="1:6">
      <c r="A76" s="779"/>
      <c r="B76" s="791"/>
      <c r="C76" s="781"/>
      <c r="D76" s="781"/>
      <c r="E76" s="781"/>
      <c r="F76" s="781"/>
    </row>
    <row r="77" spans="1:6">
      <c r="A77" s="779" t="s">
        <v>672</v>
      </c>
      <c r="B77" s="791"/>
      <c r="C77" s="781"/>
      <c r="D77" s="781"/>
      <c r="E77" s="781"/>
      <c r="F77" s="781"/>
    </row>
    <row r="78" spans="1:6">
      <c r="A78" s="783" t="s">
        <v>722</v>
      </c>
      <c r="B78" s="784" t="s">
        <v>723</v>
      </c>
      <c r="C78" s="785" t="s">
        <v>723</v>
      </c>
      <c r="D78" s="785" t="s">
        <v>723</v>
      </c>
      <c r="E78" s="785" t="s">
        <v>723</v>
      </c>
      <c r="F78" s="785" t="s">
        <v>723</v>
      </c>
    </row>
    <row r="79" spans="1:6">
      <c r="A79" s="783" t="s">
        <v>804</v>
      </c>
      <c r="B79" s="784">
        <v>8</v>
      </c>
      <c r="C79" s="785">
        <v>450.2</v>
      </c>
      <c r="D79" s="785">
        <v>475.4</v>
      </c>
      <c r="E79" s="785">
        <v>488.9</v>
      </c>
      <c r="F79" s="785">
        <v>504.5</v>
      </c>
    </row>
    <row r="80" spans="1:6">
      <c r="A80" s="783" t="s">
        <v>805</v>
      </c>
      <c r="B80" s="784">
        <v>0</v>
      </c>
      <c r="C80" s="785">
        <v>0</v>
      </c>
      <c r="D80" s="785">
        <v>0</v>
      </c>
      <c r="E80" s="785">
        <v>0</v>
      </c>
      <c r="F80" s="785">
        <v>0</v>
      </c>
    </row>
    <row r="81" spans="1:6">
      <c r="A81" s="783" t="s">
        <v>806</v>
      </c>
      <c r="B81" s="784" t="s">
        <v>634</v>
      </c>
      <c r="C81" s="785" t="s">
        <v>634</v>
      </c>
      <c r="D81" s="785" t="s">
        <v>634</v>
      </c>
      <c r="E81" s="785">
        <v>0</v>
      </c>
      <c r="F81" s="785">
        <v>0</v>
      </c>
    </row>
    <row r="82" spans="1:6" ht="25.5">
      <c r="A82" s="783" t="s">
        <v>807</v>
      </c>
      <c r="B82" s="784">
        <v>0</v>
      </c>
      <c r="C82" s="785" t="s">
        <v>634</v>
      </c>
      <c r="D82" s="785">
        <v>51.4</v>
      </c>
      <c r="E82" s="785">
        <v>83.2</v>
      </c>
      <c r="F82" s="785">
        <v>76.5</v>
      </c>
    </row>
    <row r="83" spans="1:6">
      <c r="A83" s="783" t="s">
        <v>808</v>
      </c>
      <c r="B83" s="784">
        <v>0</v>
      </c>
      <c r="C83" s="785">
        <v>0</v>
      </c>
      <c r="D83" s="785">
        <v>15.9</v>
      </c>
      <c r="E83" s="785">
        <v>15.6</v>
      </c>
      <c r="F83" s="785">
        <v>15.2</v>
      </c>
    </row>
    <row r="84" spans="1:6">
      <c r="A84" s="783" t="s">
        <v>809</v>
      </c>
      <c r="B84" s="784" t="s">
        <v>634</v>
      </c>
      <c r="C84" s="785" t="s">
        <v>634</v>
      </c>
      <c r="D84" s="785" t="s">
        <v>634</v>
      </c>
      <c r="E84" s="785" t="s">
        <v>634</v>
      </c>
      <c r="F84" s="785">
        <v>7.2</v>
      </c>
    </row>
    <row r="85" spans="1:6">
      <c r="A85" s="783" t="s">
        <v>581</v>
      </c>
      <c r="B85" s="784">
        <v>-0.9</v>
      </c>
      <c r="C85" s="785">
        <v>-562.5</v>
      </c>
      <c r="D85" s="785">
        <v>-331.2</v>
      </c>
      <c r="E85" s="785">
        <v>-78</v>
      </c>
      <c r="F85" s="785">
        <v>55.6</v>
      </c>
    </row>
    <row r="86" spans="1:6">
      <c r="A86" s="783" t="s">
        <v>810</v>
      </c>
      <c r="B86" s="784">
        <v>-0.28000000000000003</v>
      </c>
      <c r="C86" s="785">
        <v>-80.540000000000006</v>
      </c>
      <c r="D86" s="785">
        <v>-49.2</v>
      </c>
      <c r="E86" s="785">
        <v>-14.07</v>
      </c>
      <c r="F86" s="785">
        <v>14.54</v>
      </c>
    </row>
    <row r="87" spans="1:6">
      <c r="A87" s="783" t="s">
        <v>811</v>
      </c>
      <c r="B87" s="784">
        <v>96.45</v>
      </c>
      <c r="C87" s="785">
        <v>69.819999999999993</v>
      </c>
      <c r="D87" s="785">
        <v>62.32</v>
      </c>
      <c r="E87" s="785">
        <v>51.79</v>
      </c>
      <c r="F87" s="785">
        <v>23.97</v>
      </c>
    </row>
    <row r="88" spans="1:6">
      <c r="A88" s="783" t="s">
        <v>55</v>
      </c>
      <c r="B88" s="784">
        <v>5.67</v>
      </c>
      <c r="C88" s="785">
        <v>8.0399999999999991</v>
      </c>
      <c r="D88" s="785">
        <v>4.0599999999999996</v>
      </c>
      <c r="E88" s="785">
        <v>2.13</v>
      </c>
      <c r="F88" s="785">
        <v>2.04</v>
      </c>
    </row>
    <row r="89" spans="1:6">
      <c r="A89" s="783" t="s">
        <v>67</v>
      </c>
      <c r="B89" s="784" t="s">
        <v>634</v>
      </c>
      <c r="C89" s="785" t="s">
        <v>634</v>
      </c>
      <c r="D89" s="785">
        <v>164.92</v>
      </c>
      <c r="E89" s="785">
        <v>206.42</v>
      </c>
      <c r="F89" s="785">
        <v>114.3</v>
      </c>
    </row>
    <row r="90" spans="1:6">
      <c r="A90" s="783" t="s">
        <v>812</v>
      </c>
      <c r="B90" s="784" t="s">
        <v>634</v>
      </c>
      <c r="C90" s="785" t="s">
        <v>634</v>
      </c>
      <c r="D90" s="792">
        <v>1400</v>
      </c>
      <c r="E90" s="792">
        <v>1650</v>
      </c>
      <c r="F90" s="792">
        <v>2100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A600-C226-4BD3-BEFD-E57521E4A31F}">
  <sheetPr codeName="Sheet16"/>
  <dimension ref="A1:N20"/>
  <sheetViews>
    <sheetView workbookViewId="0">
      <selection activeCell="L5" sqref="L5"/>
    </sheetView>
  </sheetViews>
  <sheetFormatPr defaultRowHeight="14.1"/>
  <cols>
    <col min="1" max="1" width="23.875" customWidth="1"/>
    <col min="2" max="2" width="0.125" customWidth="1"/>
    <col min="3" max="4" width="8.625" hidden="1" customWidth="1"/>
    <col min="10" max="10" width="13.875" bestFit="1" customWidth="1"/>
  </cols>
  <sheetData>
    <row r="1" spans="1:14">
      <c r="A1" s="758" t="s">
        <v>116</v>
      </c>
      <c r="B1" s="758"/>
      <c r="C1" s="758"/>
      <c r="D1" s="758"/>
      <c r="E1" s="758" t="s">
        <v>117</v>
      </c>
      <c r="F1" s="758" t="s">
        <v>118</v>
      </c>
      <c r="G1" s="758" t="s">
        <v>119</v>
      </c>
      <c r="H1" s="758" t="s">
        <v>120</v>
      </c>
    </row>
    <row r="2" spans="1:14">
      <c r="A2" s="759" t="s">
        <v>123</v>
      </c>
      <c r="B2" s="759" t="s">
        <v>124</v>
      </c>
      <c r="C2" s="759" t="s">
        <v>125</v>
      </c>
      <c r="D2" s="759" t="s">
        <v>126</v>
      </c>
      <c r="E2" s="759">
        <v>44561</v>
      </c>
      <c r="F2" s="759">
        <v>44926</v>
      </c>
      <c r="G2" s="759">
        <v>45291</v>
      </c>
      <c r="H2" s="759">
        <v>45657</v>
      </c>
      <c r="K2">
        <f>2</f>
        <v>2</v>
      </c>
      <c r="L2">
        <f>K2+1</f>
        <v>3</v>
      </c>
      <c r="M2">
        <f t="shared" ref="M2:N2" si="0">L2+1</f>
        <v>4</v>
      </c>
      <c r="N2">
        <f t="shared" si="0"/>
        <v>5</v>
      </c>
    </row>
    <row r="3" spans="1:14">
      <c r="A3" s="760" t="s">
        <v>127</v>
      </c>
      <c r="B3" s="761" t="s">
        <v>128</v>
      </c>
      <c r="C3" s="761" t="s">
        <v>129</v>
      </c>
      <c r="D3" s="761"/>
      <c r="E3" s="762">
        <v>62.237000000000002</v>
      </c>
      <c r="F3" s="762">
        <v>210.99600000000001</v>
      </c>
      <c r="G3" s="762">
        <v>244.59200000000001</v>
      </c>
      <c r="H3" s="762">
        <v>436.214</v>
      </c>
      <c r="K3">
        <f>2021</f>
        <v>2021</v>
      </c>
      <c r="L3">
        <f>K3+1</f>
        <v>2022</v>
      </c>
      <c r="M3">
        <f t="shared" ref="M3:N3" si="1">L3+1</f>
        <v>2023</v>
      </c>
      <c r="N3">
        <f t="shared" si="1"/>
        <v>2024</v>
      </c>
    </row>
    <row r="4" spans="1:14">
      <c r="A4" s="760" t="s">
        <v>813</v>
      </c>
      <c r="B4" s="761" t="s">
        <v>128</v>
      </c>
      <c r="C4" s="761" t="s">
        <v>129</v>
      </c>
      <c r="D4" s="761" t="s">
        <v>814</v>
      </c>
      <c r="E4" s="762">
        <v>38.970999999999997</v>
      </c>
      <c r="F4" s="762">
        <v>60.686</v>
      </c>
      <c r="G4" s="762">
        <v>71.894000000000005</v>
      </c>
      <c r="H4" s="762">
        <v>125.376</v>
      </c>
      <c r="J4" s="760" t="s">
        <v>161</v>
      </c>
      <c r="K4" s="699">
        <f>E4</f>
        <v>38.970999999999997</v>
      </c>
      <c r="L4" s="699">
        <f t="shared" ref="L4:N4" si="2">F4</f>
        <v>60.686</v>
      </c>
      <c r="M4" s="699">
        <f t="shared" si="2"/>
        <v>71.894000000000005</v>
      </c>
      <c r="N4" s="699">
        <f t="shared" si="2"/>
        <v>125.376</v>
      </c>
    </row>
    <row r="5" spans="1:14">
      <c r="A5" s="760" t="s">
        <v>134</v>
      </c>
      <c r="B5" s="761" t="s">
        <v>128</v>
      </c>
      <c r="C5" s="761" t="s">
        <v>129</v>
      </c>
      <c r="D5" s="761" t="s">
        <v>814</v>
      </c>
      <c r="E5" s="762">
        <v>62.617092726191814</v>
      </c>
      <c r="F5" s="762">
        <v>28.761682685927696</v>
      </c>
      <c r="G5" s="762">
        <v>29.39343886962779</v>
      </c>
      <c r="H5" s="762">
        <v>28.741856061474415</v>
      </c>
      <c r="J5" s="760" t="s">
        <v>162</v>
      </c>
      <c r="K5" s="699">
        <f>E6</f>
        <v>23.265999999999998</v>
      </c>
      <c r="L5" s="699">
        <f t="shared" ref="L5:N5" si="3">F6</f>
        <v>150.31</v>
      </c>
      <c r="M5" s="699">
        <f t="shared" si="3"/>
        <v>172.69800000000001</v>
      </c>
      <c r="N5" s="699">
        <f t="shared" si="3"/>
        <v>310.83800000000002</v>
      </c>
    </row>
    <row r="6" spans="1:14">
      <c r="A6" s="760" t="s">
        <v>815</v>
      </c>
      <c r="B6" s="761" t="s">
        <v>128</v>
      </c>
      <c r="C6" s="761" t="s">
        <v>129</v>
      </c>
      <c r="D6" s="761" t="s">
        <v>816</v>
      </c>
      <c r="E6" s="762">
        <v>23.265999999999998</v>
      </c>
      <c r="F6" s="762">
        <v>150.31</v>
      </c>
      <c r="G6" s="762">
        <v>172.69800000000001</v>
      </c>
      <c r="H6" s="762">
        <v>310.83800000000002</v>
      </c>
    </row>
    <row r="7" spans="1:14">
      <c r="A7" s="760" t="s">
        <v>134</v>
      </c>
      <c r="B7" s="761" t="s">
        <v>128</v>
      </c>
      <c r="C7" s="761" t="s">
        <v>129</v>
      </c>
      <c r="D7" s="761" t="s">
        <v>816</v>
      </c>
      <c r="E7" s="762">
        <v>37.382907273808186</v>
      </c>
      <c r="F7" s="762">
        <v>71.238317314072304</v>
      </c>
      <c r="G7" s="762">
        <v>70.606561130372214</v>
      </c>
      <c r="H7" s="762">
        <v>71.258143938525592</v>
      </c>
    </row>
    <row r="8" spans="1:14">
      <c r="A8" s="760" t="s">
        <v>147</v>
      </c>
      <c r="B8" s="761"/>
      <c r="C8" s="761"/>
      <c r="D8" s="761"/>
      <c r="E8" s="762"/>
      <c r="F8" s="762"/>
      <c r="G8" s="762"/>
      <c r="H8" s="762"/>
    </row>
    <row r="9" spans="1:14">
      <c r="A9" s="760" t="s">
        <v>817</v>
      </c>
      <c r="B9" s="761" t="s">
        <v>818</v>
      </c>
      <c r="C9" s="761" t="s">
        <v>819</v>
      </c>
      <c r="D9" s="761"/>
      <c r="E9" s="762">
        <v>64.13</v>
      </c>
      <c r="F9" s="762">
        <v>192.006</v>
      </c>
      <c r="G9" s="762">
        <v>193.18299999999999</v>
      </c>
      <c r="H9" s="762">
        <v>320.065</v>
      </c>
    </row>
    <row r="10" spans="1:14">
      <c r="A10" s="760" t="s">
        <v>813</v>
      </c>
      <c r="B10" s="761" t="s">
        <v>818</v>
      </c>
      <c r="C10" s="761" t="s">
        <v>819</v>
      </c>
      <c r="D10" s="761" t="s">
        <v>814</v>
      </c>
      <c r="E10" s="762">
        <v>53.826999999999998</v>
      </c>
      <c r="F10" s="762">
        <v>67.64</v>
      </c>
      <c r="G10" s="762">
        <v>63.826999999999998</v>
      </c>
      <c r="H10" s="762">
        <v>90.786000000000001</v>
      </c>
    </row>
    <row r="11" spans="1:14">
      <c r="A11" s="760" t="s">
        <v>134</v>
      </c>
      <c r="B11" s="761" t="s">
        <v>818</v>
      </c>
      <c r="C11" s="761" t="s">
        <v>819</v>
      </c>
      <c r="D11" s="761" t="s">
        <v>814</v>
      </c>
      <c r="E11" s="762">
        <v>83.934196164041794</v>
      </c>
      <c r="F11" s="762">
        <v>35.228065789610739</v>
      </c>
      <c r="G11" s="762">
        <v>33.039656698570788</v>
      </c>
      <c r="H11" s="762">
        <v>28.36486338712449</v>
      </c>
    </row>
    <row r="12" spans="1:14">
      <c r="A12" s="760" t="s">
        <v>815</v>
      </c>
      <c r="B12" s="761" t="s">
        <v>818</v>
      </c>
      <c r="C12" s="761" t="s">
        <v>819</v>
      </c>
      <c r="D12" s="761" t="s">
        <v>816</v>
      </c>
      <c r="E12" s="762">
        <v>10.303000000000001</v>
      </c>
      <c r="F12" s="762">
        <v>124.366</v>
      </c>
      <c r="G12" s="762">
        <v>129.35599999999999</v>
      </c>
      <c r="H12" s="762">
        <v>229.279</v>
      </c>
    </row>
    <row r="13" spans="1:14">
      <c r="A13" s="760" t="s">
        <v>134</v>
      </c>
      <c r="B13" s="761" t="s">
        <v>818</v>
      </c>
      <c r="C13" s="761" t="s">
        <v>819</v>
      </c>
      <c r="D13" s="761" t="s">
        <v>816</v>
      </c>
      <c r="E13" s="762">
        <v>16.06580383595821</v>
      </c>
      <c r="F13" s="762">
        <v>64.771934210389261</v>
      </c>
      <c r="G13" s="762">
        <v>66.960343301429219</v>
      </c>
      <c r="H13" s="762">
        <v>71.635136612875513</v>
      </c>
    </row>
    <row r="14" spans="1:14">
      <c r="A14" s="760" t="s">
        <v>147</v>
      </c>
      <c r="B14" s="761"/>
      <c r="C14" s="761"/>
      <c r="D14" s="761"/>
      <c r="E14" s="762"/>
      <c r="F14" s="762"/>
      <c r="G14" s="762"/>
      <c r="H14" s="762"/>
    </row>
    <row r="15" spans="1:14">
      <c r="A15" s="760" t="s">
        <v>820</v>
      </c>
      <c r="B15" s="761" t="s">
        <v>821</v>
      </c>
      <c r="C15" s="761" t="s">
        <v>822</v>
      </c>
      <c r="D15" s="761"/>
      <c r="E15" s="762">
        <v>-1.893</v>
      </c>
      <c r="F15" s="762">
        <v>18.989999999999998</v>
      </c>
      <c r="G15" s="762">
        <v>51.408999999999999</v>
      </c>
      <c r="H15" s="762">
        <v>116.149</v>
      </c>
    </row>
    <row r="16" spans="1:14">
      <c r="A16" s="760" t="s">
        <v>813</v>
      </c>
      <c r="B16" s="761" t="s">
        <v>821</v>
      </c>
      <c r="C16" s="761" t="s">
        <v>822</v>
      </c>
      <c r="D16" s="761" t="s">
        <v>814</v>
      </c>
      <c r="E16" s="762">
        <v>-14.856</v>
      </c>
      <c r="F16" s="762">
        <v>-6.9539999999999997</v>
      </c>
      <c r="G16" s="762">
        <v>8.0670000000000002</v>
      </c>
      <c r="H16" s="762">
        <v>34.590000000000003</v>
      </c>
    </row>
    <row r="17" spans="1:8">
      <c r="A17" s="760" t="s">
        <v>134</v>
      </c>
      <c r="B17" s="761" t="s">
        <v>821</v>
      </c>
      <c r="C17" s="761" t="s">
        <v>822</v>
      </c>
      <c r="D17" s="761" t="s">
        <v>814</v>
      </c>
      <c r="E17" s="762">
        <v>784.78605388272581</v>
      </c>
      <c r="F17" s="762">
        <v>-36.619273301737756</v>
      </c>
      <c r="G17" s="762">
        <v>15.691804936878757</v>
      </c>
      <c r="H17" s="762">
        <v>29.780712705232073</v>
      </c>
    </row>
    <row r="18" spans="1:8">
      <c r="A18" s="760" t="s">
        <v>815</v>
      </c>
      <c r="B18" s="761" t="s">
        <v>821</v>
      </c>
      <c r="C18" s="761" t="s">
        <v>822</v>
      </c>
      <c r="D18" s="761" t="s">
        <v>816</v>
      </c>
      <c r="E18" s="762">
        <v>12.962999999999999</v>
      </c>
      <c r="F18" s="762">
        <v>25.943999999999999</v>
      </c>
      <c r="G18" s="762">
        <v>43.341999999999999</v>
      </c>
      <c r="H18" s="762">
        <v>81.558999999999997</v>
      </c>
    </row>
    <row r="19" spans="1:8">
      <c r="A19" s="760" t="s">
        <v>134</v>
      </c>
      <c r="B19" s="761" t="s">
        <v>821</v>
      </c>
      <c r="C19" s="761" t="s">
        <v>822</v>
      </c>
      <c r="D19" s="761" t="s">
        <v>816</v>
      </c>
      <c r="E19" s="762">
        <v>-684.78605388272581</v>
      </c>
      <c r="F19" s="762">
        <v>136.61927330173776</v>
      </c>
      <c r="G19" s="762">
        <v>84.308195063121246</v>
      </c>
      <c r="H19" s="762">
        <v>70.219287294767923</v>
      </c>
    </row>
    <row r="20" spans="1:8">
      <c r="A20" s="763" t="s">
        <v>156</v>
      </c>
      <c r="B20" s="763"/>
      <c r="C20" s="763"/>
      <c r="D20" s="763"/>
      <c r="E20" s="763"/>
      <c r="F20" s="763"/>
      <c r="G20" s="763"/>
      <c r="H20" s="76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62ABDA6886CF6498653E646AB2571ED" ma:contentTypeVersion="16" ma:contentTypeDescription="Criar um novo documento." ma:contentTypeScope="" ma:versionID="3cc93e7771e1564a30682e2f9adc9600">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dfad358d639e66316ced27371e8f186e"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Etiquetas de Imagem"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Partilhado Com"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file>

<file path=customXml/itemProps2.xml><?xml version="1.0" encoding="utf-8"?>
<ds:datastoreItem xmlns:ds="http://schemas.openxmlformats.org/officeDocument/2006/customXml" ds:itemID="{791507B7-3F15-483F-B91F-69AF49217766}"/>
</file>

<file path=customXml/itemProps3.xml><?xml version="1.0" encoding="utf-8"?>
<ds:datastoreItem xmlns:ds="http://schemas.openxmlformats.org/officeDocument/2006/customXml" ds:itemID="{64BB988D-8D01-4A93-B497-E21446BB3F17}"/>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Maria Rita Baltazar Moura</cp:lastModifiedBy>
  <cp:revision/>
  <dcterms:created xsi:type="dcterms:W3CDTF">2025-02-25T16:23:47Z</dcterms:created>
  <dcterms:modified xsi:type="dcterms:W3CDTF">2025-10-01T17:17:41Z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